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4" r:id="rId1" sheetId="1"/>
  </sheets>
  <definedNames>
    <definedName localSheetId="0" name="_xlnm.Print_Titles">BO_EM0004!$1:$6</definedName>
  </definedNames>
  <calcPr calcId="145621"/>
</workbook>
</file>

<file path=xl/sharedStrings.xml><?xml version="1.0" encoding="utf-8"?>
<sst xmlns="http://schemas.openxmlformats.org/spreadsheetml/2006/main" count="3838" uniqueCount="1015">
  <si>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</si>
  <si>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eb="1" sb="0">
      <t>トウ</t>
    </rPh>
    <rPh eb="3" sb="2">
      <t>シン</t>
    </rPh>
    <rPh eb="5" sb="4">
      <t>トウ</t>
    </rPh>
    <rPh eb="7" sb="6">
      <t>ソウ</t>
    </rPh>
    <rPh eb="9" sb="8">
      <t>バ</t>
    </rPh>
    <rPh eb="11" sb="10">
      <t>ヒョウ</t>
    </rPh>
    <phoneticPr fontId="3"/>
  </si>
  <si>
    <t>Investment Trust Quotations</t>
    <phoneticPr fontId="3"/>
  </si>
  <si>
    <t>年月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</si>
  <si>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</si>
  <si>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</si>
  <si>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</si>
  <si>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</si>
  <si>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</si>
  <si>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eb="2" sb="0">
      <t>ヒヅケ</t>
    </rPh>
    <phoneticPr fontId="3"/>
  </si>
  <si>
    <t>区分</t>
  </si>
  <si>
    <t>信用・貸借</t>
    <rPh eb="2" sb="0">
      <t>シンヨウ</t>
    </rPh>
    <rPh eb="5" sb="3">
      <t>タイシャク</t>
    </rPh>
    <phoneticPr fontId="3"/>
  </si>
  <si>
    <t>売買単位</t>
    <rPh eb="2" sb="0">
      <t>バイバイ</t>
    </rPh>
    <rPh eb="4" sb="2">
      <t>タンイ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</si>
  <si>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</si>
  <si>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</si>
  <si>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</si>
  <si>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</si>
  <si>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</si>
  <si>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売買高</t>
    <rPh eb="3" sb="0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</si>
  <si>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</si>
  <si>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</si>
  <si>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</si>
  <si>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値付日数</t>
    <rPh eb="2" sb="0">
      <t>ネツ</t>
    </rPh>
    <rPh eb="4" sb="2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</si>
  <si>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</si>
  <si>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</si>
  <si>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</si>
  <si>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</si>
  <si>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</si>
  <si>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</si>
  <si>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</si>
  <si>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</si>
  <si>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</si>
  <si>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</si>
  <si>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</si>
  <si>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</si>
  <si>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</si>
  <si>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</si>
  <si>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</si>
  <si>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</si>
  <si>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</si>
  <si>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</si>
  <si>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</si>
  <si>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2020/02</t>
  </si>
  <si>
    <t>1305</t>
  </si>
  <si>
    <t>ダイワ上場投信－トピックス　受益証券</t>
  </si>
  <si>
    <t>Daiwa ETF-TOPIX</t>
  </si>
  <si>
    <t/>
  </si>
  <si>
    <t>貸借</t>
  </si>
  <si>
    <t>3</t>
  </si>
  <si>
    <t>6</t>
  </si>
  <si>
    <t>28</t>
  </si>
  <si>
    <t>1306</t>
  </si>
  <si>
    <t>ＴＯＰＩＸ連動型上場投資信託　受益証券</t>
  </si>
  <si>
    <t>TOPIX Exchange Traded Fund</t>
  </si>
  <si>
    <t>1308</t>
  </si>
  <si>
    <t>上場インデックスファンドＴＯＰＩＸ　受益証券</t>
  </si>
  <si>
    <t>Nikko Exchange Traded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</si>
  <si>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</si>
  <si>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</si>
  <si>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</si>
  <si>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21</t>
  </si>
  <si>
    <t>1311</t>
  </si>
  <si>
    <t>ＴＯＰＩＸ　Ｃｏｒｅ　３０　連動型上場投資信託　受益証券</t>
  </si>
  <si>
    <t>TOPIX Core 30 Exchange Traded Fund</t>
  </si>
  <si>
    <t>1312</t>
  </si>
  <si>
    <t>ラッセル野村小型コア・インデックス連動型上場投資信託　受益証券</t>
  </si>
  <si>
    <t>Russell/Nomura Small Cap Core Index Linked ETF</t>
  </si>
  <si>
    <t>12</t>
  </si>
  <si>
    <t>1313</t>
  </si>
  <si>
    <t>サムスンＫＯＤＥＸ２００証券上場指数投資信託[株式]　受益証券</t>
  </si>
  <si>
    <t>SAMSUNG KODEX200 SECURITIES EXCHANGE TRADED FUND [STOCK]</t>
  </si>
  <si>
    <t>14</t>
  </si>
  <si>
    <t>1319</t>
  </si>
  <si>
    <t>日経３００株価指数連動型上場投資信託　受益証券</t>
  </si>
  <si>
    <t>Nikkei 300 Stock Index Listed Fund</t>
  </si>
  <si>
    <t>1320</t>
  </si>
  <si>
    <t>ダイワ上場投信－日経２２５　受益証券</t>
  </si>
  <si>
    <t>Daiwa ETF-Nikkei 225</t>
  </si>
  <si>
    <t>1321</t>
  </si>
  <si>
    <t>日経２２５連動型上場投資信託　受益証券</t>
  </si>
  <si>
    <t>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</si>
  <si>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</si>
  <si>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</si>
  <si>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</si>
  <si>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1323</t>
  </si>
  <si>
    <t>ＮＥＸＴ　ＦＵＮＤＳ　南アフリカ株式指数・ＦＴＳＥ／ＪＳＥ　Ａｆｒｉｃａ　Ｔｏｐ４０連動型上場投信　受益証券</t>
  </si>
  <si>
    <t>NEXT FUNDS FTSE/JSE Africa Top40 Linked Exchange Traded Fund</t>
  </si>
  <si>
    <t>1324</t>
  </si>
  <si>
    <t>ＮＥＸＴ　ＦＵＮＤＳ　ロシア株式指数・ＲＴＳ連動型上場投信　受益証券</t>
  </si>
  <si>
    <t>NEXT FUNDS Russia RTS Linked Exchange Traded Fund</t>
  </si>
  <si>
    <t>1325</t>
  </si>
  <si>
    <t>ＮＥＸＴ　ＦＵＮＤＳ　ブラジル株式指数・ボベスパ連動型上場投信　受益証券</t>
  </si>
  <si>
    <t>NEXT FUNDS Ibovespa Linked Exchange Traded Fund</t>
  </si>
  <si>
    <t>1326</t>
  </si>
  <si>
    <t>ＳＰＤＲゴールド・シェア　受益証券</t>
  </si>
  <si>
    <t>SPDR Gold Shares</t>
  </si>
  <si>
    <t>25</t>
  </si>
  <si>
    <t>5</t>
  </si>
  <si>
    <t>1327</t>
  </si>
  <si>
    <t>イージーＥＴＦ　Ｓ＆Ｐ　ＧＳＣＩ　商品指数　キャップド・コモディティ　３５／２０　クラスＡ米ドル建受益証券</t>
  </si>
  <si>
    <t>S&amp;P GSCI Energy &amp; Metals Capped Component 35/20 THEAM Easy UCITS ETF Class A USD Unit</t>
  </si>
  <si>
    <t>4</t>
  </si>
  <si>
    <t>1328</t>
  </si>
  <si>
    <t>金価格連動型上場投資信託　受益証券</t>
  </si>
  <si>
    <t>Gold-Price-Linked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</si>
  <si>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</si>
  <si>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</si>
  <si>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</si>
  <si>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</si>
  <si>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</si>
  <si>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Nikko Exchange Traded Index Fund 225</t>
  </si>
  <si>
    <t>1343</t>
  </si>
  <si>
    <t>ＮＥＸＴ　ＦＵＮＤＳ　東証ＲＥＩＴ指数連動型上場投信　受益証券</t>
  </si>
  <si>
    <t>NEXT FUNDS REIT INDEX ETF</t>
  </si>
  <si>
    <t>19</t>
  </si>
  <si>
    <t>1344</t>
  </si>
  <si>
    <t>ＭＡＸＩＳ　トピックス・コア３０上場投信　受益証券</t>
  </si>
  <si>
    <t>MAXIS TOPIX Core30 ETF</t>
  </si>
  <si>
    <t>1345</t>
  </si>
  <si>
    <t>上場インデックスファンドＪリート（東証ＲＥＩＴ指数）隔月分配型　受益証券</t>
  </si>
  <si>
    <t>Listed Index Fund J-REIT (Tokyo Stock Exchange REIT Index)</t>
  </si>
  <si>
    <t>1346</t>
  </si>
  <si>
    <t>ＭＡＸＩＳ　日経２２５上場投信　受益証券</t>
  </si>
  <si>
    <t>MAXIS NIKKEI225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</si>
  <si>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</si>
  <si>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</si>
  <si>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</si>
  <si>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</si>
  <si>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</si>
  <si>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</si>
  <si>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</si>
  <si>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</si>
  <si>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</si>
  <si>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</si>
  <si>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</si>
  <si>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ETF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</si>
  <si>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</si>
  <si>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</si>
  <si>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</si>
  <si>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</si>
  <si>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</si>
  <si>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</si>
  <si>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</si>
  <si>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</si>
  <si>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</si>
  <si>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7</t>
  </si>
  <si>
    <t>1365</t>
  </si>
  <si>
    <t>ダイワ上場投信－日経平均レバレッジ・インデックス　受益証券</t>
  </si>
  <si>
    <t>Daiwa ETF Japan Nikkei225 Leveraged Index</t>
  </si>
  <si>
    <t>1366</t>
  </si>
  <si>
    <t>ダイワ上場投信－日経平均ダブルインバース・インデックス　受益証券</t>
  </si>
  <si>
    <t>Daiwa ETF Japan Nikkei225 Double Inverse Index</t>
  </si>
  <si>
    <t>1367</t>
  </si>
  <si>
    <t>ダイワ上場投信－ＴＯＰＩＸレバレッジ（２倍）指数　受益証券</t>
  </si>
  <si>
    <t>Daiwa ETF Japan TOPIX Leveraged (2x) Index</t>
  </si>
  <si>
    <t>1368</t>
  </si>
  <si>
    <t>ダイワ上場投信－ＴＯＰＩＸダブルインバース（－２倍）指数　受益証券</t>
  </si>
  <si>
    <t>Daiwa ETF Japan TOPIX Double Inverse (-2x) Index</t>
  </si>
  <si>
    <t>1369</t>
  </si>
  <si>
    <t>Ｏｎｅ　ＥＴＦ　日経２２５　受益証券</t>
  </si>
  <si>
    <t>One ETF Nikkei225</t>
  </si>
  <si>
    <t>1385</t>
  </si>
  <si>
    <t>ＵＢＳ　ＥＴＦ　ユーロ圏大型株５０（ユーロ・ストックス５０）　受益証券</t>
  </si>
  <si>
    <t>UBS ETF EURO STOXX 50 UCITS ETF-JDR</t>
  </si>
  <si>
    <t>20</t>
  </si>
  <si>
    <t>1386</t>
  </si>
  <si>
    <t>ＵＢＳ　ＥＴＦ　欧州株（ＭＳＣＩヨーロッパ）　受益証券</t>
  </si>
  <si>
    <t>UBS ETF MSCI Europe UCITS ETF-JDR</t>
  </si>
  <si>
    <t>1387</t>
  </si>
  <si>
    <t>ＵＢＳ　ＥＴＦ　ユーロ圏株（ＭＳＣＩ　ＥＭＵ）　受益証券</t>
  </si>
  <si>
    <t>UBS ETF MSCI EMU UCITS ETF-JDR</t>
  </si>
  <si>
    <t>1388</t>
  </si>
  <si>
    <t>ＵＢＳ　ＥＴＦ　ユーロ圏小型株（ＭＳＣＩ　ＥＭＵ小型株）　受益証券</t>
  </si>
  <si>
    <t>UBS ETF MSCI EMU Small Cap UCITS ETF-JDR</t>
  </si>
  <si>
    <t>17</t>
  </si>
  <si>
    <t>1389</t>
  </si>
  <si>
    <t>ＵＢＳ　ＥＴＦ　英国大型株１００（ＦＴＳＥ　１００）　受益証券</t>
  </si>
  <si>
    <t>UBS ETF FTSE 100 UCITS ETF-JDR</t>
  </si>
  <si>
    <t>13</t>
  </si>
  <si>
    <t>1390</t>
  </si>
  <si>
    <t>ＵＢＳ　ＥＴＦ　ＭＳＣＩアジア太平洋株（除く日本）　受益証券</t>
  </si>
  <si>
    <t>UBS ETF MSCI Pacific (ex Japan) UCITS ETF-JDR</t>
  </si>
  <si>
    <t>1391</t>
  </si>
  <si>
    <t>ＵＢＳ　ＥＴＦ　スイス株（ＭＳＣＩスイス２０／３５）　受益証券</t>
  </si>
  <si>
    <t>UBS ETF MSCI Switzerland 20/35 UCITS ETF-JDR</t>
  </si>
  <si>
    <t>1392</t>
  </si>
  <si>
    <t>ＵＢＳ　ＥＴＦ　英国株（ＭＳＣＩ英国）　受益証券</t>
  </si>
  <si>
    <t>UBS ETF MSCI United Kingdom UCITS ETF-JDR</t>
  </si>
  <si>
    <t>1393</t>
  </si>
  <si>
    <t>ＵＢＳ　ＥＴＦ　米国株（ＭＳＣＩ米国）　受益証券</t>
  </si>
  <si>
    <t>UBS ETF MSCI USA UCITS ETF-JDR</t>
  </si>
  <si>
    <t>1394</t>
  </si>
  <si>
    <t>ＵＢＳ　ＥＴＦ　先進国株（ＭＳＣＩワールド）　受益証券</t>
  </si>
  <si>
    <t>UBS ETF MSCI World UCITS ETF-JDR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</si>
  <si>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</si>
  <si>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</si>
  <si>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</si>
  <si>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</si>
  <si>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</si>
  <si>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</si>
  <si>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</si>
  <si>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</si>
  <si>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</si>
  <si>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1456</t>
  </si>
  <si>
    <t>ダイワ上場投信－日経平均インバース・インデックス　受益証券</t>
  </si>
  <si>
    <t>Daiwa ETF Japan Nikkei225 Inverse Index</t>
  </si>
  <si>
    <t>1457</t>
  </si>
  <si>
    <t>ダイワ上場投信－ＴＯＰＩＸインバース（－１倍）指数　受益証券</t>
  </si>
  <si>
    <t>Daiwa ETF Japan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</si>
  <si>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</si>
  <si>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</si>
  <si>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</si>
  <si>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</si>
  <si>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</si>
  <si>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</si>
  <si>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1460</t>
  </si>
  <si>
    <t>ＭＡＸＩＳ　ＪＡＰＡＮ　クオリティ１５０上場投信　受益証券</t>
  </si>
  <si>
    <t>MAXIS JAPAN Quality 150 Index ETF</t>
  </si>
  <si>
    <t>1464</t>
  </si>
  <si>
    <t>ダイワ上場投信－ＪＰＸ日経４００レバレッジ・インデックス　受益証券</t>
  </si>
  <si>
    <t>Daiwa ETF Japan JPX-Nikkei 400 Leveraged (2x) Index</t>
  </si>
  <si>
    <t>1465</t>
  </si>
  <si>
    <t>ダイワ上場投信－ＪＰＸ日経４００インバース・インデックス　受益証券</t>
  </si>
  <si>
    <t>Daiwa ETF Japan JPX-Nikkei 400 Inverse (-1x) Index</t>
  </si>
  <si>
    <t>1466</t>
  </si>
  <si>
    <t>ダイワ上場投信－ＪＰＸ日経４００ダブルインバース・インデックス　受益証券</t>
  </si>
  <si>
    <t>Daiwa ETF Japan JPX-Nikkei 400 Double Inverse (-2x) Index</t>
  </si>
  <si>
    <t>1467</t>
  </si>
  <si>
    <t>ＪＰＸ日経４００ブル２倍上場投信（レバレッジ）　受益証券</t>
  </si>
  <si>
    <t>JPX-Nikkei 400 Bull 2x Leveraged ETF</t>
  </si>
  <si>
    <t>1468</t>
  </si>
  <si>
    <t>ＪＰＸ日経４００ベア上場投信（インバース）　受益証券</t>
  </si>
  <si>
    <t>JPX-Nikkei 400 Bear -1x Inverse ETF</t>
  </si>
  <si>
    <t>1469</t>
  </si>
  <si>
    <t>ＪＰＸ日経４００ベア２倍上場投信（ダブルインバース）　受益証券</t>
  </si>
  <si>
    <t>JPX-Nikkei 400 Bear -2x Double Inverse ETF</t>
  </si>
  <si>
    <t>1470</t>
  </si>
  <si>
    <t>ＮＥＸＴ　ＦＵＮＤＳ　ＪＰＸ日経４００レバレッジ・インデックス連動型上場投信　受益証券</t>
  </si>
  <si>
    <t>NEXT FUNDS JPX-Nikkei 400 Leveraged Index Exchange Traded Fund</t>
  </si>
  <si>
    <t>1471</t>
  </si>
  <si>
    <t>ＮＥＸＴ　ＦＵＮＤＳ　ＪＰＸ日経４００インバース・インデックス連動型上場投信　受益証券</t>
  </si>
  <si>
    <t>NEXT FUNDS JPX-Nikkei 400 Inverse Index Exchange Traded Fund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</si>
  <si>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</si>
  <si>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</si>
  <si>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</si>
  <si>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</si>
  <si>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</si>
  <si>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</si>
  <si>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</si>
  <si>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</si>
  <si>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</si>
  <si>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</si>
  <si>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</si>
  <si>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</si>
  <si>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</si>
  <si>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</si>
  <si>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</si>
  <si>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</si>
  <si>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</si>
  <si>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</si>
  <si>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</si>
  <si>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</si>
  <si>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</si>
  <si>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1479</t>
  </si>
  <si>
    <t>ダイワ上場投信－ＭＳＣＩ日本株人材設備投資指数　受益証券</t>
  </si>
  <si>
    <t>Daiwa ETF MSCI Japan Human and Physical Investment Index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</si>
  <si>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</si>
  <si>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</si>
  <si>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</si>
  <si>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</si>
  <si>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</si>
  <si>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</si>
  <si>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</si>
  <si>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</si>
  <si>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</si>
  <si>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1483</t>
  </si>
  <si>
    <t>ｉシェアーズ　ＪＰＸ／Ｓ＆Ｐ設備・人材投資　ＥＴＦ　受益証券</t>
  </si>
  <si>
    <t>iShares JPX/S&amp;P CAPEX &amp; Human Capital ETF</t>
  </si>
  <si>
    <t>26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</si>
  <si>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</si>
  <si>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</si>
  <si>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</si>
  <si>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</si>
  <si>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</si>
  <si>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</si>
  <si>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</si>
  <si>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</si>
  <si>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</si>
  <si>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</si>
  <si>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</si>
  <si>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</si>
  <si>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1488</t>
  </si>
  <si>
    <t>ダイワ上場投信－東証ＲＥＩＴ指数　受益証券</t>
  </si>
  <si>
    <t>Daiwa 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</si>
  <si>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</si>
  <si>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</si>
  <si>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</si>
  <si>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</si>
  <si>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</si>
  <si>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</si>
  <si>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27</t>
  </si>
  <si>
    <t>1492</t>
  </si>
  <si>
    <t>ＭＡＸＩＳ　ＪＰＸ　日経中小型株指数上場投信　受益証券</t>
  </si>
  <si>
    <t>MAXIS JPX-Nikkei Mid and Small Cap Index ETF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</si>
  <si>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</si>
  <si>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</si>
  <si>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</si>
  <si>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</si>
  <si>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</si>
  <si>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</si>
  <si>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</si>
  <si>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</si>
  <si>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</si>
  <si>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</si>
  <si>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</si>
  <si>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</si>
  <si>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</si>
  <si>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</si>
  <si>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</si>
  <si>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</si>
  <si>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</si>
  <si>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</si>
  <si>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</si>
  <si>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</si>
  <si>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</si>
  <si>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</si>
  <si>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</si>
  <si>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</si>
  <si>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</si>
  <si>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</si>
  <si>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</si>
  <si>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</si>
  <si>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</si>
  <si>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</si>
  <si>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</si>
  <si>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</si>
  <si>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</si>
  <si>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</si>
  <si>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ＮＡＳＤＡＱ－１００連動型上場投信　受益証券</t>
  </si>
  <si>
    <t>NEXT FUNDS NASDAQ-100 Exchange Traded Fund</t>
  </si>
  <si>
    <t>1546</t>
  </si>
  <si>
    <t>ＮＥＸＴ　ＦＵＮＤＳ　ダウ・ジョーンズ工業株３０種平均株価連動型上場投信　受益証券</t>
  </si>
  <si>
    <t>NEXT FUNDS Dow Jones Industrial Average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</si>
  <si>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</si>
  <si>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</si>
  <si>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</si>
  <si>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</si>
  <si>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</si>
  <si>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</si>
  <si>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</si>
  <si>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ＪＡＳＤＡＱ－ＴＯＰ２０上場投信　受益証券</t>
  </si>
  <si>
    <t>JASDAQ-TOP20 ETF</t>
  </si>
  <si>
    <t>10</t>
  </si>
  <si>
    <t>1552</t>
  </si>
  <si>
    <t>国際のＥＴＦ　ＶＩＸ短期先物指数　受益証券</t>
  </si>
  <si>
    <t>KOKUSAI S&amp;P500 VIX SHORT-TERM FUTURES INDEX ETF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</si>
  <si>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</si>
  <si>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</si>
  <si>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</si>
  <si>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</si>
  <si>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Ａ‐ＲＥＩＴ）　受益証券</t>
  </si>
  <si>
    <t>Listed Index Fund Australian REIT (S&amp;P/ASX200 A-REIT)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</si>
  <si>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</si>
  <si>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</si>
  <si>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</si>
  <si>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</si>
  <si>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</si>
  <si>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</si>
  <si>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</si>
  <si>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</si>
  <si>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</si>
  <si>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</si>
  <si>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マザーズ・コア上場投信　受益証券</t>
  </si>
  <si>
    <t>TSE Mothers Core ETF</t>
  </si>
  <si>
    <t>1566</t>
  </si>
  <si>
    <t>上場インデックスファンド新興国債券</t>
  </si>
  <si>
    <t>Listed Index Fund Emerging Bond</t>
  </si>
  <si>
    <t>1567</t>
  </si>
  <si>
    <t>ＭＡＸＩＳトピックスリスクコントロール（５％）上場投信　受益証券</t>
  </si>
  <si>
    <t>MAXIS TOPIX Risk Control (5%) ETF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</si>
  <si>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</si>
  <si>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</si>
  <si>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</si>
  <si>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</si>
  <si>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</si>
  <si>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</si>
  <si>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</si>
  <si>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</si>
  <si>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</si>
  <si>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</si>
  <si>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</si>
  <si>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</si>
  <si>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</si>
  <si>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</si>
  <si>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</si>
  <si>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</si>
  <si>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</si>
  <si>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</si>
  <si>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1574</t>
  </si>
  <si>
    <t>ＭＡＸＩＳトピックスリスクコントロール（１０％）上場投信　受益証券</t>
  </si>
  <si>
    <t>MAXIS TOPIX Risk Control (10%) ETF</t>
  </si>
  <si>
    <t>1575</t>
  </si>
  <si>
    <t>ＣｈｉｎａＡＭＣ　ＣＳＩ　３００　Ｉｎｄｅｘ　ＥＴＦ－ＪＤＲ　受益証券</t>
  </si>
  <si>
    <t>ChinaAMC CSI 300 Index ETF-JDR</t>
  </si>
  <si>
    <t>1576</t>
  </si>
  <si>
    <t>南方　ＦＴＳＥ　中国Ａ株５０　ＥＴＦ　受益証券</t>
  </si>
  <si>
    <t>CSOP FTSE CHINA A50 ETF</t>
  </si>
  <si>
    <t>1577</t>
  </si>
  <si>
    <t>ＮＥＸＴ　ＦＵＮＤＳ　野村日本株高配当７０連動型上場投信　受益証券</t>
  </si>
  <si>
    <t>NEXT FUNDS Nomura Japan Equity High Dividend 70 ETF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</si>
  <si>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</si>
  <si>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</si>
  <si>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</si>
  <si>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</si>
  <si>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</si>
  <si>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</si>
  <si>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</si>
  <si>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</si>
  <si>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</si>
  <si>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1584</t>
  </si>
  <si>
    <t>サムスンＫＯＤＥＸサムスングループ株証券上場指数投資信託［株式］　受益証券</t>
  </si>
  <si>
    <t>Samsung KODEX Samsung Group Securities Exchange Traded Investment Trust [Share]</t>
  </si>
  <si>
    <t>1585</t>
  </si>
  <si>
    <t>ダイワ上場投信・ＴＯＰＩＸ　Ｅｘ－Ｆｉｎａｎｃｉａｌｓ　受益証券</t>
  </si>
  <si>
    <t>Daiwa ETF・TOPIX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</si>
  <si>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</si>
  <si>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</si>
  <si>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</si>
  <si>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</si>
  <si>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</si>
  <si>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</si>
  <si>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</si>
  <si>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</si>
  <si>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</si>
  <si>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</si>
  <si>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</si>
  <si>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</si>
  <si>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</si>
  <si>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</si>
  <si>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</si>
  <si>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</si>
  <si>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</si>
  <si>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</si>
  <si>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18</t>
  </si>
  <si>
    <t>1597</t>
  </si>
  <si>
    <t>ＭＡＸＩＳ　Ｊリート上場投信　受益証券</t>
  </si>
  <si>
    <t>MAXIS J-REIT ETF</t>
  </si>
  <si>
    <t>1598</t>
  </si>
  <si>
    <t>ＮＥＸＴ　ＦＵＮＤＳ　Ｒ／Ｎファンダメンタル・インデックス上場投信　受益証券</t>
  </si>
  <si>
    <t>NEXT FUNDS Russell/Nomura Fundamental Index ETF</t>
  </si>
  <si>
    <t>1599</t>
  </si>
  <si>
    <t>ダイワ上場投信－ＪＰＸ日経４００　受益証券</t>
  </si>
  <si>
    <t>Daiwa ETF JPX-Nikkei 400</t>
  </si>
  <si>
    <t>1613</t>
  </si>
  <si>
    <t>東証電気機器株価指数連動型上場投資信託　受益証券</t>
  </si>
  <si>
    <t>TOPIX Electric Appliances Exchange Traded Fund</t>
  </si>
  <si>
    <t>確</t>
  </si>
  <si>
    <t>1615</t>
  </si>
  <si>
    <t>東証銀行業株価指数連動型上場投資信託　受益証券</t>
  </si>
  <si>
    <t>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</si>
  <si>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</si>
  <si>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</si>
  <si>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</si>
  <si>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</si>
  <si>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</si>
  <si>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</si>
  <si>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</si>
  <si>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</si>
  <si>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</si>
  <si>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</si>
  <si>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</si>
  <si>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</si>
  <si>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</si>
  <si>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</si>
  <si>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</si>
  <si>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</si>
  <si>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</si>
  <si>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</si>
  <si>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</si>
  <si>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</si>
  <si>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</si>
  <si>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</si>
  <si>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</si>
  <si>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</si>
  <si>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</si>
  <si>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</si>
  <si>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</si>
  <si>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</si>
  <si>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</si>
  <si>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</si>
  <si>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</si>
  <si>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</si>
  <si>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</si>
  <si>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</si>
  <si>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</si>
  <si>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</si>
  <si>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</si>
  <si>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</si>
  <si>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</si>
  <si>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</si>
  <si>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</si>
  <si>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</si>
  <si>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</si>
  <si>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</si>
  <si>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</si>
  <si>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</si>
  <si>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</si>
  <si>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</si>
  <si>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</si>
  <si>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</si>
  <si>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</si>
  <si>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1651</t>
  </si>
  <si>
    <t>ダイワ上場投信－ＴＯＰＩＸ高配当４０指数　受益証券</t>
  </si>
  <si>
    <t>Daiwa ETF TOPIX High Dividend Yield 40 Index</t>
  </si>
  <si>
    <t>1652</t>
  </si>
  <si>
    <t>ダイワ上場投信－ＭＳＣＩ日本株女性活躍指数（ＷＩＮ）　受益証券</t>
  </si>
  <si>
    <t>Daiwa ETF MSCI Japan Empowering Women Index (WIN)</t>
  </si>
  <si>
    <t>1653</t>
  </si>
  <si>
    <t>ダイワ上場投信－ＭＳＣＩジャパンＥＳＧセレクト・リーダーズ指数　受益証券</t>
  </si>
  <si>
    <t>Daiwa ETF MSCI Japan ESG Select Leaders Index</t>
  </si>
  <si>
    <t>1654</t>
  </si>
  <si>
    <t>ダイワ上場投信－ＦＴＳＥ　Ｂｌｏｓｓｏｍ　Ｊａｐａｎ　Ｉｎｄｅｘ　受益証券</t>
  </si>
  <si>
    <t>Daiwa 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</si>
  <si>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</si>
  <si>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</si>
  <si>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</si>
  <si>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</si>
  <si>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</si>
  <si>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</si>
  <si>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</si>
  <si>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　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</si>
  <si>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</si>
  <si>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</si>
  <si>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</si>
  <si>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</si>
  <si>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</si>
  <si>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</si>
  <si>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</si>
  <si>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</si>
  <si>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</si>
  <si>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</si>
  <si>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1670</t>
  </si>
  <si>
    <t>ＭＡＸＩＳ　Ｓ＆Ｐ三菱系企業群上場投信　受益証券</t>
  </si>
  <si>
    <t>MAXIS S&amp;P Mitsubishi Group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</si>
  <si>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</si>
  <si>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</si>
  <si>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</si>
  <si>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</si>
  <si>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</si>
  <si>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</si>
  <si>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</si>
  <si>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</si>
  <si>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</si>
  <si>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</si>
  <si>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</si>
  <si>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</si>
  <si>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</si>
  <si>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</si>
  <si>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</si>
  <si>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</si>
  <si>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</si>
  <si>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</si>
  <si>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</si>
  <si>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</si>
  <si>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</si>
  <si>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</si>
  <si>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５０連動型上場投信　受益証券</t>
  </si>
  <si>
    <t>NEXT FUNDS Nifty 50 Linked Exchange Traded Fund</t>
  </si>
  <si>
    <t>1679</t>
  </si>
  <si>
    <t>Ｓｉｍｐｌｅ－Ｘ　ＮＹダウ・ジョーンズ・インデックス上場投信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</si>
  <si>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</si>
  <si>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</si>
  <si>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</si>
  <si>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</t>
  </si>
  <si>
    <t>1681</t>
  </si>
  <si>
    <t>上場インデックスファンド海外新興国株式（ＭＳＣＩエマージング）　受益証券</t>
  </si>
  <si>
    <t>Listed Index Fund International Emerging Countries Equity</t>
  </si>
  <si>
    <t>1682</t>
  </si>
  <si>
    <t>ＮＥＸＴ　ＦＵＮＤＳ　日経・東商取白金指数連動型上場投信　受益証券</t>
  </si>
  <si>
    <t>NEXT FUNDS Nikkei-TOCOM Platinum Index Linked Exchange</t>
  </si>
  <si>
    <t>1683</t>
  </si>
  <si>
    <t>Ｏｎｅ　ＥＴＦ　国内金先物　受益証券</t>
  </si>
  <si>
    <t>One ETF Gold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</si>
  <si>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</si>
  <si>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</si>
  <si>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</si>
  <si>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</si>
  <si>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</si>
  <si>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</si>
  <si>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</si>
  <si>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</si>
  <si>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</si>
  <si>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</si>
  <si>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</si>
  <si>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</si>
  <si>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</si>
  <si>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</si>
  <si>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</si>
  <si>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</si>
  <si>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</si>
  <si>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</si>
  <si>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</si>
  <si>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</si>
  <si>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</si>
  <si>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</si>
  <si>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</si>
  <si>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</si>
  <si>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</si>
  <si>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</si>
  <si>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</si>
  <si>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</si>
  <si>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</si>
  <si>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</si>
  <si>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</si>
  <si>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</si>
  <si>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</si>
  <si>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</si>
  <si>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</si>
  <si>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</si>
  <si>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</si>
  <si>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</si>
  <si>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</si>
  <si>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</si>
  <si>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</si>
  <si>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</si>
  <si>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</si>
  <si>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</si>
  <si>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</t>
  </si>
  <si>
    <t>1699</t>
  </si>
  <si>
    <t>ＮＥＸＴ　ＦＵＮＤＳ　ＮＯＭＵＲＡ原油インデックス連動型上場投信　受益証券</t>
  </si>
  <si>
    <t>NEXT FUNDS NOMURA Crude Oil Long Index Linked Exchange</t>
  </si>
  <si>
    <t>2031</t>
  </si>
  <si>
    <t>ＮＥＸＴ　ＮＯＴＥＳ　香港ハンセン・ダブル・ブル　ＥＴＮ　受益証券</t>
  </si>
  <si>
    <t>NEXT NOTES HSI Leveraged ETN</t>
  </si>
  <si>
    <t>信用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</si>
  <si>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</si>
  <si>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</si>
  <si>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</si>
  <si>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</si>
  <si>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</si>
  <si>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</si>
  <si>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</si>
  <si>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</si>
  <si>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</si>
  <si>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2035</t>
  </si>
  <si>
    <t>ＮＥＸＴ　ＮＯＴＥＳ　日経平均ＶＩ先物指数　ＥＴＮ　受益証券</t>
  </si>
  <si>
    <t>NEXT NOTES Nikkei 225 VI Futures Index ETN</t>
  </si>
  <si>
    <t>2036</t>
  </si>
  <si>
    <t>ＮＥＸＴ　ＮＯＴＥＳ　日経・ＴＯＣＯＭ　金　ダブル・ブル　ＥＴＮ　受益証券</t>
  </si>
  <si>
    <t>NEXT NOTES Nikkei-TOCOM Leveraged Gold ETN</t>
  </si>
  <si>
    <t>2037</t>
  </si>
  <si>
    <t>ＮＥＸＴ　ＮＯＴＥＳ　日経・ＴＯＣＯＭ　金　ベア　ＥＴＮ　受益証券</t>
  </si>
  <si>
    <t>NEXT NOTES Nikkei-TOCOM Inverse Gold ETN</t>
  </si>
  <si>
    <t>2038</t>
  </si>
  <si>
    <t>ＮＥＸＴ　ＮＯＴＥＳ　日経・ＴＯＣＯＭ　原油　ダブル・ブル　ＥＴＮ　受益証券</t>
  </si>
  <si>
    <t>NEXT NOTES Nikkei-TOCOM Leveraged Crude Oil ETN</t>
  </si>
  <si>
    <t>2039</t>
  </si>
  <si>
    <t>ＮＥＸＴ　ＮＯＴＥＳ　日経・ＴＯＣＯＭ　原油　ベア　ＥＴＮ　受益証券</t>
  </si>
  <si>
    <t>NEXT NOTES Nikkei-TOCOM Inverse Crude Oil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</si>
  <si>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</si>
  <si>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</si>
  <si>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</si>
  <si>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</si>
  <si>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</si>
  <si>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</si>
  <si>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</si>
  <si>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東証マザーズ　ＥＴＮ　受益証券</t>
  </si>
  <si>
    <t>NEXT NOTES Tokyo Stock Exchange Mothers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</si>
  <si>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</si>
  <si>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</si>
  <si>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</si>
  <si>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</si>
  <si>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</si>
  <si>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</si>
  <si>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</si>
  <si>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</si>
  <si>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</si>
  <si>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</si>
  <si>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</si>
  <si>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</si>
  <si>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</si>
  <si>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</si>
  <si>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</si>
  <si>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</si>
  <si>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</si>
  <si>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</si>
  <si>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</si>
  <si>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</si>
  <si>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</si>
  <si>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</si>
  <si>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</si>
  <si>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</si>
  <si>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</si>
  <si>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</si>
  <si>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</si>
  <si>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</si>
  <si>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</si>
  <si>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</si>
  <si>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</si>
  <si>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</si>
  <si>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</si>
  <si>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</si>
  <si>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</si>
  <si>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</si>
  <si>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</si>
  <si>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</si>
  <si>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</si>
  <si>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</si>
  <si>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</si>
  <si>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</si>
  <si>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</si>
  <si>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</si>
  <si>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</si>
  <si>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</si>
  <si>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</si>
  <si>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</si>
  <si>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</si>
  <si>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</si>
  <si>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</si>
  <si>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</si>
  <si>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</si>
  <si>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</si>
  <si>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</si>
  <si>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東証マザーズＥＴＦ　受益証券</t>
  </si>
  <si>
    <t>TSE Mothers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</si>
  <si>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</si>
  <si>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</si>
  <si>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</si>
  <si>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</si>
  <si>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</si>
  <si>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</si>
  <si>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</si>
  <si>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</si>
  <si>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</si>
  <si>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</si>
  <si>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</si>
  <si>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</si>
  <si>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</si>
  <si>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</si>
  <si>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</si>
  <si>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</si>
  <si>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</si>
  <si>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</si>
  <si>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</si>
  <si>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</si>
  <si>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</si>
  <si>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</si>
  <si>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</si>
  <si>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</si>
  <si>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</si>
  <si>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</si>
  <si>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</si>
  <si>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</si>
  <si>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</si>
  <si>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</si>
  <si>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</si>
  <si>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</si>
  <si>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</si>
  <si>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</si>
  <si>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ダイワ上場投信－東証ＲＥＩＴ　Ｃｏｒｅ指数　受益証券</t>
  </si>
  <si>
    <t>Daiwa 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</si>
  <si>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</si>
  <si>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</si>
  <si>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</si>
  <si>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</si>
  <si>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</si>
  <si>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</si>
  <si>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</si>
  <si>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</si>
  <si>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</si>
  <si>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</si>
  <si>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</si>
  <si>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</si>
  <si>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</si>
  <si>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ブルームバーグ・バークレイズ米国投資適格社債（１－１０年）インデックス（為替ヘッジあり）連動型上場投信　受益証券</t>
  </si>
  <si>
    <t>NEXT FUNDS Bloomberg Barclays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</si>
  <si>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</si>
  <si>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</si>
  <si>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</si>
  <si>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</si>
  <si>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</si>
  <si>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</si>
  <si>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</si>
  <si>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</si>
  <si>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</si>
  <si>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</si>
  <si>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</si>
  <si>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</si>
  <si>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</si>
  <si>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</si>
  <si>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</si>
  <si>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</si>
  <si>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</si>
  <si>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</si>
  <si>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 xml:space="preserve">新規上場  </t>
  </si>
  <si>
    <t xml:space="preserve">New Listing  </t>
  </si>
  <si>
    <t xml:space="preserve">2020/02/06  </t>
  </si>
  <si>
    <t>2561</t>
  </si>
  <si>
    <t>ｉシェアーズ・コア　日本国債　ＥＴＦ　受益証券</t>
  </si>
  <si>
    <t>iShares Core Japan Government Bond ETF</t>
  </si>
  <si>
    <t xml:space="preserve">2020/02/26  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</si>
  <si>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</si>
  <si>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</si>
  <si>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</si>
  <si>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</si>
  <si>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</si>
  <si>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</si>
  <si>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</si>
  <si>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</si>
  <si>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</si>
  <si>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3226</t>
  </si>
  <si>
    <t>日本アコモデーションファンド投資法人　投資証券</t>
  </si>
  <si>
    <t>Nippon Accommodations Fund Inc.</t>
  </si>
  <si>
    <t>3227</t>
  </si>
  <si>
    <t>ＭＣＵＢＳ　ＭｉｄＣｉｔｙ投資法人　投資証券</t>
  </si>
  <si>
    <t>MCUBS MidCity Investment Corporation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</si>
  <si>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</si>
  <si>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</si>
  <si>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</si>
  <si>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</si>
  <si>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</si>
  <si>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</si>
  <si>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</si>
  <si>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</si>
  <si>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</si>
  <si>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3278</t>
  </si>
  <si>
    <t>ケネディクス・レジデンシャル・ネクスト投資法人　投資証券</t>
  </si>
  <si>
    <t>Kenedix Residential Next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</si>
  <si>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</si>
  <si>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</si>
  <si>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</si>
  <si>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</si>
  <si>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</si>
  <si>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</si>
  <si>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</si>
  <si>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</si>
  <si>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</si>
  <si>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</si>
  <si>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</si>
  <si>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</si>
  <si>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</si>
  <si>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</si>
  <si>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</si>
  <si>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</si>
  <si>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</si>
  <si>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</si>
  <si>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</si>
  <si>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</si>
  <si>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</si>
  <si>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</si>
  <si>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</si>
  <si>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</si>
  <si>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</si>
  <si>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</si>
  <si>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</si>
  <si>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3298</t>
  </si>
  <si>
    <t>インベスコ・オフィス・ジェイリート投資法人　投資証券</t>
  </si>
  <si>
    <t>Invesco Office J-REIT,Inc.</t>
  </si>
  <si>
    <t>3308</t>
  </si>
  <si>
    <t>日本ヘルスケア投資法人　投資証券</t>
  </si>
  <si>
    <t>Nippon Healthcare Investment Corporation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</si>
  <si>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</si>
  <si>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</si>
  <si>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</si>
  <si>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</si>
  <si>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</si>
  <si>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</si>
  <si>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3453</t>
  </si>
  <si>
    <t>ケネディクス商業リート投資法人　投資証券</t>
  </si>
  <si>
    <t>Kenedix Retail REIT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</si>
  <si>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</si>
  <si>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</si>
  <si>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</si>
  <si>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</si>
  <si>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</si>
  <si>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</si>
  <si>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</si>
  <si>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</si>
  <si>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</si>
  <si>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</si>
  <si>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</si>
  <si>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</si>
  <si>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</si>
  <si>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</si>
  <si>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</si>
  <si>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</si>
  <si>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</si>
  <si>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</si>
  <si>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</si>
  <si>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</si>
  <si>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</si>
  <si>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</si>
  <si>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</si>
  <si>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</si>
  <si>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</si>
  <si>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大江戸温泉リート投資法人　投資証券</t>
  </si>
  <si>
    <t>Ooedo Onsen Reit Investment Corporation</t>
  </si>
  <si>
    <t>3473</t>
  </si>
  <si>
    <t>さくら総合リート投資法人　投資証券</t>
  </si>
  <si>
    <t>SAKURA SOGO REIT Investment Corporation</t>
  </si>
  <si>
    <t>3476</t>
  </si>
  <si>
    <t>投資法人みらい　投資証券</t>
  </si>
  <si>
    <t>MIRAI Corporation</t>
  </si>
  <si>
    <t>3478</t>
  </si>
  <si>
    <t>森トラスト・ホテルリート投資法人　投資証券</t>
  </si>
  <si>
    <t>MORI TRUST Hotel Reit,Inc.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</si>
  <si>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</si>
  <si>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</si>
  <si>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</si>
  <si>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</si>
  <si>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</si>
  <si>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</si>
  <si>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</si>
  <si>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ザイマックス・リート投資法人　投資証券</t>
  </si>
  <si>
    <t>XYMAX REIT Investment Corporation</t>
  </si>
  <si>
    <t>3492</t>
  </si>
  <si>
    <t>タカラレーベン不動産投資法人　投資証券</t>
  </si>
  <si>
    <t>Takara Leben Real Estate Investment Corporation</t>
  </si>
  <si>
    <t>3493</t>
  </si>
  <si>
    <t>伊藤忠アドバンス・ロジスティクス投資法人　投資証券</t>
  </si>
  <si>
    <t>ITOCHU Advance Logistics Investment Corporation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</si>
  <si>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</si>
  <si>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</si>
  <si>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</si>
  <si>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</si>
  <si>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</si>
  <si>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</si>
  <si>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</si>
  <si>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日本リテールファンド投資法人　投資証券</t>
  </si>
  <si>
    <t>Japan Retail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</si>
  <si>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</si>
  <si>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</si>
  <si>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</si>
  <si>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</si>
  <si>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</si>
  <si>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</si>
  <si>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</si>
  <si>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プレミア投資法人　投資証券</t>
  </si>
  <si>
    <t>Premier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</si>
  <si>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</si>
  <si>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</si>
  <si>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</si>
  <si>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</si>
  <si>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</si>
  <si>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</si>
  <si>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</si>
  <si>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</si>
  <si>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</si>
  <si>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</si>
  <si>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森トラスト総合リート投資法人　投資証券</t>
  </si>
  <si>
    <t>MORI TRUST Sogo Reit, 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</si>
  <si>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</si>
  <si>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</si>
  <si>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</si>
  <si>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</si>
  <si>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</si>
  <si>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</si>
  <si>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</si>
  <si>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</si>
  <si>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</si>
  <si>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</si>
  <si>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</si>
  <si>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</si>
  <si>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</si>
  <si>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</si>
  <si>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</si>
  <si>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</si>
  <si>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ケネディクス・オフィス投資法人　投資証券</t>
  </si>
  <si>
    <t>Kenedix Office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</si>
  <si>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</si>
  <si>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</si>
  <si>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</si>
  <si>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</si>
  <si>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</si>
  <si>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</si>
  <si>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</si>
  <si>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</si>
  <si>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</si>
  <si>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</si>
  <si>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</si>
  <si>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</si>
  <si>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</si>
  <si>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</si>
  <si>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</si>
  <si>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</si>
  <si>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</si>
  <si>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</si>
  <si>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</si>
  <si>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日本賃貸住宅投資法人　投資証券</t>
  </si>
  <si>
    <t>Japan Rental Housing Investments Inc.</t>
  </si>
  <si>
    <t>8987</t>
  </si>
  <si>
    <t>ジャパンエクセレント投資法人　投資証券</t>
  </si>
  <si>
    <t>Japan Excellent,Inc.</t>
  </si>
  <si>
    <t>9281</t>
  </si>
  <si>
    <t>タカラレーベン・インフラ投資法人　投資証券</t>
  </si>
  <si>
    <t>Takara Leben Infrastructure Fund,Inc.</t>
  </si>
  <si>
    <t>9282</t>
  </si>
  <si>
    <t>いちごグリーンインフラ投資法人　投資証券</t>
  </si>
  <si>
    <t>Ichigo Green Infrastructure Investment Corporation</t>
  </si>
  <si>
    <t>9283</t>
  </si>
  <si>
    <t>日本再生可能エネルギーインフラ投資法人　投資証券</t>
  </si>
  <si>
    <t>Renewable Japan Energy Infrastructure Fund,Inc.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</si>
  <si>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</si>
  <si>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</si>
  <si>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</si>
  <si>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</si>
  <si>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</si>
  <si>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</si>
  <si>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</si>
  <si>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</si>
  <si>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</si>
  <si>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</si>
  <si>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</si>
  <si>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</si>
  <si>
    <t xml:space="preserve">2020/02/20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</si>
</sst>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8" numFmtId="0"/>
    <xf applyAlignment="0" applyBorder="0" applyFill="0" applyFont="0" applyProtection="0" borderId="0" fillId="0" fontId="2" numFmtId="9"/>
    <xf borderId="0" fillId="0" fontId="12" numFmtId="0"/>
    <xf borderId="0" fillId="0" fontId="8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8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9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applyAlignment="0" applyFill="0" applyNumberFormat="0" applyProtection="0" borderId="30" fillId="0" fontId="31" numFmtId="0"/>
    <xf applyAlignment="0" applyFill="0" applyNumberFormat="0" applyProtection="0" borderId="31" fillId="0" fontId="32" numFmtId="0"/>
    <xf applyAlignment="0" applyFill="0" applyNumberFormat="0" applyProtection="0" borderId="32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7" fillId="7" fontId="34" numFmtId="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borderId="0" fillId="0" fontId="7" numFmtId="0"/>
    <xf applyAlignment="0" applyFill="0" applyNumberFormat="0" applyProtection="0" borderId="33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6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8" numFmtId="9"/>
    <xf applyAlignment="0" applyBorder="0" applyFill="0" applyFont="0" applyProtection="0" borderId="0" fillId="0" fontId="8" numFmtId="9">
      <alignment vertical="center"/>
    </xf>
    <xf applyAlignment="0" applyBorder="0" applyFill="0" applyFont="0" applyProtection="0" borderId="0" fillId="0" fontId="8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7" fillId="27" fontId="71" numFmtId="49"/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8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8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8" numFmtId="6"/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64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9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8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8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/>
    <xf borderId="0" fillId="0" fontId="8" numFmtId="0"/>
    <xf borderId="0" fillId="0" fontId="14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" numFmtId="0"/>
    <xf borderId="0" fillId="0" fontId="8" numFmtId="0"/>
    <xf borderId="0" fillId="0" fontId="83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3" numFmtId="0"/>
    <xf borderId="0" fillId="0" fontId="8" numFmtId="0"/>
    <xf borderId="0" fillId="0" fontId="83" numFmtId="0"/>
    <xf borderId="0" fillId="0" fontId="1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4" numFmtId="0">
      <alignment vertical="center"/>
    </xf>
    <xf borderId="0" fillId="0" fontId="8" numFmtId="0"/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/>
    <xf borderId="0" fillId="0" fontId="7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8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Font="1" applyNumberFormat="1" borderId="0" fillId="0" fontId="4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1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2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3" fillId="0" fontId="2" numFmtId="0" xfId="1">
      <alignment horizontal="center" vertical="center"/>
    </xf>
    <xf applyAlignment="1" applyBorder="1" applyFill="1" applyFont="1" applyNumberFormat="1" borderId="4" fillId="0" fontId="2" numFmtId="0" xfId="1">
      <alignment horizontal="center" vertical="center"/>
    </xf>
    <xf applyAlignment="1" applyBorder="1" applyFill="1" applyFont="1" applyNumberFormat="1" borderId="14" fillId="0" fontId="2" numFmtId="0" xfId="1">
      <alignment horizontal="center" vertical="center"/>
    </xf>
    <xf applyAlignment="1" applyBorder="1" applyFill="1" applyFont="1" applyNumberFormat="1" borderId="15" fillId="0" fontId="2" numFmtId="49" xfId="2">
      <alignment horizontal="center" vertical="center"/>
    </xf>
    <xf applyAlignment="1" applyBorder="1" applyFill="1" applyFont="1" applyNumberFormat="1" borderId="13" fillId="0" fontId="7" numFmtId="49" xfId="2">
      <alignment horizontal="center" vertical="center"/>
    </xf>
    <xf applyAlignment="1" applyBorder="1" applyFill="1" applyFont="1" applyNumberFormat="1" borderId="16" fillId="0" fontId="2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borderId="17" fillId="0" fontId="2" numFmtId="0" xfId="1">
      <alignment horizontal="right" vertical="center"/>
    </xf>
    <xf applyAlignment="1" applyBorder="1" applyFill="1" applyFont="1" applyNumberFormat="1" borderId="6" fillId="0" fontId="2" numFmtId="0" xfId="1">
      <alignment horizontal="right" vertical="center"/>
    </xf>
    <xf applyAlignment="1" applyBorder="1" applyFill="1" applyFont="1" applyNumberFormat="1" borderId="18" fillId="0" fontId="2" numFmtId="0" xfId="1">
      <alignment horizontal="right" vertical="center"/>
    </xf>
    <xf applyAlignment="1" applyBorder="1" applyFill="1" applyFont="1" applyNumberFormat="1" borderId="19" fillId="0" fontId="2" numFmtId="0" xfId="1">
      <alignment horizontal="right" vertical="center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20" fillId="0" fontId="11" numFmtId="49" xfId="2">
      <alignment horizontal="right"/>
    </xf>
    <xf applyAlignment="1" applyBorder="1" applyFill="1" applyFont="1" applyNumberFormat="1" borderId="19" fillId="0" fontId="11" numFmtId="49" xfId="2">
      <alignment horizontal="right"/>
    </xf>
    <xf applyAlignment="1" applyBorder="1" applyFill="1" applyFont="1" applyNumberFormat="1" borderId="21" fillId="0" fontId="7" numFmtId="49" xfId="1">
      <alignment horizontal="left" vertical="center"/>
    </xf>
    <xf applyAlignment="1" applyBorder="1" applyFill="1" applyFont="1" applyNumberFormat="1" borderId="22" fillId="0" fontId="7" numFmtId="49" xfId="1">
      <alignment horizontal="left" vertical="center"/>
    </xf>
    <xf applyAlignment="1" applyBorder="1" applyFill="1" applyFont="1" applyNumberFormat="1" borderId="23" fillId="0" fontId="7" numFmtId="49" xfId="1">
      <alignment horizontal="left" vertical="center"/>
    </xf>
    <xf applyAlignment="1" applyBorder="1" applyFill="1" applyFont="1" applyNumberFormat="1" borderId="24" fillId="0" fontId="7" numFmtId="49" xfId="1">
      <alignment horizontal="left" vertical="center"/>
    </xf>
    <xf applyAlignment="1" applyBorder="1" applyFill="1" applyFont="1" applyNumberFormat="1" borderId="21" fillId="0" fontId="7" numFmtId="49" xfId="2">
      <alignment horizontal="left"/>
    </xf>
    <xf applyAlignment="1" applyBorder="1" applyFill="1" applyFont="1" applyNumberFormat="1" borderId="21" fillId="0" fontId="7" numFmtId="3" xfId="2">
      <alignment horizontal="right"/>
    </xf>
    <xf applyAlignment="1" applyBorder="1" applyFill="1" applyFont="1" applyNumberFormat="1" borderId="25" fillId="0" fontId="7" numFmtId="4" xfId="2">
      <alignment horizontal="right"/>
    </xf>
    <xf applyAlignment="1" applyBorder="1" applyFill="1" applyFont="1" applyNumberFormat="1" borderId="24" fillId="0" fontId="7" numFmtId="49" xfId="2">
      <alignment horizontal="right"/>
    </xf>
    <xf applyAlignment="1" applyBorder="1" applyFill="1" applyFont="1" applyNumberFormat="1" borderId="21" fillId="0" fontId="7" numFmtId="4" xfId="2">
      <alignment horizontal="right"/>
    </xf>
    <xf applyAlignment="1" applyBorder="1" applyFill="1" applyFont="1" applyNumberFormat="1" borderId="21" fillId="0" fontId="7" numFmtId="189" xfId="2">
      <alignment horizontal="right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321"/>
  <sheetViews>
    <sheetView showGridLines="0" tabSelected="1" view="pageBreakPreview" workbookViewId="0" zoomScaleNormal="70" zoomScaleSheetLayoutView="100"/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customHeight="1" ht="13.5" r="1" spans="1:24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customHeight="1" ht="99" r="2" spans="1:24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customHeight="1" ht="39" r="3" spans="1:24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customFormat="1" customHeight="1" ht="13.5" r="4" s="2" spans="1:24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customFormat="1" customHeight="1" ht="13.5" r="7" s="2" spans="1:24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1739</f>
        <v>1739.0</v>
      </c>
      <c r="L7" s="34" t="s">
        <v>48</v>
      </c>
      <c r="M7" s="33" t="n">
        <f>1832</f>
        <v>1832.0</v>
      </c>
      <c r="N7" s="34" t="s">
        <v>49</v>
      </c>
      <c r="O7" s="33" t="n">
        <f>1576</f>
        <v>1576.0</v>
      </c>
      <c r="P7" s="34" t="s">
        <v>50</v>
      </c>
      <c r="Q7" s="33" t="n">
        <f>1589</f>
        <v>1589.0</v>
      </c>
      <c r="R7" s="34" t="s">
        <v>50</v>
      </c>
      <c r="S7" s="35" t="n">
        <f>1753.39</f>
        <v>1753.39</v>
      </c>
      <c r="T7" s="32" t="n">
        <f>8220720</f>
        <v>8220720.0</v>
      </c>
      <c r="U7" s="32" t="n">
        <f>1135950</f>
        <v>1135950.0</v>
      </c>
      <c r="V7" s="32" t="n">
        <f>14325608385</f>
        <v>1.4325608385E10</v>
      </c>
      <c r="W7" s="32" t="n">
        <f>1987250065</f>
        <v>1.987250065E9</v>
      </c>
      <c r="X7" s="36" t="n">
        <f>18</f>
        <v>18.0</v>
      </c>
    </row>
    <row r="8">
      <c r="A8" s="27" t="s">
        <v>42</v>
      </c>
      <c r="B8" s="27" t="s">
        <v>51</v>
      </c>
      <c r="C8" s="27" t="s">
        <v>52</v>
      </c>
      <c r="D8" s="27" t="s">
        <v>53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1716</f>
        <v>1716.0</v>
      </c>
      <c r="L8" s="34" t="s">
        <v>48</v>
      </c>
      <c r="M8" s="33" t="n">
        <f>1809</f>
        <v>1809.0</v>
      </c>
      <c r="N8" s="34" t="s">
        <v>49</v>
      </c>
      <c r="O8" s="33" t="n">
        <f>1556</f>
        <v>1556.0</v>
      </c>
      <c r="P8" s="34" t="s">
        <v>50</v>
      </c>
      <c r="Q8" s="33" t="n">
        <f>1566</f>
        <v>1566.0</v>
      </c>
      <c r="R8" s="34" t="s">
        <v>50</v>
      </c>
      <c r="S8" s="35" t="n">
        <f>1730.94</f>
        <v>1730.94</v>
      </c>
      <c r="T8" s="32" t="n">
        <f>52197840</f>
        <v>5.219784E7</v>
      </c>
      <c r="U8" s="32" t="n">
        <f>11730970</f>
        <v>1.173097E7</v>
      </c>
      <c r="V8" s="32" t="n">
        <f>89978468920</f>
        <v>8.997846892E10</v>
      </c>
      <c r="W8" s="32" t="n">
        <f>20332259760</f>
        <v>2.033225976E10</v>
      </c>
      <c r="X8" s="36" t="n">
        <f>18</f>
        <v>18.0</v>
      </c>
    </row>
    <row r="9">
      <c r="A9" s="27" t="s">
        <v>42</v>
      </c>
      <c r="B9" s="27" t="s">
        <v>54</v>
      </c>
      <c r="C9" s="27" t="s">
        <v>55</v>
      </c>
      <c r="D9" s="27" t="s">
        <v>56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100.0</v>
      </c>
      <c r="K9" s="33" t="n">
        <f>1698</f>
        <v>1698.0</v>
      </c>
      <c r="L9" s="34" t="s">
        <v>48</v>
      </c>
      <c r="M9" s="33" t="n">
        <f>1789</f>
        <v>1789.0</v>
      </c>
      <c r="N9" s="34" t="s">
        <v>49</v>
      </c>
      <c r="O9" s="33" t="n">
        <f>1540</f>
        <v>1540.0</v>
      </c>
      <c r="P9" s="34" t="s">
        <v>50</v>
      </c>
      <c r="Q9" s="33" t="n">
        <f>1554</f>
        <v>1554.0</v>
      </c>
      <c r="R9" s="34" t="s">
        <v>50</v>
      </c>
      <c r="S9" s="35" t="n">
        <f>1713.39</f>
        <v>1713.39</v>
      </c>
      <c r="T9" s="32" t="n">
        <f>5282600</f>
        <v>5282600.0</v>
      </c>
      <c r="U9" s="32" t="n">
        <f>600600</f>
        <v>600600.0</v>
      </c>
      <c r="V9" s="32" t="n">
        <f>8869717563</f>
        <v>8.869717563E9</v>
      </c>
      <c r="W9" s="32" t="n">
        <f>1049471063</f>
        <v>1.049471063E9</v>
      </c>
      <c r="X9" s="36" t="n">
        <f>18</f>
        <v>18.0</v>
      </c>
    </row>
    <row r="10">
      <c r="A10" s="27" t="s">
        <v>42</v>
      </c>
      <c r="B10" s="27" t="s">
        <v>57</v>
      </c>
      <c r="C10" s="27" t="s">
        <v>58</v>
      </c>
      <c r="D10" s="27" t="s">
        <v>59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30600</f>
        <v>30600.0</v>
      </c>
      <c r="L10" s="34" t="s">
        <v>48</v>
      </c>
      <c r="M10" s="33" t="n">
        <f>35050</f>
        <v>35050.0</v>
      </c>
      <c r="N10" s="34" t="s">
        <v>60</v>
      </c>
      <c r="O10" s="33" t="n">
        <f>30550</f>
        <v>30550.0</v>
      </c>
      <c r="P10" s="34" t="s">
        <v>48</v>
      </c>
      <c r="Q10" s="33" t="n">
        <f>32250</f>
        <v>32250.0</v>
      </c>
      <c r="R10" s="34" t="s">
        <v>50</v>
      </c>
      <c r="S10" s="35" t="n">
        <f>33275</f>
        <v>33275.0</v>
      </c>
      <c r="T10" s="32" t="n">
        <f>23725</f>
        <v>23725.0</v>
      </c>
      <c r="U10" s="32" t="n">
        <f>35</f>
        <v>35.0</v>
      </c>
      <c r="V10" s="32" t="n">
        <f>780520996</f>
        <v>7.80520996E8</v>
      </c>
      <c r="W10" s="32" t="n">
        <f>1128096</f>
        <v>1128096.0</v>
      </c>
      <c r="X10" s="36" t="n">
        <f>18</f>
        <v>18.0</v>
      </c>
    </row>
    <row r="11">
      <c r="A11" s="27" t="s">
        <v>42</v>
      </c>
      <c r="B11" s="27" t="s">
        <v>61</v>
      </c>
      <c r="C11" s="27" t="s">
        <v>62</v>
      </c>
      <c r="D11" s="27" t="s">
        <v>63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10.0</v>
      </c>
      <c r="K11" s="33" t="n">
        <f>775</f>
        <v>775.0</v>
      </c>
      <c r="L11" s="34" t="s">
        <v>48</v>
      </c>
      <c r="M11" s="33" t="n">
        <f>811</f>
        <v>811.0</v>
      </c>
      <c r="N11" s="34" t="s">
        <v>49</v>
      </c>
      <c r="O11" s="33" t="n">
        <f>712</f>
        <v>712.0</v>
      </c>
      <c r="P11" s="34" t="s">
        <v>50</v>
      </c>
      <c r="Q11" s="33" t="n">
        <f>715</f>
        <v>715.0</v>
      </c>
      <c r="R11" s="34" t="s">
        <v>50</v>
      </c>
      <c r="S11" s="35" t="n">
        <f>784.94</f>
        <v>784.94</v>
      </c>
      <c r="T11" s="32" t="n">
        <f>2715280</f>
        <v>2715280.0</v>
      </c>
      <c r="U11" s="32" t="n">
        <f>2530770</f>
        <v>2530770.0</v>
      </c>
      <c r="V11" s="32" t="n">
        <f>2116345660</f>
        <v>2.11634566E9</v>
      </c>
      <c r="W11" s="32" t="n">
        <f>1972039900</f>
        <v>1.9720399E9</v>
      </c>
      <c r="X11" s="36" t="n">
        <f>18</f>
        <v>18.0</v>
      </c>
    </row>
    <row r="12">
      <c r="A12" s="27" t="s">
        <v>42</v>
      </c>
      <c r="B12" s="27" t="s">
        <v>64</v>
      </c>
      <c r="C12" s="27" t="s">
        <v>65</v>
      </c>
      <c r="D12" s="27" t="s">
        <v>66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1.0</v>
      </c>
      <c r="K12" s="33" t="n">
        <f>19610</f>
        <v>19610.0</v>
      </c>
      <c r="L12" s="34" t="s">
        <v>48</v>
      </c>
      <c r="M12" s="33" t="n">
        <f>20250</f>
        <v>20250.0</v>
      </c>
      <c r="N12" s="34" t="s">
        <v>67</v>
      </c>
      <c r="O12" s="33" t="n">
        <f>17220</f>
        <v>17220.0</v>
      </c>
      <c r="P12" s="34" t="s">
        <v>50</v>
      </c>
      <c r="Q12" s="33" t="n">
        <f>17220</f>
        <v>17220.0</v>
      </c>
      <c r="R12" s="34" t="s">
        <v>50</v>
      </c>
      <c r="S12" s="35" t="n">
        <f>19237.14</f>
        <v>19237.14</v>
      </c>
      <c r="T12" s="32" t="n">
        <f>882</f>
        <v>882.0</v>
      </c>
      <c r="U12" s="32" t="str">
        <f>"－"</f>
        <v>－</v>
      </c>
      <c r="V12" s="32" t="n">
        <f>16217030</f>
        <v>1.621703E7</v>
      </c>
      <c r="W12" s="32" t="str">
        <f>"－"</f>
        <v>－</v>
      </c>
      <c r="X12" s="36" t="n">
        <f>14</f>
        <v>14.0</v>
      </c>
    </row>
    <row r="13">
      <c r="A13" s="27" t="s">
        <v>42</v>
      </c>
      <c r="B13" s="27" t="s">
        <v>68</v>
      </c>
      <c r="C13" s="27" t="s">
        <v>69</v>
      </c>
      <c r="D13" s="27" t="s">
        <v>70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10.0</v>
      </c>
      <c r="K13" s="33" t="n">
        <f>2611</f>
        <v>2611.0</v>
      </c>
      <c r="L13" s="34" t="s">
        <v>48</v>
      </c>
      <c r="M13" s="33" t="n">
        <f>2881</f>
        <v>2881.0</v>
      </c>
      <c r="N13" s="34" t="s">
        <v>71</v>
      </c>
      <c r="O13" s="33" t="n">
        <f>2420</f>
        <v>2420.0</v>
      </c>
      <c r="P13" s="34" t="s">
        <v>50</v>
      </c>
      <c r="Q13" s="33" t="n">
        <f>2440</f>
        <v>2440.0</v>
      </c>
      <c r="R13" s="34" t="s">
        <v>50</v>
      </c>
      <c r="S13" s="35" t="n">
        <f>2736.53</f>
        <v>2736.53</v>
      </c>
      <c r="T13" s="32" t="n">
        <f>5860</f>
        <v>5860.0</v>
      </c>
      <c r="U13" s="32" t="str">
        <f>"－"</f>
        <v>－</v>
      </c>
      <c r="V13" s="32" t="n">
        <f>14995830</f>
        <v>1.499583E7</v>
      </c>
      <c r="W13" s="32" t="str">
        <f>"－"</f>
        <v>－</v>
      </c>
      <c r="X13" s="36" t="n">
        <f>17</f>
        <v>17.0</v>
      </c>
    </row>
    <row r="14">
      <c r="A14" s="27" t="s">
        <v>42</v>
      </c>
      <c r="B14" s="27" t="s">
        <v>72</v>
      </c>
      <c r="C14" s="27" t="s">
        <v>73</v>
      </c>
      <c r="D14" s="27" t="s">
        <v>74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1000.0</v>
      </c>
      <c r="K14" s="33" t="n">
        <f>328</f>
        <v>328.0</v>
      </c>
      <c r="L14" s="34" t="s">
        <v>48</v>
      </c>
      <c r="M14" s="33" t="n">
        <f>345</f>
        <v>345.0</v>
      </c>
      <c r="N14" s="34" t="s">
        <v>49</v>
      </c>
      <c r="O14" s="33" t="n">
        <f>300</f>
        <v>300.0</v>
      </c>
      <c r="P14" s="34" t="s">
        <v>50</v>
      </c>
      <c r="Q14" s="33" t="n">
        <f>301</f>
        <v>301.0</v>
      </c>
      <c r="R14" s="34" t="s">
        <v>50</v>
      </c>
      <c r="S14" s="35" t="n">
        <f>330.57</f>
        <v>330.57</v>
      </c>
      <c r="T14" s="32" t="n">
        <f>95000</f>
        <v>95000.0</v>
      </c>
      <c r="U14" s="32" t="str">
        <f>"－"</f>
        <v>－</v>
      </c>
      <c r="V14" s="32" t="n">
        <f>31258000</f>
        <v>3.1258E7</v>
      </c>
      <c r="W14" s="32" t="str">
        <f>"－"</f>
        <v>－</v>
      </c>
      <c r="X14" s="36" t="n">
        <f>14</f>
        <v>14.0</v>
      </c>
    </row>
    <row r="15">
      <c r="A15" s="27" t="s">
        <v>42</v>
      </c>
      <c r="B15" s="27" t="s">
        <v>75</v>
      </c>
      <c r="C15" s="27" t="s">
        <v>76</v>
      </c>
      <c r="D15" s="27" t="s">
        <v>77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1.0</v>
      </c>
      <c r="K15" s="33" t="n">
        <f>23450</f>
        <v>23450.0</v>
      </c>
      <c r="L15" s="34" t="s">
        <v>48</v>
      </c>
      <c r="M15" s="33" t="n">
        <f>24690</f>
        <v>24690.0</v>
      </c>
      <c r="N15" s="34" t="s">
        <v>49</v>
      </c>
      <c r="O15" s="33" t="n">
        <f>21540</f>
        <v>21540.0</v>
      </c>
      <c r="P15" s="34" t="s">
        <v>50</v>
      </c>
      <c r="Q15" s="33" t="n">
        <f>21750</f>
        <v>21750.0</v>
      </c>
      <c r="R15" s="34" t="s">
        <v>50</v>
      </c>
      <c r="S15" s="35" t="n">
        <f>23853.89</f>
        <v>23853.89</v>
      </c>
      <c r="T15" s="32" t="n">
        <f>1626468</f>
        <v>1626468.0</v>
      </c>
      <c r="U15" s="32" t="n">
        <f>146850</f>
        <v>146850.0</v>
      </c>
      <c r="V15" s="32" t="n">
        <f>38065418413</f>
        <v>3.8065418413E10</v>
      </c>
      <c r="W15" s="32" t="n">
        <f>3579860893</f>
        <v>3.579860893E9</v>
      </c>
      <c r="X15" s="36" t="n">
        <f>18</f>
        <v>18.0</v>
      </c>
    </row>
    <row r="16">
      <c r="A16" s="27" t="s">
        <v>42</v>
      </c>
      <c r="B16" s="27" t="s">
        <v>78</v>
      </c>
      <c r="C16" s="27" t="s">
        <v>79</v>
      </c>
      <c r="D16" s="27" t="s">
        <v>80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1.0</v>
      </c>
      <c r="K16" s="33" t="n">
        <f>23480</f>
        <v>23480.0</v>
      </c>
      <c r="L16" s="34" t="s">
        <v>48</v>
      </c>
      <c r="M16" s="33" t="n">
        <f>24730</f>
        <v>24730.0</v>
      </c>
      <c r="N16" s="34" t="s">
        <v>49</v>
      </c>
      <c r="O16" s="33" t="n">
        <f>21590</f>
        <v>21590.0</v>
      </c>
      <c r="P16" s="34" t="s">
        <v>50</v>
      </c>
      <c r="Q16" s="33" t="n">
        <f>21790</f>
        <v>21790.0</v>
      </c>
      <c r="R16" s="34" t="s">
        <v>50</v>
      </c>
      <c r="S16" s="35" t="n">
        <f>23892.78</f>
        <v>23892.78</v>
      </c>
      <c r="T16" s="32" t="n">
        <f>5300968</f>
        <v>5300968.0</v>
      </c>
      <c r="U16" s="32" t="n">
        <f>348404</f>
        <v>348404.0</v>
      </c>
      <c r="V16" s="32" t="n">
        <f>124727417409</f>
        <v>1.24727417409E11</v>
      </c>
      <c r="W16" s="32" t="n">
        <f>8343715979</f>
        <v>8.343715979E9</v>
      </c>
      <c r="X16" s="36" t="n">
        <f>18</f>
        <v>18.0</v>
      </c>
    </row>
    <row r="17">
      <c r="A17" s="27" t="s">
        <v>42</v>
      </c>
      <c r="B17" s="27" t="s">
        <v>81</v>
      </c>
      <c r="C17" s="27" t="s">
        <v>82</v>
      </c>
      <c r="D17" s="27" t="s">
        <v>83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10.0</v>
      </c>
      <c r="K17" s="33" t="n">
        <f>5660</f>
        <v>5660.0</v>
      </c>
      <c r="L17" s="34" t="s">
        <v>48</v>
      </c>
      <c r="M17" s="33" t="n">
        <f>6180</f>
        <v>6180.0</v>
      </c>
      <c r="N17" s="34" t="s">
        <v>60</v>
      </c>
      <c r="O17" s="33" t="n">
        <f>5440</f>
        <v>5440.0</v>
      </c>
      <c r="P17" s="34" t="s">
        <v>48</v>
      </c>
      <c r="Q17" s="33" t="n">
        <f>5700</f>
        <v>5700.0</v>
      </c>
      <c r="R17" s="34" t="s">
        <v>50</v>
      </c>
      <c r="S17" s="35" t="n">
        <f>5820.56</f>
        <v>5820.56</v>
      </c>
      <c r="T17" s="32" t="n">
        <f>13590</f>
        <v>13590.0</v>
      </c>
      <c r="U17" s="32" t="n">
        <f>60</f>
        <v>60.0</v>
      </c>
      <c r="V17" s="32" t="n">
        <f>79241700</f>
        <v>7.92417E7</v>
      </c>
      <c r="W17" s="32" t="n">
        <f>345600</f>
        <v>345600.0</v>
      </c>
      <c r="X17" s="36" t="n">
        <f>18</f>
        <v>18.0</v>
      </c>
    </row>
    <row r="18">
      <c r="A18" s="27" t="s">
        <v>42</v>
      </c>
      <c r="B18" s="27" t="s">
        <v>84</v>
      </c>
      <c r="C18" s="27" t="s">
        <v>85</v>
      </c>
      <c r="D18" s="27" t="s">
        <v>86</v>
      </c>
      <c r="E18" s="28" t="s">
        <v>46</v>
      </c>
      <c r="F18" s="29" t="s">
        <v>46</v>
      </c>
      <c r="G18" s="30" t="s">
        <v>46</v>
      </c>
      <c r="H18" s="31"/>
      <c r="I18" s="31" t="s">
        <v>47</v>
      </c>
      <c r="J18" s="32" t="n">
        <v>100.0</v>
      </c>
      <c r="K18" s="33" t="n">
        <f>355</f>
        <v>355.0</v>
      </c>
      <c r="L18" s="34" t="s">
        <v>48</v>
      </c>
      <c r="M18" s="33" t="n">
        <f>365</f>
        <v>365.0</v>
      </c>
      <c r="N18" s="34" t="s">
        <v>49</v>
      </c>
      <c r="O18" s="33" t="n">
        <f>335</f>
        <v>335.0</v>
      </c>
      <c r="P18" s="34" t="s">
        <v>50</v>
      </c>
      <c r="Q18" s="33" t="n">
        <f>337</f>
        <v>337.0</v>
      </c>
      <c r="R18" s="34" t="s">
        <v>50</v>
      </c>
      <c r="S18" s="35" t="n">
        <f>358.83</f>
        <v>358.83</v>
      </c>
      <c r="T18" s="32" t="n">
        <f>37500</f>
        <v>37500.0</v>
      </c>
      <c r="U18" s="32" t="str">
        <f>"－"</f>
        <v>－</v>
      </c>
      <c r="V18" s="32" t="n">
        <f>13255500</f>
        <v>1.32555E7</v>
      </c>
      <c r="W18" s="32" t="str">
        <f>"－"</f>
        <v>－</v>
      </c>
      <c r="X18" s="36" t="n">
        <f>18</f>
        <v>18.0</v>
      </c>
    </row>
    <row r="19">
      <c r="A19" s="27" t="s">
        <v>42</v>
      </c>
      <c r="B19" s="27" t="s">
        <v>87</v>
      </c>
      <c r="C19" s="27" t="s">
        <v>88</v>
      </c>
      <c r="D19" s="27" t="s">
        <v>89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100.0</v>
      </c>
      <c r="K19" s="33" t="n">
        <f>161</f>
        <v>161.0</v>
      </c>
      <c r="L19" s="34" t="s">
        <v>48</v>
      </c>
      <c r="M19" s="33" t="n">
        <f>170</f>
        <v>170.0</v>
      </c>
      <c r="N19" s="34" t="s">
        <v>49</v>
      </c>
      <c r="O19" s="33" t="n">
        <f>134</f>
        <v>134.0</v>
      </c>
      <c r="P19" s="34" t="s">
        <v>50</v>
      </c>
      <c r="Q19" s="33" t="n">
        <f>139</f>
        <v>139.0</v>
      </c>
      <c r="R19" s="34" t="s">
        <v>50</v>
      </c>
      <c r="S19" s="35" t="n">
        <f>160.78</f>
        <v>160.78</v>
      </c>
      <c r="T19" s="32" t="n">
        <f>759000</f>
        <v>759000.0</v>
      </c>
      <c r="U19" s="32" t="n">
        <f>3900</f>
        <v>3900.0</v>
      </c>
      <c r="V19" s="32" t="n">
        <f>117745523</f>
        <v>1.17745523E8</v>
      </c>
      <c r="W19" s="32" t="n">
        <f>555123</f>
        <v>555123.0</v>
      </c>
      <c r="X19" s="36" t="n">
        <f>18</f>
        <v>18.0</v>
      </c>
    </row>
    <row r="20">
      <c r="A20" s="27" t="s">
        <v>42</v>
      </c>
      <c r="B20" s="27" t="s">
        <v>90</v>
      </c>
      <c r="C20" s="27" t="s">
        <v>91</v>
      </c>
      <c r="D20" s="27" t="s">
        <v>92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100.0</v>
      </c>
      <c r="K20" s="33" t="n">
        <f>207</f>
        <v>207.0</v>
      </c>
      <c r="L20" s="34" t="s">
        <v>48</v>
      </c>
      <c r="M20" s="33" t="n">
        <f>217</f>
        <v>217.0</v>
      </c>
      <c r="N20" s="34" t="s">
        <v>49</v>
      </c>
      <c r="O20" s="33" t="n">
        <f>179</f>
        <v>179.0</v>
      </c>
      <c r="P20" s="34" t="s">
        <v>50</v>
      </c>
      <c r="Q20" s="33" t="n">
        <f>179</f>
        <v>179.0</v>
      </c>
      <c r="R20" s="34" t="s">
        <v>50</v>
      </c>
      <c r="S20" s="35" t="n">
        <f>207</f>
        <v>207.0</v>
      </c>
      <c r="T20" s="32" t="n">
        <f>432700</f>
        <v>432700.0</v>
      </c>
      <c r="U20" s="32" t="n">
        <f>100</f>
        <v>100.0</v>
      </c>
      <c r="V20" s="32" t="n">
        <f>86863590</f>
        <v>8.686359E7</v>
      </c>
      <c r="W20" s="32" t="n">
        <f>21590</f>
        <v>21590.0</v>
      </c>
      <c r="X20" s="36" t="n">
        <f>18</f>
        <v>18.0</v>
      </c>
    </row>
    <row r="21">
      <c r="A21" s="27" t="s">
        <v>42</v>
      </c>
      <c r="B21" s="27" t="s">
        <v>93</v>
      </c>
      <c r="C21" s="27" t="s">
        <v>94</v>
      </c>
      <c r="D21" s="27" t="s">
        <v>95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1.0</v>
      </c>
      <c r="K21" s="33" t="n">
        <f>16240</f>
        <v>16240.0</v>
      </c>
      <c r="L21" s="34" t="s">
        <v>48</v>
      </c>
      <c r="M21" s="33" t="n">
        <f>17410</f>
        <v>17410.0</v>
      </c>
      <c r="N21" s="34" t="s">
        <v>96</v>
      </c>
      <c r="O21" s="33" t="n">
        <f>16000</f>
        <v>16000.0</v>
      </c>
      <c r="P21" s="34" t="s">
        <v>97</v>
      </c>
      <c r="Q21" s="33" t="n">
        <f>16700</f>
        <v>16700.0</v>
      </c>
      <c r="R21" s="34" t="s">
        <v>50</v>
      </c>
      <c r="S21" s="35" t="n">
        <f>16512.22</f>
        <v>16512.22</v>
      </c>
      <c r="T21" s="32" t="n">
        <f>215168</f>
        <v>215168.0</v>
      </c>
      <c r="U21" s="32" t="str">
        <f>"－"</f>
        <v>－</v>
      </c>
      <c r="V21" s="32" t="n">
        <f>3583759860</f>
        <v>3.58375986E9</v>
      </c>
      <c r="W21" s="32" t="str">
        <f>"－"</f>
        <v>－</v>
      </c>
      <c r="X21" s="36" t="n">
        <f>18</f>
        <v>18.0</v>
      </c>
    </row>
    <row r="22">
      <c r="A22" s="27" t="s">
        <v>42</v>
      </c>
      <c r="B22" s="27" t="s">
        <v>98</v>
      </c>
      <c r="C22" s="27" t="s">
        <v>99</v>
      </c>
      <c r="D22" s="27" t="s">
        <v>100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1.0</v>
      </c>
      <c r="K22" s="33" t="n">
        <f>3115</f>
        <v>3115.0</v>
      </c>
      <c r="L22" s="34" t="s">
        <v>48</v>
      </c>
      <c r="M22" s="33" t="n">
        <f>3160</f>
        <v>3160.0</v>
      </c>
      <c r="N22" s="34" t="s">
        <v>101</v>
      </c>
      <c r="O22" s="33" t="n">
        <f>2989</f>
        <v>2989.0</v>
      </c>
      <c r="P22" s="34" t="s">
        <v>49</v>
      </c>
      <c r="Q22" s="33" t="n">
        <f>3005</f>
        <v>3005.0</v>
      </c>
      <c r="R22" s="34" t="s">
        <v>50</v>
      </c>
      <c r="S22" s="35" t="n">
        <f>3095.83</f>
        <v>3095.83</v>
      </c>
      <c r="T22" s="32" t="n">
        <f>944</f>
        <v>944.0</v>
      </c>
      <c r="U22" s="32" t="str">
        <f>"－"</f>
        <v>－</v>
      </c>
      <c r="V22" s="32" t="n">
        <f>2887405</f>
        <v>2887405.0</v>
      </c>
      <c r="W22" s="32" t="str">
        <f>"－"</f>
        <v>－</v>
      </c>
      <c r="X22" s="36" t="n">
        <f>18</f>
        <v>18.0</v>
      </c>
    </row>
    <row r="23">
      <c r="A23" s="27" t="s">
        <v>42</v>
      </c>
      <c r="B23" s="27" t="s">
        <v>102</v>
      </c>
      <c r="C23" s="27" t="s">
        <v>103</v>
      </c>
      <c r="D23" s="27" t="s">
        <v>104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10.0</v>
      </c>
      <c r="K23" s="33" t="n">
        <f>4460</f>
        <v>4460.0</v>
      </c>
      <c r="L23" s="34" t="s">
        <v>48</v>
      </c>
      <c r="M23" s="33" t="n">
        <f>4840</f>
        <v>4840.0</v>
      </c>
      <c r="N23" s="34" t="s">
        <v>96</v>
      </c>
      <c r="O23" s="33" t="n">
        <f>4340</f>
        <v>4340.0</v>
      </c>
      <c r="P23" s="34" t="s">
        <v>49</v>
      </c>
      <c r="Q23" s="33" t="n">
        <f>4740</f>
        <v>4740.0</v>
      </c>
      <c r="R23" s="34" t="s">
        <v>50</v>
      </c>
      <c r="S23" s="35" t="n">
        <f>4519.17</f>
        <v>4519.17</v>
      </c>
      <c r="T23" s="32" t="n">
        <f>173000</f>
        <v>173000.0</v>
      </c>
      <c r="U23" s="32" t="n">
        <f>130</f>
        <v>130.0</v>
      </c>
      <c r="V23" s="32" t="n">
        <f>800558150</f>
        <v>8.0055815E8</v>
      </c>
      <c r="W23" s="32" t="n">
        <f>616200</f>
        <v>616200.0</v>
      </c>
      <c r="X23" s="36" t="n">
        <f>18</f>
        <v>18.0</v>
      </c>
    </row>
    <row r="24">
      <c r="A24" s="27" t="s">
        <v>42</v>
      </c>
      <c r="B24" s="27" t="s">
        <v>105</v>
      </c>
      <c r="C24" s="27" t="s">
        <v>106</v>
      </c>
      <c r="D24" s="27" t="s">
        <v>107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1.0</v>
      </c>
      <c r="K24" s="33" t="n">
        <f>23570</f>
        <v>23570.0</v>
      </c>
      <c r="L24" s="34" t="s">
        <v>48</v>
      </c>
      <c r="M24" s="33" t="n">
        <f>24660</f>
        <v>24660.0</v>
      </c>
      <c r="N24" s="34" t="s">
        <v>49</v>
      </c>
      <c r="O24" s="33" t="n">
        <f>21470</f>
        <v>21470.0</v>
      </c>
      <c r="P24" s="34" t="s">
        <v>50</v>
      </c>
      <c r="Q24" s="33" t="n">
        <f>21620</f>
        <v>21620.0</v>
      </c>
      <c r="R24" s="34" t="s">
        <v>50</v>
      </c>
      <c r="S24" s="35" t="n">
        <f>23810.56</f>
        <v>23810.56</v>
      </c>
      <c r="T24" s="32" t="n">
        <f>1042061</f>
        <v>1042061.0</v>
      </c>
      <c r="U24" s="32" t="n">
        <f>472267</f>
        <v>472267.0</v>
      </c>
      <c r="V24" s="32" t="n">
        <f>24748406450</f>
        <v>2.474840645E10</v>
      </c>
      <c r="W24" s="32" t="n">
        <f>11342896750</f>
        <v>1.134289675E10</v>
      </c>
      <c r="X24" s="36" t="n">
        <f>18</f>
        <v>18.0</v>
      </c>
    </row>
    <row r="25">
      <c r="A25" s="27" t="s">
        <v>42</v>
      </c>
      <c r="B25" s="27" t="s">
        <v>108</v>
      </c>
      <c r="C25" s="27" t="s">
        <v>109</v>
      </c>
      <c r="D25" s="27" t="s">
        <v>110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10.0</v>
      </c>
      <c r="K25" s="33" t="n">
        <f>23530</f>
        <v>23530.0</v>
      </c>
      <c r="L25" s="34" t="s">
        <v>48</v>
      </c>
      <c r="M25" s="33" t="n">
        <f>24800</f>
        <v>24800.0</v>
      </c>
      <c r="N25" s="34" t="s">
        <v>49</v>
      </c>
      <c r="O25" s="33" t="n">
        <f>21640</f>
        <v>21640.0</v>
      </c>
      <c r="P25" s="34" t="s">
        <v>50</v>
      </c>
      <c r="Q25" s="33" t="n">
        <f>21770</f>
        <v>21770.0</v>
      </c>
      <c r="R25" s="34" t="s">
        <v>50</v>
      </c>
      <c r="S25" s="35" t="n">
        <f>23949.44</f>
        <v>23949.44</v>
      </c>
      <c r="T25" s="32" t="n">
        <f>1485040</f>
        <v>1485040.0</v>
      </c>
      <c r="U25" s="32" t="n">
        <f>142440</f>
        <v>142440.0</v>
      </c>
      <c r="V25" s="32" t="n">
        <f>34870251743</f>
        <v>3.4870251743E10</v>
      </c>
      <c r="W25" s="32" t="n">
        <f>3458349843</f>
        <v>3.458349843E9</v>
      </c>
      <c r="X25" s="36" t="n">
        <f>18</f>
        <v>18.0</v>
      </c>
    </row>
    <row r="26">
      <c r="A26" s="27" t="s">
        <v>42</v>
      </c>
      <c r="B26" s="27" t="s">
        <v>111</v>
      </c>
      <c r="C26" s="27" t="s">
        <v>112</v>
      </c>
      <c r="D26" s="27" t="s">
        <v>113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10.0</v>
      </c>
      <c r="K26" s="33" t="n">
        <f>2373</f>
        <v>2373.0</v>
      </c>
      <c r="L26" s="34" t="s">
        <v>48</v>
      </c>
      <c r="M26" s="33" t="n">
        <f>2402</f>
        <v>2402.0</v>
      </c>
      <c r="N26" s="34" t="s">
        <v>114</v>
      </c>
      <c r="O26" s="33" t="n">
        <f>2150</f>
        <v>2150.0</v>
      </c>
      <c r="P26" s="34" t="s">
        <v>50</v>
      </c>
      <c r="Q26" s="33" t="n">
        <f>2159</f>
        <v>2159.0</v>
      </c>
      <c r="R26" s="34" t="s">
        <v>50</v>
      </c>
      <c r="S26" s="35" t="n">
        <f>2354.39</f>
        <v>2354.39</v>
      </c>
      <c r="T26" s="32" t="n">
        <f>8247950</f>
        <v>8247950.0</v>
      </c>
      <c r="U26" s="32" t="n">
        <f>1066210</f>
        <v>1066210.0</v>
      </c>
      <c r="V26" s="32" t="n">
        <f>19225591450</f>
        <v>1.922559145E10</v>
      </c>
      <c r="W26" s="32" t="n">
        <f>2480688110</f>
        <v>2.48068811E9</v>
      </c>
      <c r="X26" s="36" t="n">
        <f>18</f>
        <v>18.0</v>
      </c>
    </row>
    <row r="27">
      <c r="A27" s="27" t="s">
        <v>42</v>
      </c>
      <c r="B27" s="27" t="s">
        <v>115</v>
      </c>
      <c r="C27" s="27" t="s">
        <v>116</v>
      </c>
      <c r="D27" s="27" t="s">
        <v>117</v>
      </c>
      <c r="E27" s="28" t="s">
        <v>46</v>
      </c>
      <c r="F27" s="29" t="s">
        <v>46</v>
      </c>
      <c r="G27" s="30" t="s">
        <v>46</v>
      </c>
      <c r="H27" s="31"/>
      <c r="I27" s="31" t="s">
        <v>47</v>
      </c>
      <c r="J27" s="32" t="n">
        <v>10.0</v>
      </c>
      <c r="K27" s="33" t="n">
        <f>744</f>
        <v>744.0</v>
      </c>
      <c r="L27" s="34" t="s">
        <v>48</v>
      </c>
      <c r="M27" s="33" t="n">
        <f>776</f>
        <v>776.0</v>
      </c>
      <c r="N27" s="34" t="s">
        <v>96</v>
      </c>
      <c r="O27" s="33" t="n">
        <f>692</f>
        <v>692.0</v>
      </c>
      <c r="P27" s="34" t="s">
        <v>50</v>
      </c>
      <c r="Q27" s="33" t="n">
        <f>726</f>
        <v>726.0</v>
      </c>
      <c r="R27" s="34" t="s">
        <v>50</v>
      </c>
      <c r="S27" s="35" t="n">
        <f>745.61</f>
        <v>745.61</v>
      </c>
      <c r="T27" s="32" t="n">
        <f>44640</f>
        <v>44640.0</v>
      </c>
      <c r="U27" s="32" t="str">
        <f>"－"</f>
        <v>－</v>
      </c>
      <c r="V27" s="32" t="n">
        <f>33623410</f>
        <v>3.362341E7</v>
      </c>
      <c r="W27" s="32" t="str">
        <f>"－"</f>
        <v>－</v>
      </c>
      <c r="X27" s="36" t="n">
        <f>18</f>
        <v>18.0</v>
      </c>
    </row>
    <row r="28">
      <c r="A28" s="27" t="s">
        <v>42</v>
      </c>
      <c r="B28" s="27" t="s">
        <v>118</v>
      </c>
      <c r="C28" s="27" t="s">
        <v>119</v>
      </c>
      <c r="D28" s="27" t="s">
        <v>120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100.0</v>
      </c>
      <c r="K28" s="33" t="n">
        <f>2229</f>
        <v>2229.0</v>
      </c>
      <c r="L28" s="34" t="s">
        <v>48</v>
      </c>
      <c r="M28" s="33" t="n">
        <f>2280</f>
        <v>2280.0</v>
      </c>
      <c r="N28" s="34" t="s">
        <v>60</v>
      </c>
      <c r="O28" s="33" t="n">
        <f>2039</f>
        <v>2039.0</v>
      </c>
      <c r="P28" s="34" t="s">
        <v>50</v>
      </c>
      <c r="Q28" s="33" t="n">
        <f>2048</f>
        <v>2048.0</v>
      </c>
      <c r="R28" s="34" t="s">
        <v>50</v>
      </c>
      <c r="S28" s="35" t="n">
        <f>2228.78</f>
        <v>2228.78</v>
      </c>
      <c r="T28" s="32" t="n">
        <f>1703100</f>
        <v>1703100.0</v>
      </c>
      <c r="U28" s="32" t="n">
        <f>68700</f>
        <v>68700.0</v>
      </c>
      <c r="V28" s="32" t="n">
        <f>3760655935</f>
        <v>3.760655935E9</v>
      </c>
      <c r="W28" s="32" t="n">
        <f>154939335</f>
        <v>1.54939335E8</v>
      </c>
      <c r="X28" s="36" t="n">
        <f>18</f>
        <v>18.0</v>
      </c>
    </row>
    <row r="29">
      <c r="A29" s="27" t="s">
        <v>42</v>
      </c>
      <c r="B29" s="27" t="s">
        <v>121</v>
      </c>
      <c r="C29" s="27" t="s">
        <v>122</v>
      </c>
      <c r="D29" s="27" t="s">
        <v>123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1.0</v>
      </c>
      <c r="K29" s="33" t="n">
        <f>23400</f>
        <v>23400.0</v>
      </c>
      <c r="L29" s="34" t="s">
        <v>48</v>
      </c>
      <c r="M29" s="33" t="n">
        <f>24650</f>
        <v>24650.0</v>
      </c>
      <c r="N29" s="34" t="s">
        <v>49</v>
      </c>
      <c r="O29" s="33" t="n">
        <f>21530</f>
        <v>21530.0</v>
      </c>
      <c r="P29" s="34" t="s">
        <v>50</v>
      </c>
      <c r="Q29" s="33" t="n">
        <f>21690</f>
        <v>21690.0</v>
      </c>
      <c r="R29" s="34" t="s">
        <v>50</v>
      </c>
      <c r="S29" s="35" t="n">
        <f>23813.33</f>
        <v>23813.33</v>
      </c>
      <c r="T29" s="32" t="n">
        <f>587969</f>
        <v>587969.0</v>
      </c>
      <c r="U29" s="32" t="n">
        <f>36112</f>
        <v>36112.0</v>
      </c>
      <c r="V29" s="32" t="n">
        <f>13758809796</f>
        <v>1.3758809796E10</v>
      </c>
      <c r="W29" s="32" t="n">
        <f>858555516</f>
        <v>8.58555516E8</v>
      </c>
      <c r="X29" s="36" t="n">
        <f>18</f>
        <v>18.0</v>
      </c>
    </row>
    <row r="30">
      <c r="A30" s="27" t="s">
        <v>42</v>
      </c>
      <c r="B30" s="27" t="s">
        <v>124</v>
      </c>
      <c r="C30" s="27" t="s">
        <v>125</v>
      </c>
      <c r="D30" s="27" t="s">
        <v>126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10.0</v>
      </c>
      <c r="K30" s="33" t="n">
        <f>1702</f>
        <v>1702.0</v>
      </c>
      <c r="L30" s="34" t="s">
        <v>48</v>
      </c>
      <c r="M30" s="33" t="n">
        <f>1793</f>
        <v>1793.0</v>
      </c>
      <c r="N30" s="34" t="s">
        <v>49</v>
      </c>
      <c r="O30" s="33" t="n">
        <f>1542</f>
        <v>1542.0</v>
      </c>
      <c r="P30" s="34" t="s">
        <v>50</v>
      </c>
      <c r="Q30" s="33" t="n">
        <f>1554</f>
        <v>1554.0</v>
      </c>
      <c r="R30" s="34" t="s">
        <v>50</v>
      </c>
      <c r="S30" s="35" t="n">
        <f>1715.56</f>
        <v>1715.56</v>
      </c>
      <c r="T30" s="32" t="n">
        <f>2195040</f>
        <v>2195040.0</v>
      </c>
      <c r="U30" s="32" t="n">
        <f>480720</f>
        <v>480720.0</v>
      </c>
      <c r="V30" s="32" t="n">
        <f>3595557785</f>
        <v>3.595557785E9</v>
      </c>
      <c r="W30" s="32" t="n">
        <f>782040125</f>
        <v>7.82040125E8</v>
      </c>
      <c r="X30" s="36" t="n">
        <f>18</f>
        <v>18.0</v>
      </c>
    </row>
    <row r="31">
      <c r="A31" s="27" t="s">
        <v>42</v>
      </c>
      <c r="B31" s="27" t="s">
        <v>127</v>
      </c>
      <c r="C31" s="27" t="s">
        <v>128</v>
      </c>
      <c r="D31" s="27" t="s">
        <v>129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1.0</v>
      </c>
      <c r="K31" s="33" t="n">
        <f>12900</f>
        <v>12900.0</v>
      </c>
      <c r="L31" s="34" t="s">
        <v>48</v>
      </c>
      <c r="M31" s="33" t="n">
        <f>13210</f>
        <v>13210.0</v>
      </c>
      <c r="N31" s="34" t="s">
        <v>60</v>
      </c>
      <c r="O31" s="33" t="n">
        <f>12850</f>
        <v>12850.0</v>
      </c>
      <c r="P31" s="34" t="s">
        <v>48</v>
      </c>
      <c r="Q31" s="33" t="n">
        <f>12880</f>
        <v>12880.0</v>
      </c>
      <c r="R31" s="34" t="s">
        <v>50</v>
      </c>
      <c r="S31" s="35" t="n">
        <f>12996.67</f>
        <v>12996.67</v>
      </c>
      <c r="T31" s="32" t="n">
        <f>957</f>
        <v>957.0</v>
      </c>
      <c r="U31" s="32" t="str">
        <f>"－"</f>
        <v>－</v>
      </c>
      <c r="V31" s="32" t="n">
        <f>12406500</f>
        <v>1.24065E7</v>
      </c>
      <c r="W31" s="32" t="str">
        <f>"－"</f>
        <v>－</v>
      </c>
      <c r="X31" s="36" t="n">
        <f>18</f>
        <v>18.0</v>
      </c>
    </row>
    <row r="32">
      <c r="A32" s="27" t="s">
        <v>42</v>
      </c>
      <c r="B32" s="27" t="s">
        <v>130</v>
      </c>
      <c r="C32" s="27" t="s">
        <v>131</v>
      </c>
      <c r="D32" s="27" t="s">
        <v>132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10.0</v>
      </c>
      <c r="K32" s="33" t="n">
        <f>2136</f>
        <v>2136.0</v>
      </c>
      <c r="L32" s="34" t="s">
        <v>48</v>
      </c>
      <c r="M32" s="33" t="n">
        <f>2562</f>
        <v>2562.0</v>
      </c>
      <c r="N32" s="34" t="s">
        <v>50</v>
      </c>
      <c r="O32" s="33" t="n">
        <f>1915</f>
        <v>1915.0</v>
      </c>
      <c r="P32" s="34" t="s">
        <v>49</v>
      </c>
      <c r="Q32" s="33" t="n">
        <f>2524</f>
        <v>2524.0</v>
      </c>
      <c r="R32" s="34" t="s">
        <v>50</v>
      </c>
      <c r="S32" s="35" t="n">
        <f>2096.22</f>
        <v>2096.22</v>
      </c>
      <c r="T32" s="32" t="n">
        <f>6944390</f>
        <v>6944390.0</v>
      </c>
      <c r="U32" s="32" t="n">
        <f>41170</f>
        <v>41170.0</v>
      </c>
      <c r="V32" s="32" t="n">
        <f>15133573257</f>
        <v>1.5133573257E10</v>
      </c>
      <c r="W32" s="32" t="n">
        <f>88029317</f>
        <v>8.8029317E7</v>
      </c>
      <c r="X32" s="36" t="n">
        <f>18</f>
        <v>18.0</v>
      </c>
    </row>
    <row r="33">
      <c r="A33" s="27" t="s">
        <v>42</v>
      </c>
      <c r="B33" s="27" t="s">
        <v>133</v>
      </c>
      <c r="C33" s="27" t="s">
        <v>134</v>
      </c>
      <c r="D33" s="27" t="s">
        <v>135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1.0</v>
      </c>
      <c r="K33" s="33" t="n">
        <f>942</f>
        <v>942.0</v>
      </c>
      <c r="L33" s="34" t="s">
        <v>48</v>
      </c>
      <c r="M33" s="33" t="n">
        <f>1097</f>
        <v>1097.0</v>
      </c>
      <c r="N33" s="34" t="s">
        <v>50</v>
      </c>
      <c r="O33" s="33" t="n">
        <f>846</f>
        <v>846.0</v>
      </c>
      <c r="P33" s="34" t="s">
        <v>49</v>
      </c>
      <c r="Q33" s="33" t="n">
        <f>1081</f>
        <v>1081.0</v>
      </c>
      <c r="R33" s="34" t="s">
        <v>50</v>
      </c>
      <c r="S33" s="35" t="n">
        <f>907.28</f>
        <v>907.28</v>
      </c>
      <c r="T33" s="32" t="n">
        <f>868187619</f>
        <v>8.68187619E8</v>
      </c>
      <c r="U33" s="32" t="n">
        <f>5929729</f>
        <v>5929729.0</v>
      </c>
      <c r="V33" s="32" t="n">
        <f>812248036039</f>
        <v>8.12248036039E11</v>
      </c>
      <c r="W33" s="32" t="n">
        <f>5535040659</f>
        <v>5.535040659E9</v>
      </c>
      <c r="X33" s="36" t="n">
        <f>18</f>
        <v>18.0</v>
      </c>
    </row>
    <row r="34">
      <c r="A34" s="27" t="s">
        <v>42</v>
      </c>
      <c r="B34" s="27" t="s">
        <v>136</v>
      </c>
      <c r="C34" s="27" t="s">
        <v>137</v>
      </c>
      <c r="D34" s="27" t="s">
        <v>138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19520</f>
        <v>19520.0</v>
      </c>
      <c r="L34" s="34" t="s">
        <v>48</v>
      </c>
      <c r="M34" s="33" t="n">
        <f>21590</f>
        <v>21590.0</v>
      </c>
      <c r="N34" s="34" t="s">
        <v>49</v>
      </c>
      <c r="O34" s="33" t="n">
        <f>16350</f>
        <v>16350.0</v>
      </c>
      <c r="P34" s="34" t="s">
        <v>50</v>
      </c>
      <c r="Q34" s="33" t="n">
        <f>16560</f>
        <v>16560.0</v>
      </c>
      <c r="R34" s="34" t="s">
        <v>50</v>
      </c>
      <c r="S34" s="35" t="n">
        <f>20162.22</f>
        <v>20162.22</v>
      </c>
      <c r="T34" s="32" t="n">
        <f>275597</f>
        <v>275597.0</v>
      </c>
      <c r="U34" s="32" t="n">
        <f>227</f>
        <v>227.0</v>
      </c>
      <c r="V34" s="32" t="n">
        <f>5330277926</f>
        <v>5.330277926E9</v>
      </c>
      <c r="W34" s="32" t="n">
        <f>4477276</f>
        <v>4477276.0</v>
      </c>
      <c r="X34" s="36" t="n">
        <f>18</f>
        <v>18.0</v>
      </c>
    </row>
    <row r="35">
      <c r="A35" s="27" t="s">
        <v>42</v>
      </c>
      <c r="B35" s="27" t="s">
        <v>139</v>
      </c>
      <c r="C35" s="27" t="s">
        <v>140</v>
      </c>
      <c r="D35" s="27" t="s">
        <v>141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10.0</v>
      </c>
      <c r="K35" s="33" t="n">
        <f>2260</f>
        <v>2260.0</v>
      </c>
      <c r="L35" s="34" t="s">
        <v>48</v>
      </c>
      <c r="M35" s="33" t="n">
        <f>2640</f>
        <v>2640.0</v>
      </c>
      <c r="N35" s="34" t="s">
        <v>50</v>
      </c>
      <c r="O35" s="33" t="n">
        <f>2033</f>
        <v>2033.0</v>
      </c>
      <c r="P35" s="34" t="s">
        <v>49</v>
      </c>
      <c r="Q35" s="33" t="n">
        <f>2608</f>
        <v>2608.0</v>
      </c>
      <c r="R35" s="34" t="s">
        <v>50</v>
      </c>
      <c r="S35" s="35" t="n">
        <f>2182.83</f>
        <v>2182.83</v>
      </c>
      <c r="T35" s="32" t="n">
        <f>58201280</f>
        <v>5.820128E7</v>
      </c>
      <c r="U35" s="32" t="n">
        <f>22800</f>
        <v>22800.0</v>
      </c>
      <c r="V35" s="32" t="n">
        <f>132252501044</f>
        <v>1.32252501044E11</v>
      </c>
      <c r="W35" s="32" t="n">
        <f>49545044</f>
        <v>4.9545044E7</v>
      </c>
      <c r="X35" s="36" t="n">
        <f>18</f>
        <v>18.0</v>
      </c>
    </row>
    <row r="36">
      <c r="A36" s="27" t="s">
        <v>42</v>
      </c>
      <c r="B36" s="27" t="s">
        <v>142</v>
      </c>
      <c r="C36" s="27" t="s">
        <v>143</v>
      </c>
      <c r="D36" s="27" t="s">
        <v>144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15180</f>
        <v>15180.0</v>
      </c>
      <c r="L36" s="34" t="s">
        <v>48</v>
      </c>
      <c r="M36" s="33" t="n">
        <f>15850</f>
        <v>15850.0</v>
      </c>
      <c r="N36" s="34" t="s">
        <v>145</v>
      </c>
      <c r="O36" s="33" t="n">
        <f>13750</f>
        <v>13750.0</v>
      </c>
      <c r="P36" s="34" t="s">
        <v>50</v>
      </c>
      <c r="Q36" s="33" t="n">
        <f>13820</f>
        <v>13820.0</v>
      </c>
      <c r="R36" s="34" t="s">
        <v>50</v>
      </c>
      <c r="S36" s="35" t="n">
        <f>15224.44</f>
        <v>15224.44</v>
      </c>
      <c r="T36" s="32" t="n">
        <f>30489</f>
        <v>30489.0</v>
      </c>
      <c r="U36" s="32" t="n">
        <f>23740</f>
        <v>23740.0</v>
      </c>
      <c r="V36" s="32" t="n">
        <f>469638770</f>
        <v>4.6963877E8</v>
      </c>
      <c r="W36" s="32" t="n">
        <f>368205200</f>
        <v>3.682052E8</v>
      </c>
      <c r="X36" s="36" t="n">
        <f>18</f>
        <v>18.0</v>
      </c>
    </row>
    <row r="37">
      <c r="A37" s="27" t="s">
        <v>42</v>
      </c>
      <c r="B37" s="27" t="s">
        <v>146</v>
      </c>
      <c r="C37" s="27" t="s">
        <v>147</v>
      </c>
      <c r="D37" s="27" t="s">
        <v>148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15860</f>
        <v>15860.0</v>
      </c>
      <c r="L37" s="34" t="s">
        <v>48</v>
      </c>
      <c r="M37" s="33" t="n">
        <f>17590</f>
        <v>17590.0</v>
      </c>
      <c r="N37" s="34" t="s">
        <v>49</v>
      </c>
      <c r="O37" s="33" t="n">
        <f>13300</f>
        <v>13300.0</v>
      </c>
      <c r="P37" s="34" t="s">
        <v>50</v>
      </c>
      <c r="Q37" s="33" t="n">
        <f>13500</f>
        <v>13500.0</v>
      </c>
      <c r="R37" s="34" t="s">
        <v>50</v>
      </c>
      <c r="S37" s="35" t="n">
        <f>16412.22</f>
        <v>16412.22</v>
      </c>
      <c r="T37" s="32" t="n">
        <f>839370</f>
        <v>839370.0</v>
      </c>
      <c r="U37" s="32" t="n">
        <f>1088</f>
        <v>1088.0</v>
      </c>
      <c r="V37" s="32" t="n">
        <f>13301349783</f>
        <v>1.3301349783E10</v>
      </c>
      <c r="W37" s="32" t="n">
        <f>17154103</f>
        <v>1.7154103E7</v>
      </c>
      <c r="X37" s="36" t="n">
        <f>18</f>
        <v>18.0</v>
      </c>
    </row>
    <row r="38">
      <c r="A38" s="27" t="s">
        <v>42</v>
      </c>
      <c r="B38" s="27" t="s">
        <v>149</v>
      </c>
      <c r="C38" s="27" t="s">
        <v>150</v>
      </c>
      <c r="D38" s="27" t="s">
        <v>151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1.0</v>
      </c>
      <c r="K38" s="33" t="n">
        <f>2453</f>
        <v>2453.0</v>
      </c>
      <c r="L38" s="34" t="s">
        <v>48</v>
      </c>
      <c r="M38" s="33" t="n">
        <f>2855</f>
        <v>2855.0</v>
      </c>
      <c r="N38" s="34" t="s">
        <v>50</v>
      </c>
      <c r="O38" s="33" t="n">
        <f>2204</f>
        <v>2204.0</v>
      </c>
      <c r="P38" s="34" t="s">
        <v>49</v>
      </c>
      <c r="Q38" s="33" t="n">
        <f>2823</f>
        <v>2823.0</v>
      </c>
      <c r="R38" s="34" t="s">
        <v>50</v>
      </c>
      <c r="S38" s="35" t="n">
        <f>2364.89</f>
        <v>2364.89</v>
      </c>
      <c r="T38" s="32" t="n">
        <f>6172710</f>
        <v>6172710.0</v>
      </c>
      <c r="U38" s="32" t="n">
        <f>9294</f>
        <v>9294.0</v>
      </c>
      <c r="V38" s="32" t="n">
        <f>15266548881</f>
        <v>1.5266548881E10</v>
      </c>
      <c r="W38" s="32" t="n">
        <f>22045004</f>
        <v>2.2045004E7</v>
      </c>
      <c r="X38" s="36" t="n">
        <f>18</f>
        <v>18.0</v>
      </c>
    </row>
    <row r="39">
      <c r="A39" s="27" t="s">
        <v>42</v>
      </c>
      <c r="B39" s="27" t="s">
        <v>152</v>
      </c>
      <c r="C39" s="27" t="s">
        <v>153</v>
      </c>
      <c r="D39" s="27" t="s">
        <v>154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1.0</v>
      </c>
      <c r="K39" s="33" t="n">
        <f>13550</f>
        <v>13550.0</v>
      </c>
      <c r="L39" s="34" t="s">
        <v>48</v>
      </c>
      <c r="M39" s="33" t="n">
        <f>15050</f>
        <v>15050.0</v>
      </c>
      <c r="N39" s="34" t="s">
        <v>49</v>
      </c>
      <c r="O39" s="33" t="n">
        <f>11080</f>
        <v>11080.0</v>
      </c>
      <c r="P39" s="34" t="s">
        <v>50</v>
      </c>
      <c r="Q39" s="33" t="n">
        <f>11430</f>
        <v>11430.0</v>
      </c>
      <c r="R39" s="34" t="s">
        <v>50</v>
      </c>
      <c r="S39" s="35" t="n">
        <f>13799.44</f>
        <v>13799.44</v>
      </c>
      <c r="T39" s="32" t="n">
        <f>114465</f>
        <v>114465.0</v>
      </c>
      <c r="U39" s="32" t="n">
        <f>123</f>
        <v>123.0</v>
      </c>
      <c r="V39" s="32" t="n">
        <f>1532842568</f>
        <v>1.532842568E9</v>
      </c>
      <c r="W39" s="32" t="n">
        <f>1484758</f>
        <v>1484758.0</v>
      </c>
      <c r="X39" s="36" t="n">
        <f>18</f>
        <v>18.0</v>
      </c>
    </row>
    <row r="40">
      <c r="A40" s="27" t="s">
        <v>42</v>
      </c>
      <c r="B40" s="27" t="s">
        <v>155</v>
      </c>
      <c r="C40" s="27" t="s">
        <v>156</v>
      </c>
      <c r="D40" s="27" t="s">
        <v>157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1.0</v>
      </c>
      <c r="K40" s="33" t="n">
        <f>3110</f>
        <v>3110.0</v>
      </c>
      <c r="L40" s="34" t="s">
        <v>48</v>
      </c>
      <c r="M40" s="33" t="n">
        <f>3730</f>
        <v>3730.0</v>
      </c>
      <c r="N40" s="34" t="s">
        <v>50</v>
      </c>
      <c r="O40" s="33" t="n">
        <f>2790</f>
        <v>2790.0</v>
      </c>
      <c r="P40" s="34" t="s">
        <v>49</v>
      </c>
      <c r="Q40" s="33" t="n">
        <f>3690</f>
        <v>3690.0</v>
      </c>
      <c r="R40" s="34" t="s">
        <v>50</v>
      </c>
      <c r="S40" s="35" t="n">
        <f>3052.28</f>
        <v>3052.28</v>
      </c>
      <c r="T40" s="32" t="n">
        <f>929274</f>
        <v>929274.0</v>
      </c>
      <c r="U40" s="32" t="n">
        <f>2572</f>
        <v>2572.0</v>
      </c>
      <c r="V40" s="32" t="n">
        <f>2942350134</f>
        <v>2.942350134E9</v>
      </c>
      <c r="W40" s="32" t="n">
        <f>7934300</f>
        <v>7934300.0</v>
      </c>
      <c r="X40" s="36" t="n">
        <f>18</f>
        <v>18.0</v>
      </c>
    </row>
    <row r="41">
      <c r="A41" s="27" t="s">
        <v>42</v>
      </c>
      <c r="B41" s="27" t="s">
        <v>158</v>
      </c>
      <c r="C41" s="27" t="s">
        <v>159</v>
      </c>
      <c r="D41" s="27" t="s">
        <v>160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22780</f>
        <v>22780.0</v>
      </c>
      <c r="L41" s="34" t="s">
        <v>48</v>
      </c>
      <c r="M41" s="33" t="n">
        <f>23980</f>
        <v>23980.0</v>
      </c>
      <c r="N41" s="34" t="s">
        <v>49</v>
      </c>
      <c r="O41" s="33" t="n">
        <f>20910</f>
        <v>20910.0</v>
      </c>
      <c r="P41" s="34" t="s">
        <v>50</v>
      </c>
      <c r="Q41" s="33" t="n">
        <f>21090</f>
        <v>21090.0</v>
      </c>
      <c r="R41" s="34" t="s">
        <v>50</v>
      </c>
      <c r="S41" s="35" t="n">
        <f>23161.67</f>
        <v>23161.67</v>
      </c>
      <c r="T41" s="32" t="n">
        <f>633105</f>
        <v>633105.0</v>
      </c>
      <c r="U41" s="32" t="n">
        <f>572000</f>
        <v>572000.0</v>
      </c>
      <c r="V41" s="32" t="n">
        <f>14483356890</f>
        <v>1.448335689E10</v>
      </c>
      <c r="W41" s="32" t="n">
        <f>13099236800</f>
        <v>1.30992368E10</v>
      </c>
      <c r="X41" s="36" t="n">
        <f>18</f>
        <v>18.0</v>
      </c>
    </row>
    <row r="42">
      <c r="A42" s="27" t="s">
        <v>42</v>
      </c>
      <c r="B42" s="27" t="s">
        <v>161</v>
      </c>
      <c r="C42" s="27" t="s">
        <v>162</v>
      </c>
      <c r="D42" s="27" t="s">
        <v>163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4530</f>
        <v>4530.0</v>
      </c>
      <c r="L42" s="34" t="s">
        <v>48</v>
      </c>
      <c r="M42" s="33" t="n">
        <f>4630</f>
        <v>4630.0</v>
      </c>
      <c r="N42" s="34" t="s">
        <v>164</v>
      </c>
      <c r="O42" s="33" t="n">
        <f>4020</f>
        <v>4020.0</v>
      </c>
      <c r="P42" s="34" t="s">
        <v>50</v>
      </c>
      <c r="Q42" s="33" t="n">
        <f>4020</f>
        <v>4020.0</v>
      </c>
      <c r="R42" s="34" t="s">
        <v>50</v>
      </c>
      <c r="S42" s="35" t="n">
        <f>4465.56</f>
        <v>4465.56</v>
      </c>
      <c r="T42" s="32" t="n">
        <f>5338</f>
        <v>5338.0</v>
      </c>
      <c r="U42" s="32" t="str">
        <f>"－"</f>
        <v>－</v>
      </c>
      <c r="V42" s="32" t="n">
        <f>23715575</f>
        <v>2.3715575E7</v>
      </c>
      <c r="W42" s="32" t="str">
        <f>"－"</f>
        <v>－</v>
      </c>
      <c r="X42" s="36" t="n">
        <f>18</f>
        <v>18.0</v>
      </c>
    </row>
    <row r="43">
      <c r="A43" s="27" t="s">
        <v>42</v>
      </c>
      <c r="B43" s="27" t="s">
        <v>165</v>
      </c>
      <c r="C43" s="27" t="s">
        <v>166</v>
      </c>
      <c r="D43" s="27" t="s">
        <v>167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8260</f>
        <v>8260.0</v>
      </c>
      <c r="L43" s="34" t="s">
        <v>48</v>
      </c>
      <c r="M43" s="33" t="n">
        <f>8490</f>
        <v>8490.0</v>
      </c>
      <c r="N43" s="34" t="s">
        <v>67</v>
      </c>
      <c r="O43" s="33" t="n">
        <f>7850</f>
        <v>7850.0</v>
      </c>
      <c r="P43" s="34" t="s">
        <v>50</v>
      </c>
      <c r="Q43" s="33" t="n">
        <f>8090</f>
        <v>8090.0</v>
      </c>
      <c r="R43" s="34" t="s">
        <v>50</v>
      </c>
      <c r="S43" s="35" t="n">
        <f>8360.56</f>
        <v>8360.56</v>
      </c>
      <c r="T43" s="32" t="n">
        <f>1059</f>
        <v>1059.0</v>
      </c>
      <c r="U43" s="32" t="str">
        <f>"－"</f>
        <v>－</v>
      </c>
      <c r="V43" s="32" t="n">
        <f>8738720</f>
        <v>8738720.0</v>
      </c>
      <c r="W43" s="32" t="str">
        <f>"－"</f>
        <v>－</v>
      </c>
      <c r="X43" s="36" t="n">
        <f>18</f>
        <v>18.0</v>
      </c>
    </row>
    <row r="44">
      <c r="A44" s="27" t="s">
        <v>42</v>
      </c>
      <c r="B44" s="27" t="s">
        <v>168</v>
      </c>
      <c r="C44" s="27" t="s">
        <v>169</v>
      </c>
      <c r="D44" s="27" t="s">
        <v>170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15860</f>
        <v>15860.0</v>
      </c>
      <c r="L44" s="34" t="s">
        <v>71</v>
      </c>
      <c r="M44" s="33" t="n">
        <f>15860</f>
        <v>15860.0</v>
      </c>
      <c r="N44" s="34" t="s">
        <v>71</v>
      </c>
      <c r="O44" s="33" t="n">
        <f>14300</f>
        <v>14300.0</v>
      </c>
      <c r="P44" s="34" t="s">
        <v>50</v>
      </c>
      <c r="Q44" s="33" t="n">
        <f>14400</f>
        <v>14400.0</v>
      </c>
      <c r="R44" s="34" t="s">
        <v>50</v>
      </c>
      <c r="S44" s="35" t="n">
        <f>15210</f>
        <v>15210.0</v>
      </c>
      <c r="T44" s="32" t="n">
        <f>56</f>
        <v>56.0</v>
      </c>
      <c r="U44" s="32" t="str">
        <f>"－"</f>
        <v>－</v>
      </c>
      <c r="V44" s="32" t="n">
        <f>859420</f>
        <v>859420.0</v>
      </c>
      <c r="W44" s="32" t="str">
        <f>"－"</f>
        <v>－</v>
      </c>
      <c r="X44" s="36" t="n">
        <f>5</f>
        <v>5.0</v>
      </c>
    </row>
    <row r="45">
      <c r="A45" s="27" t="s">
        <v>42</v>
      </c>
      <c r="B45" s="27" t="s">
        <v>171</v>
      </c>
      <c r="C45" s="27" t="s">
        <v>172</v>
      </c>
      <c r="D45" s="27" t="s">
        <v>173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12660</f>
        <v>12660.0</v>
      </c>
      <c r="L45" s="34" t="s">
        <v>71</v>
      </c>
      <c r="M45" s="33" t="n">
        <f>12750</f>
        <v>12750.0</v>
      </c>
      <c r="N45" s="34" t="s">
        <v>174</v>
      </c>
      <c r="O45" s="33" t="n">
        <f>11440</f>
        <v>11440.0</v>
      </c>
      <c r="P45" s="34" t="s">
        <v>50</v>
      </c>
      <c r="Q45" s="33" t="n">
        <f>11440</f>
        <v>11440.0</v>
      </c>
      <c r="R45" s="34" t="s">
        <v>50</v>
      </c>
      <c r="S45" s="35" t="n">
        <f>12218.33</f>
        <v>12218.33</v>
      </c>
      <c r="T45" s="32" t="n">
        <f>89</f>
        <v>89.0</v>
      </c>
      <c r="U45" s="32" t="str">
        <f>"－"</f>
        <v>－</v>
      </c>
      <c r="V45" s="32" t="n">
        <f>1109740</f>
        <v>1109740.0</v>
      </c>
      <c r="W45" s="32" t="str">
        <f>"－"</f>
        <v>－</v>
      </c>
      <c r="X45" s="36" t="n">
        <f>6</f>
        <v>6.0</v>
      </c>
    </row>
    <row r="46">
      <c r="A46" s="27" t="s">
        <v>42</v>
      </c>
      <c r="B46" s="27" t="s">
        <v>175</v>
      </c>
      <c r="C46" s="27" t="s">
        <v>176</v>
      </c>
      <c r="D46" s="27" t="s">
        <v>177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1.0</v>
      </c>
      <c r="K46" s="33" t="n">
        <f>9710</f>
        <v>9710.0</v>
      </c>
      <c r="L46" s="34" t="s">
        <v>48</v>
      </c>
      <c r="M46" s="33" t="n">
        <f>10220</f>
        <v>10220.0</v>
      </c>
      <c r="N46" s="34" t="s">
        <v>178</v>
      </c>
      <c r="O46" s="33" t="n">
        <f>9010</f>
        <v>9010.0</v>
      </c>
      <c r="P46" s="34" t="s">
        <v>50</v>
      </c>
      <c r="Q46" s="33" t="n">
        <f>9730</f>
        <v>9730.0</v>
      </c>
      <c r="R46" s="34" t="s">
        <v>50</v>
      </c>
      <c r="S46" s="35" t="n">
        <f>9787.65</f>
        <v>9787.65</v>
      </c>
      <c r="T46" s="32" t="n">
        <f>364</f>
        <v>364.0</v>
      </c>
      <c r="U46" s="32" t="str">
        <f>"－"</f>
        <v>－</v>
      </c>
      <c r="V46" s="32" t="n">
        <f>3466300</f>
        <v>3466300.0</v>
      </c>
      <c r="W46" s="32" t="str">
        <f>"－"</f>
        <v>－</v>
      </c>
      <c r="X46" s="36" t="n">
        <f>17</f>
        <v>17.0</v>
      </c>
    </row>
    <row r="47">
      <c r="A47" s="27" t="s">
        <v>42</v>
      </c>
      <c r="B47" s="27" t="s">
        <v>179</v>
      </c>
      <c r="C47" s="27" t="s">
        <v>180</v>
      </c>
      <c r="D47" s="27" t="s">
        <v>181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1.0</v>
      </c>
      <c r="K47" s="33" t="n">
        <f>4905</f>
        <v>4905.0</v>
      </c>
      <c r="L47" s="34" t="s">
        <v>48</v>
      </c>
      <c r="M47" s="33" t="n">
        <f>5230</f>
        <v>5230.0</v>
      </c>
      <c r="N47" s="34" t="s">
        <v>145</v>
      </c>
      <c r="O47" s="33" t="n">
        <f>4625</f>
        <v>4625.0</v>
      </c>
      <c r="P47" s="34" t="s">
        <v>50</v>
      </c>
      <c r="Q47" s="33" t="n">
        <f>4740</f>
        <v>4740.0</v>
      </c>
      <c r="R47" s="34" t="s">
        <v>50</v>
      </c>
      <c r="S47" s="35" t="n">
        <f>4885.28</f>
        <v>4885.28</v>
      </c>
      <c r="T47" s="32" t="n">
        <f>2157</f>
        <v>2157.0</v>
      </c>
      <c r="U47" s="32" t="str">
        <f>"－"</f>
        <v>－</v>
      </c>
      <c r="V47" s="32" t="n">
        <f>10635720</f>
        <v>1.063572E7</v>
      </c>
      <c r="W47" s="32" t="str">
        <f>"－"</f>
        <v>－</v>
      </c>
      <c r="X47" s="36" t="n">
        <f>18</f>
        <v>18.0</v>
      </c>
    </row>
    <row r="48">
      <c r="A48" s="27" t="s">
        <v>42</v>
      </c>
      <c r="B48" s="27" t="s">
        <v>182</v>
      </c>
      <c r="C48" s="27" t="s">
        <v>183</v>
      </c>
      <c r="D48" s="27" t="s">
        <v>184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1.0</v>
      </c>
      <c r="K48" s="33" t="n">
        <f>2426</f>
        <v>2426.0</v>
      </c>
      <c r="L48" s="34" t="s">
        <v>48</v>
      </c>
      <c r="M48" s="33" t="n">
        <f>3040</f>
        <v>3040.0</v>
      </c>
      <c r="N48" s="34" t="s">
        <v>67</v>
      </c>
      <c r="O48" s="33" t="n">
        <f>2263</f>
        <v>2263.0</v>
      </c>
      <c r="P48" s="34" t="s">
        <v>50</v>
      </c>
      <c r="Q48" s="33" t="n">
        <f>2263</f>
        <v>2263.0</v>
      </c>
      <c r="R48" s="34" t="s">
        <v>50</v>
      </c>
      <c r="S48" s="35" t="n">
        <f>2444.33</f>
        <v>2444.33</v>
      </c>
      <c r="T48" s="32" t="n">
        <f>15545</f>
        <v>15545.0</v>
      </c>
      <c r="U48" s="32" t="n">
        <f>2608</f>
        <v>2608.0</v>
      </c>
      <c r="V48" s="32" t="n">
        <f>39693449</f>
        <v>3.9693449E7</v>
      </c>
      <c r="W48" s="32" t="n">
        <f>6416914</f>
        <v>6416914.0</v>
      </c>
      <c r="X48" s="36" t="n">
        <f>18</f>
        <v>18.0</v>
      </c>
    </row>
    <row r="49">
      <c r="A49" s="27" t="s">
        <v>42</v>
      </c>
      <c r="B49" s="27" t="s">
        <v>185</v>
      </c>
      <c r="C49" s="27" t="s">
        <v>186</v>
      </c>
      <c r="D49" s="27" t="s">
        <v>187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1.0</v>
      </c>
      <c r="K49" s="33" t="n">
        <f>2769</f>
        <v>2769.0</v>
      </c>
      <c r="L49" s="34" t="s">
        <v>48</v>
      </c>
      <c r="M49" s="33" t="n">
        <f>2785</f>
        <v>2785.0</v>
      </c>
      <c r="N49" s="34" t="s">
        <v>114</v>
      </c>
      <c r="O49" s="33" t="n">
        <f>2450</f>
        <v>2450.0</v>
      </c>
      <c r="P49" s="34" t="s">
        <v>50</v>
      </c>
      <c r="Q49" s="33" t="n">
        <f>2471</f>
        <v>2471.0</v>
      </c>
      <c r="R49" s="34" t="s">
        <v>50</v>
      </c>
      <c r="S49" s="35" t="n">
        <f>2695.33</f>
        <v>2695.33</v>
      </c>
      <c r="T49" s="32" t="n">
        <f>2355</f>
        <v>2355.0</v>
      </c>
      <c r="U49" s="32" t="n">
        <f>148</f>
        <v>148.0</v>
      </c>
      <c r="V49" s="32" t="n">
        <f>6256142</f>
        <v>6256142.0</v>
      </c>
      <c r="W49" s="32" t="n">
        <f>401820</f>
        <v>401820.0</v>
      </c>
      <c r="X49" s="36" t="n">
        <f>18</f>
        <v>18.0</v>
      </c>
    </row>
    <row r="50">
      <c r="A50" s="27" t="s">
        <v>42</v>
      </c>
      <c r="B50" s="27" t="s">
        <v>188</v>
      </c>
      <c r="C50" s="27" t="s">
        <v>189</v>
      </c>
      <c r="D50" s="27" t="s">
        <v>190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1.0</v>
      </c>
      <c r="K50" s="33" t="n">
        <f>34800</f>
        <v>34800.0</v>
      </c>
      <c r="L50" s="34" t="s">
        <v>48</v>
      </c>
      <c r="M50" s="33" t="n">
        <f>38400</f>
        <v>38400.0</v>
      </c>
      <c r="N50" s="34" t="s">
        <v>174</v>
      </c>
      <c r="O50" s="33" t="n">
        <f>31050</f>
        <v>31050.0</v>
      </c>
      <c r="P50" s="34" t="s">
        <v>50</v>
      </c>
      <c r="Q50" s="33" t="n">
        <f>31650</f>
        <v>31650.0</v>
      </c>
      <c r="R50" s="34" t="s">
        <v>50</v>
      </c>
      <c r="S50" s="35" t="n">
        <f>35744.12</f>
        <v>35744.12</v>
      </c>
      <c r="T50" s="32" t="n">
        <f>1430</f>
        <v>1430.0</v>
      </c>
      <c r="U50" s="32" t="str">
        <f>"－"</f>
        <v>－</v>
      </c>
      <c r="V50" s="32" t="n">
        <f>50196350</f>
        <v>5.019635E7</v>
      </c>
      <c r="W50" s="32" t="str">
        <f>"－"</f>
        <v>－</v>
      </c>
      <c r="X50" s="36" t="n">
        <f>17</f>
        <v>17.0</v>
      </c>
    </row>
    <row r="51">
      <c r="A51" s="27" t="s">
        <v>42</v>
      </c>
      <c r="B51" s="27" t="s">
        <v>191</v>
      </c>
      <c r="C51" s="27" t="s">
        <v>192</v>
      </c>
      <c r="D51" s="27" t="s">
        <v>193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1.0</v>
      </c>
      <c r="K51" s="33" t="n">
        <f>25800</f>
        <v>25800.0</v>
      </c>
      <c r="L51" s="34" t="s">
        <v>48</v>
      </c>
      <c r="M51" s="33" t="n">
        <f>31700</f>
        <v>31700.0</v>
      </c>
      <c r="N51" s="34" t="s">
        <v>178</v>
      </c>
      <c r="O51" s="33" t="n">
        <f>23620</f>
        <v>23620.0</v>
      </c>
      <c r="P51" s="34" t="s">
        <v>50</v>
      </c>
      <c r="Q51" s="33" t="n">
        <f>24990</f>
        <v>24990.0</v>
      </c>
      <c r="R51" s="34" t="s">
        <v>50</v>
      </c>
      <c r="S51" s="35" t="n">
        <f>26642.5</f>
        <v>26642.5</v>
      </c>
      <c r="T51" s="32" t="n">
        <f>590</f>
        <v>590.0</v>
      </c>
      <c r="U51" s="32" t="str">
        <f>"－"</f>
        <v>－</v>
      </c>
      <c r="V51" s="32" t="n">
        <f>16748030</f>
        <v>1.674803E7</v>
      </c>
      <c r="W51" s="32" t="str">
        <f>"－"</f>
        <v>－</v>
      </c>
      <c r="X51" s="36" t="n">
        <f>16</f>
        <v>16.0</v>
      </c>
    </row>
    <row r="52">
      <c r="A52" s="27" t="s">
        <v>42</v>
      </c>
      <c r="B52" s="27" t="s">
        <v>194</v>
      </c>
      <c r="C52" s="27" t="s">
        <v>195</v>
      </c>
      <c r="D52" s="27" t="s">
        <v>196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1.0</v>
      </c>
      <c r="K52" s="33" t="n">
        <f>22950</f>
        <v>22950.0</v>
      </c>
      <c r="L52" s="34" t="s">
        <v>48</v>
      </c>
      <c r="M52" s="33" t="n">
        <f>24090</f>
        <v>24090.0</v>
      </c>
      <c r="N52" s="34" t="s">
        <v>49</v>
      </c>
      <c r="O52" s="33" t="n">
        <f>21140</f>
        <v>21140.0</v>
      </c>
      <c r="P52" s="34" t="s">
        <v>50</v>
      </c>
      <c r="Q52" s="33" t="n">
        <f>21180</f>
        <v>21180.0</v>
      </c>
      <c r="R52" s="34" t="s">
        <v>50</v>
      </c>
      <c r="S52" s="35" t="n">
        <f>23262.94</f>
        <v>23262.94</v>
      </c>
      <c r="T52" s="32" t="n">
        <f>3077</f>
        <v>3077.0</v>
      </c>
      <c r="U52" s="32" t="str">
        <f>"－"</f>
        <v>－</v>
      </c>
      <c r="V52" s="32" t="n">
        <f>67789180</f>
        <v>6.778918E7</v>
      </c>
      <c r="W52" s="32" t="str">
        <f>"－"</f>
        <v>－</v>
      </c>
      <c r="X52" s="36" t="n">
        <f>17</f>
        <v>17.0</v>
      </c>
    </row>
    <row r="53">
      <c r="A53" s="27" t="s">
        <v>42</v>
      </c>
      <c r="B53" s="27" t="s">
        <v>197</v>
      </c>
      <c r="C53" s="27" t="s">
        <v>198</v>
      </c>
      <c r="D53" s="27" t="s">
        <v>199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10.0</v>
      </c>
      <c r="K53" s="33" t="n">
        <f>2245</f>
        <v>2245.0</v>
      </c>
      <c r="L53" s="34" t="s">
        <v>48</v>
      </c>
      <c r="M53" s="33" t="n">
        <f>2296</f>
        <v>2296.0</v>
      </c>
      <c r="N53" s="34" t="s">
        <v>60</v>
      </c>
      <c r="O53" s="33" t="n">
        <f>2068</f>
        <v>2068.0</v>
      </c>
      <c r="P53" s="34" t="s">
        <v>50</v>
      </c>
      <c r="Q53" s="33" t="n">
        <f>2068</f>
        <v>2068.0</v>
      </c>
      <c r="R53" s="34" t="s">
        <v>50</v>
      </c>
      <c r="S53" s="35" t="n">
        <f>2248.78</f>
        <v>2248.78</v>
      </c>
      <c r="T53" s="32" t="n">
        <f>656250</f>
        <v>656250.0</v>
      </c>
      <c r="U53" s="32" t="n">
        <f>411000</f>
        <v>411000.0</v>
      </c>
      <c r="V53" s="32" t="n">
        <f>1420115790</f>
        <v>1.42011579E9</v>
      </c>
      <c r="W53" s="32" t="n">
        <f>866254750</f>
        <v>8.6625475E8</v>
      </c>
      <c r="X53" s="36" t="n">
        <f>18</f>
        <v>18.0</v>
      </c>
    </row>
    <row r="54">
      <c r="A54" s="27" t="s">
        <v>42</v>
      </c>
      <c r="B54" s="27" t="s">
        <v>200</v>
      </c>
      <c r="C54" s="27" t="s">
        <v>201</v>
      </c>
      <c r="D54" s="27" t="s">
        <v>202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10.0</v>
      </c>
      <c r="K54" s="33" t="n">
        <f>1573</f>
        <v>1573.0</v>
      </c>
      <c r="L54" s="34" t="s">
        <v>48</v>
      </c>
      <c r="M54" s="33" t="n">
        <f>1628</f>
        <v>1628.0</v>
      </c>
      <c r="N54" s="34" t="s">
        <v>49</v>
      </c>
      <c r="O54" s="33" t="n">
        <f>1396</f>
        <v>1396.0</v>
      </c>
      <c r="P54" s="34" t="s">
        <v>50</v>
      </c>
      <c r="Q54" s="33" t="n">
        <f>1424</f>
        <v>1424.0</v>
      </c>
      <c r="R54" s="34" t="s">
        <v>50</v>
      </c>
      <c r="S54" s="35" t="n">
        <f>1556</f>
        <v>1556.0</v>
      </c>
      <c r="T54" s="32" t="n">
        <f>8520</f>
        <v>8520.0</v>
      </c>
      <c r="U54" s="32" t="str">
        <f>"－"</f>
        <v>－</v>
      </c>
      <c r="V54" s="32" t="n">
        <f>13103510</f>
        <v>1.310351E7</v>
      </c>
      <c r="W54" s="32" t="str">
        <f>"－"</f>
        <v>－</v>
      </c>
      <c r="X54" s="36" t="n">
        <f>17</f>
        <v>17.0</v>
      </c>
    </row>
    <row r="55">
      <c r="A55" s="27" t="s">
        <v>42</v>
      </c>
      <c r="B55" s="27" t="s">
        <v>203</v>
      </c>
      <c r="C55" s="27" t="s">
        <v>204</v>
      </c>
      <c r="D55" s="27" t="s">
        <v>205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6280</f>
        <v>6280.0</v>
      </c>
      <c r="L55" s="34" t="s">
        <v>48</v>
      </c>
      <c r="M55" s="33" t="n">
        <f>6810</f>
        <v>6810.0</v>
      </c>
      <c r="N55" s="34" t="s">
        <v>50</v>
      </c>
      <c r="O55" s="33" t="n">
        <f>5970</f>
        <v>5970.0</v>
      </c>
      <c r="P55" s="34" t="s">
        <v>49</v>
      </c>
      <c r="Q55" s="33" t="n">
        <f>6770</f>
        <v>6770.0</v>
      </c>
      <c r="R55" s="34" t="s">
        <v>50</v>
      </c>
      <c r="S55" s="35" t="n">
        <f>6182.78</f>
        <v>6182.78</v>
      </c>
      <c r="T55" s="32" t="n">
        <f>440804</f>
        <v>440804.0</v>
      </c>
      <c r="U55" s="32" t="n">
        <f>132000</f>
        <v>132000.0</v>
      </c>
      <c r="V55" s="32" t="n">
        <f>2758415050</f>
        <v>2.75841505E9</v>
      </c>
      <c r="W55" s="32" t="n">
        <f>846862500</f>
        <v>8.468625E8</v>
      </c>
      <c r="X55" s="36" t="n">
        <f>18</f>
        <v>18.0</v>
      </c>
    </row>
    <row r="56">
      <c r="A56" s="27" t="s">
        <v>42</v>
      </c>
      <c r="B56" s="27" t="s">
        <v>206</v>
      </c>
      <c r="C56" s="27" t="s">
        <v>207</v>
      </c>
      <c r="D56" s="27" t="s">
        <v>208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7070</f>
        <v>7070.0</v>
      </c>
      <c r="L56" s="34" t="s">
        <v>48</v>
      </c>
      <c r="M56" s="33" t="n">
        <f>7760</f>
        <v>7760.0</v>
      </c>
      <c r="N56" s="34" t="s">
        <v>50</v>
      </c>
      <c r="O56" s="33" t="n">
        <f>6710</f>
        <v>6710.0</v>
      </c>
      <c r="P56" s="34" t="s">
        <v>49</v>
      </c>
      <c r="Q56" s="33" t="n">
        <f>7700</f>
        <v>7700.0</v>
      </c>
      <c r="R56" s="34" t="s">
        <v>50</v>
      </c>
      <c r="S56" s="35" t="n">
        <f>7006.11</f>
        <v>7006.11</v>
      </c>
      <c r="T56" s="32" t="n">
        <f>503215</f>
        <v>503215.0</v>
      </c>
      <c r="U56" s="32" t="n">
        <f>500</f>
        <v>500.0</v>
      </c>
      <c r="V56" s="32" t="n">
        <f>3550722710</f>
        <v>3.55072271E9</v>
      </c>
      <c r="W56" s="32" t="n">
        <f>3720000</f>
        <v>3720000.0</v>
      </c>
      <c r="X56" s="36" t="n">
        <f>18</f>
        <v>18.0</v>
      </c>
    </row>
    <row r="57">
      <c r="A57" s="27" t="s">
        <v>42</v>
      </c>
      <c r="B57" s="27" t="s">
        <v>209</v>
      </c>
      <c r="C57" s="27" t="s">
        <v>210</v>
      </c>
      <c r="D57" s="27" t="s">
        <v>211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11930</f>
        <v>11930.0</v>
      </c>
      <c r="L57" s="34" t="s">
        <v>48</v>
      </c>
      <c r="M57" s="33" t="n">
        <f>13220</f>
        <v>13220.0</v>
      </c>
      <c r="N57" s="34" t="s">
        <v>49</v>
      </c>
      <c r="O57" s="33" t="n">
        <f>10010</f>
        <v>10010.0</v>
      </c>
      <c r="P57" s="34" t="s">
        <v>50</v>
      </c>
      <c r="Q57" s="33" t="n">
        <f>10150</f>
        <v>10150.0</v>
      </c>
      <c r="R57" s="34" t="s">
        <v>50</v>
      </c>
      <c r="S57" s="35" t="n">
        <f>12338.89</f>
        <v>12338.89</v>
      </c>
      <c r="T57" s="32" t="n">
        <f>4463315</f>
        <v>4463315.0</v>
      </c>
      <c r="U57" s="32" t="n">
        <f>3520</f>
        <v>3520.0</v>
      </c>
      <c r="V57" s="32" t="n">
        <f>53674791148</f>
        <v>5.3674791148E10</v>
      </c>
      <c r="W57" s="32" t="n">
        <f>41842618</f>
        <v>4.1842618E7</v>
      </c>
      <c r="X57" s="36" t="n">
        <f>18</f>
        <v>18.0</v>
      </c>
    </row>
    <row r="58">
      <c r="A58" s="27" t="s">
        <v>42</v>
      </c>
      <c r="B58" s="27" t="s">
        <v>212</v>
      </c>
      <c r="C58" s="27" t="s">
        <v>213</v>
      </c>
      <c r="D58" s="27" t="s">
        <v>214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3685</f>
        <v>3685.0</v>
      </c>
      <c r="L58" s="34" t="s">
        <v>48</v>
      </c>
      <c r="M58" s="33" t="n">
        <f>4305</f>
        <v>4305.0</v>
      </c>
      <c r="N58" s="34" t="s">
        <v>50</v>
      </c>
      <c r="O58" s="33" t="n">
        <f>3310</f>
        <v>3310.0</v>
      </c>
      <c r="P58" s="34" t="s">
        <v>49</v>
      </c>
      <c r="Q58" s="33" t="n">
        <f>4265</f>
        <v>4265.0</v>
      </c>
      <c r="R58" s="34" t="s">
        <v>50</v>
      </c>
      <c r="S58" s="35" t="n">
        <f>3556.67</f>
        <v>3556.67</v>
      </c>
      <c r="T58" s="32" t="n">
        <f>15587405</f>
        <v>1.5587405E7</v>
      </c>
      <c r="U58" s="32" t="n">
        <f>13314</f>
        <v>13314.0</v>
      </c>
      <c r="V58" s="32" t="n">
        <f>57660185218</f>
        <v>5.7660185218E10</v>
      </c>
      <c r="W58" s="32" t="n">
        <f>48674443</f>
        <v>4.8674443E7</v>
      </c>
      <c r="X58" s="36" t="n">
        <f>18</f>
        <v>18.0</v>
      </c>
    </row>
    <row r="59">
      <c r="A59" s="27" t="s">
        <v>42</v>
      </c>
      <c r="B59" s="27" t="s">
        <v>215</v>
      </c>
      <c r="C59" s="27" t="s">
        <v>216</v>
      </c>
      <c r="D59" s="27" t="s">
        <v>217</v>
      </c>
      <c r="E59" s="28" t="s">
        <v>46</v>
      </c>
      <c r="F59" s="29" t="s">
        <v>46</v>
      </c>
      <c r="G59" s="30" t="s">
        <v>46</v>
      </c>
      <c r="H59" s="31"/>
      <c r="I59" s="31" t="s">
        <v>47</v>
      </c>
      <c r="J59" s="32" t="n">
        <v>1.0</v>
      </c>
      <c r="K59" s="33" t="n">
        <f>20730</f>
        <v>20730.0</v>
      </c>
      <c r="L59" s="34" t="s">
        <v>145</v>
      </c>
      <c r="M59" s="33" t="n">
        <f>20730</f>
        <v>20730.0</v>
      </c>
      <c r="N59" s="34" t="s">
        <v>145</v>
      </c>
      <c r="O59" s="33" t="n">
        <f>18470</f>
        <v>18470.0</v>
      </c>
      <c r="P59" s="34" t="s">
        <v>50</v>
      </c>
      <c r="Q59" s="33" t="n">
        <f>18470</f>
        <v>18470.0</v>
      </c>
      <c r="R59" s="34" t="s">
        <v>50</v>
      </c>
      <c r="S59" s="35" t="n">
        <f>19481.43</f>
        <v>19481.43</v>
      </c>
      <c r="T59" s="32" t="n">
        <f>215</f>
        <v>215.0</v>
      </c>
      <c r="U59" s="32" t="str">
        <f>"－"</f>
        <v>－</v>
      </c>
      <c r="V59" s="32" t="n">
        <f>4251970</f>
        <v>4251970.0</v>
      </c>
      <c r="W59" s="32" t="str">
        <f>"－"</f>
        <v>－</v>
      </c>
      <c r="X59" s="36" t="n">
        <f>7</f>
        <v>7.0</v>
      </c>
    </row>
    <row r="60">
      <c r="A60" s="27" t="s">
        <v>42</v>
      </c>
      <c r="B60" s="27" t="s">
        <v>218</v>
      </c>
      <c r="C60" s="27" t="s">
        <v>219</v>
      </c>
      <c r="D60" s="27" t="s">
        <v>220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1.0</v>
      </c>
      <c r="K60" s="33" t="n">
        <f>10610</f>
        <v>10610.0</v>
      </c>
      <c r="L60" s="34" t="s">
        <v>48</v>
      </c>
      <c r="M60" s="33" t="n">
        <f>11800</f>
        <v>11800.0</v>
      </c>
      <c r="N60" s="34" t="s">
        <v>49</v>
      </c>
      <c r="O60" s="33" t="n">
        <f>8810</f>
        <v>8810.0</v>
      </c>
      <c r="P60" s="34" t="s">
        <v>50</v>
      </c>
      <c r="Q60" s="33" t="n">
        <f>8820</f>
        <v>8820.0</v>
      </c>
      <c r="R60" s="34" t="s">
        <v>50</v>
      </c>
      <c r="S60" s="35" t="n">
        <f>10892.78</f>
        <v>10892.78</v>
      </c>
      <c r="T60" s="32" t="n">
        <f>8223</f>
        <v>8223.0</v>
      </c>
      <c r="U60" s="32" t="str">
        <f>"－"</f>
        <v>－</v>
      </c>
      <c r="V60" s="32" t="n">
        <f>84879730</f>
        <v>8.487973E7</v>
      </c>
      <c r="W60" s="32" t="str">
        <f>"－"</f>
        <v>－</v>
      </c>
      <c r="X60" s="36" t="n">
        <f>18</f>
        <v>18.0</v>
      </c>
    </row>
    <row r="61">
      <c r="A61" s="27" t="s">
        <v>42</v>
      </c>
      <c r="B61" s="27" t="s">
        <v>221</v>
      </c>
      <c r="C61" s="27" t="s">
        <v>222</v>
      </c>
      <c r="D61" s="27" t="s">
        <v>223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1.0</v>
      </c>
      <c r="K61" s="33" t="n">
        <f>6910</f>
        <v>6910.0</v>
      </c>
      <c r="L61" s="34" t="s">
        <v>48</v>
      </c>
      <c r="M61" s="33" t="n">
        <f>7580</f>
        <v>7580.0</v>
      </c>
      <c r="N61" s="34" t="s">
        <v>50</v>
      </c>
      <c r="O61" s="33" t="n">
        <f>6580</f>
        <v>6580.0</v>
      </c>
      <c r="P61" s="34" t="s">
        <v>49</v>
      </c>
      <c r="Q61" s="33" t="n">
        <f>7500</f>
        <v>7500.0</v>
      </c>
      <c r="R61" s="34" t="s">
        <v>50</v>
      </c>
      <c r="S61" s="35" t="n">
        <f>6862.94</f>
        <v>6862.94</v>
      </c>
      <c r="T61" s="32" t="n">
        <f>3894</f>
        <v>3894.0</v>
      </c>
      <c r="U61" s="32" t="str">
        <f>"－"</f>
        <v>－</v>
      </c>
      <c r="V61" s="32" t="n">
        <f>27267200</f>
        <v>2.72672E7</v>
      </c>
      <c r="W61" s="32" t="str">
        <f>"－"</f>
        <v>－</v>
      </c>
      <c r="X61" s="36" t="n">
        <f>17</f>
        <v>17.0</v>
      </c>
    </row>
    <row r="62">
      <c r="A62" s="27" t="s">
        <v>42</v>
      </c>
      <c r="B62" s="27" t="s">
        <v>224</v>
      </c>
      <c r="C62" s="27" t="s">
        <v>225</v>
      </c>
      <c r="D62" s="27" t="s">
        <v>226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1.0</v>
      </c>
      <c r="K62" s="33" t="n">
        <f>4205</f>
        <v>4205.0</v>
      </c>
      <c r="L62" s="34" t="s">
        <v>48</v>
      </c>
      <c r="M62" s="33" t="n">
        <f>5020</f>
        <v>5020.0</v>
      </c>
      <c r="N62" s="34" t="s">
        <v>50</v>
      </c>
      <c r="O62" s="33" t="n">
        <f>3745</f>
        <v>3745.0</v>
      </c>
      <c r="P62" s="34" t="s">
        <v>145</v>
      </c>
      <c r="Q62" s="33" t="n">
        <f>4930</f>
        <v>4930.0</v>
      </c>
      <c r="R62" s="34" t="s">
        <v>50</v>
      </c>
      <c r="S62" s="35" t="n">
        <f>4097.5</f>
        <v>4097.5</v>
      </c>
      <c r="T62" s="32" t="n">
        <f>73605</f>
        <v>73605.0</v>
      </c>
      <c r="U62" s="32" t="str">
        <f>"－"</f>
        <v>－</v>
      </c>
      <c r="V62" s="32" t="n">
        <f>325218830</f>
        <v>3.2521883E8</v>
      </c>
      <c r="W62" s="32" t="str">
        <f>"－"</f>
        <v>－</v>
      </c>
      <c r="X62" s="36" t="n">
        <f>18</f>
        <v>18.0</v>
      </c>
    </row>
    <row r="63">
      <c r="A63" s="27" t="s">
        <v>42</v>
      </c>
      <c r="B63" s="27" t="s">
        <v>227</v>
      </c>
      <c r="C63" s="27" t="s">
        <v>228</v>
      </c>
      <c r="D63" s="27" t="s">
        <v>229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10.0</v>
      </c>
      <c r="K63" s="33" t="n">
        <f>9780</f>
        <v>9780.0</v>
      </c>
      <c r="L63" s="34" t="s">
        <v>48</v>
      </c>
      <c r="M63" s="33" t="n">
        <f>11180</f>
        <v>11180.0</v>
      </c>
      <c r="N63" s="34" t="s">
        <v>67</v>
      </c>
      <c r="O63" s="33" t="n">
        <f>8290</f>
        <v>8290.0</v>
      </c>
      <c r="P63" s="34" t="s">
        <v>50</v>
      </c>
      <c r="Q63" s="33" t="n">
        <f>8710</f>
        <v>8710.0</v>
      </c>
      <c r="R63" s="34" t="s">
        <v>50</v>
      </c>
      <c r="S63" s="35" t="n">
        <f>10350</f>
        <v>10350.0</v>
      </c>
      <c r="T63" s="32" t="n">
        <f>9990</f>
        <v>9990.0</v>
      </c>
      <c r="U63" s="32" t="n">
        <f>20</f>
        <v>20.0</v>
      </c>
      <c r="V63" s="32" t="n">
        <f>96534000</f>
        <v>9.6534E7</v>
      </c>
      <c r="W63" s="32" t="n">
        <f>174200</f>
        <v>174200.0</v>
      </c>
      <c r="X63" s="36" t="n">
        <f>16</f>
        <v>16.0</v>
      </c>
    </row>
    <row r="64">
      <c r="A64" s="27" t="s">
        <v>42</v>
      </c>
      <c r="B64" s="27" t="s">
        <v>230</v>
      </c>
      <c r="C64" s="27" t="s">
        <v>231</v>
      </c>
      <c r="D64" s="27" t="s">
        <v>232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10.0</v>
      </c>
      <c r="K64" s="33" t="n">
        <f>6790</f>
        <v>6790.0</v>
      </c>
      <c r="L64" s="34" t="s">
        <v>48</v>
      </c>
      <c r="M64" s="33" t="n">
        <f>7790</f>
        <v>7790.0</v>
      </c>
      <c r="N64" s="34" t="s">
        <v>50</v>
      </c>
      <c r="O64" s="33" t="n">
        <f>6500</f>
        <v>6500.0</v>
      </c>
      <c r="P64" s="34" t="s">
        <v>49</v>
      </c>
      <c r="Q64" s="33" t="n">
        <f>7640</f>
        <v>7640.0</v>
      </c>
      <c r="R64" s="34" t="s">
        <v>50</v>
      </c>
      <c r="S64" s="35" t="n">
        <f>6925.56</f>
        <v>6925.56</v>
      </c>
      <c r="T64" s="32" t="n">
        <f>1130</f>
        <v>1130.0</v>
      </c>
      <c r="U64" s="32" t="str">
        <f>"－"</f>
        <v>－</v>
      </c>
      <c r="V64" s="32" t="n">
        <f>8273200</f>
        <v>8273200.0</v>
      </c>
      <c r="W64" s="32" t="str">
        <f>"－"</f>
        <v>－</v>
      </c>
      <c r="X64" s="36" t="n">
        <f>9</f>
        <v>9.0</v>
      </c>
    </row>
    <row r="65">
      <c r="A65" s="27" t="s">
        <v>42</v>
      </c>
      <c r="B65" s="27" t="s">
        <v>233</v>
      </c>
      <c r="C65" s="27" t="s">
        <v>234</v>
      </c>
      <c r="D65" s="27" t="s">
        <v>235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10.0</v>
      </c>
      <c r="K65" s="33" t="n">
        <f>4125</f>
        <v>4125.0</v>
      </c>
      <c r="L65" s="34" t="s">
        <v>48</v>
      </c>
      <c r="M65" s="33" t="n">
        <f>4960</f>
        <v>4960.0</v>
      </c>
      <c r="N65" s="34" t="s">
        <v>50</v>
      </c>
      <c r="O65" s="33" t="n">
        <f>3685</f>
        <v>3685.0</v>
      </c>
      <c r="P65" s="34" t="s">
        <v>49</v>
      </c>
      <c r="Q65" s="33" t="n">
        <f>4945</f>
        <v>4945.0</v>
      </c>
      <c r="R65" s="34" t="s">
        <v>50</v>
      </c>
      <c r="S65" s="35" t="n">
        <f>4018.89</f>
        <v>4018.89</v>
      </c>
      <c r="T65" s="32" t="n">
        <f>124710</f>
        <v>124710.0</v>
      </c>
      <c r="U65" s="32" t="n">
        <f>6700</f>
        <v>6700.0</v>
      </c>
      <c r="V65" s="32" t="n">
        <f>554369450</f>
        <v>5.5436945E8</v>
      </c>
      <c r="W65" s="32" t="n">
        <f>30002600</f>
        <v>3.00026E7</v>
      </c>
      <c r="X65" s="36" t="n">
        <f>18</f>
        <v>18.0</v>
      </c>
    </row>
    <row r="66">
      <c r="A66" s="27" t="s">
        <v>42</v>
      </c>
      <c r="B66" s="27" t="s">
        <v>236</v>
      </c>
      <c r="C66" s="27" t="s">
        <v>237</v>
      </c>
      <c r="D66" s="27" t="s">
        <v>238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1.0</v>
      </c>
      <c r="K66" s="33" t="n">
        <f>21890</f>
        <v>21890.0</v>
      </c>
      <c r="L66" s="34" t="s">
        <v>48</v>
      </c>
      <c r="M66" s="33" t="n">
        <f>24000</f>
        <v>24000.0</v>
      </c>
      <c r="N66" s="34" t="s">
        <v>49</v>
      </c>
      <c r="O66" s="33" t="n">
        <f>17500</f>
        <v>17500.0</v>
      </c>
      <c r="P66" s="34" t="s">
        <v>50</v>
      </c>
      <c r="Q66" s="33" t="n">
        <f>17830</f>
        <v>17830.0</v>
      </c>
      <c r="R66" s="34" t="s">
        <v>50</v>
      </c>
      <c r="S66" s="35" t="n">
        <f>21618.75</f>
        <v>21618.75</v>
      </c>
      <c r="T66" s="32" t="n">
        <f>5126</f>
        <v>5126.0</v>
      </c>
      <c r="U66" s="32" t="str">
        <f>"－"</f>
        <v>－</v>
      </c>
      <c r="V66" s="32" t="n">
        <f>107968920</f>
        <v>1.0796892E8</v>
      </c>
      <c r="W66" s="32" t="str">
        <f>"－"</f>
        <v>－</v>
      </c>
      <c r="X66" s="36" t="n">
        <f>16</f>
        <v>16.0</v>
      </c>
    </row>
    <row r="67">
      <c r="A67" s="27" t="s">
        <v>42</v>
      </c>
      <c r="B67" s="27" t="s">
        <v>239</v>
      </c>
      <c r="C67" s="27" t="s">
        <v>240</v>
      </c>
      <c r="D67" s="27" t="s">
        <v>241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4450</f>
        <v>4450.0</v>
      </c>
      <c r="L67" s="34" t="s">
        <v>48</v>
      </c>
      <c r="M67" s="33" t="n">
        <f>5120</f>
        <v>5120.0</v>
      </c>
      <c r="N67" s="34" t="s">
        <v>50</v>
      </c>
      <c r="O67" s="33" t="n">
        <f>4390</f>
        <v>4390.0</v>
      </c>
      <c r="P67" s="34" t="s">
        <v>60</v>
      </c>
      <c r="Q67" s="33" t="n">
        <f>4895</f>
        <v>4895.0</v>
      </c>
      <c r="R67" s="34" t="s">
        <v>50</v>
      </c>
      <c r="S67" s="35" t="n">
        <f>4545.71</f>
        <v>4545.71</v>
      </c>
      <c r="T67" s="32" t="n">
        <f>2362</f>
        <v>2362.0</v>
      </c>
      <c r="U67" s="32" t="str">
        <f>"－"</f>
        <v>－</v>
      </c>
      <c r="V67" s="32" t="n">
        <f>11292025</f>
        <v>1.1292025E7</v>
      </c>
      <c r="W67" s="32" t="str">
        <f>"－"</f>
        <v>－</v>
      </c>
      <c r="X67" s="36" t="n">
        <f>7</f>
        <v>7.0</v>
      </c>
    </row>
    <row r="68">
      <c r="A68" s="27" t="s">
        <v>42</v>
      </c>
      <c r="B68" s="27" t="s">
        <v>242</v>
      </c>
      <c r="C68" s="27" t="s">
        <v>243</v>
      </c>
      <c r="D68" s="27" t="s">
        <v>244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1.0</v>
      </c>
      <c r="K68" s="33" t="n">
        <f>1662</f>
        <v>1662.0</v>
      </c>
      <c r="L68" s="34" t="s">
        <v>48</v>
      </c>
      <c r="M68" s="33" t="n">
        <f>2054</f>
        <v>2054.0</v>
      </c>
      <c r="N68" s="34" t="s">
        <v>50</v>
      </c>
      <c r="O68" s="33" t="n">
        <f>1483</f>
        <v>1483.0</v>
      </c>
      <c r="P68" s="34" t="s">
        <v>49</v>
      </c>
      <c r="Q68" s="33" t="n">
        <f>2054</f>
        <v>2054.0</v>
      </c>
      <c r="R68" s="34" t="s">
        <v>50</v>
      </c>
      <c r="S68" s="35" t="n">
        <f>1621.39</f>
        <v>1621.39</v>
      </c>
      <c r="T68" s="32" t="n">
        <f>79537</f>
        <v>79537.0</v>
      </c>
      <c r="U68" s="32" t="str">
        <f>"－"</f>
        <v>－</v>
      </c>
      <c r="V68" s="32" t="n">
        <f>144135284</f>
        <v>1.44135284E8</v>
      </c>
      <c r="W68" s="32" t="str">
        <f>"－"</f>
        <v>－</v>
      </c>
      <c r="X68" s="36" t="n">
        <f>18</f>
        <v>18.0</v>
      </c>
    </row>
    <row r="69">
      <c r="A69" s="27" t="s">
        <v>42</v>
      </c>
      <c r="B69" s="27" t="s">
        <v>245</v>
      </c>
      <c r="C69" s="27" t="s">
        <v>246</v>
      </c>
      <c r="D69" s="27" t="s">
        <v>247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10.0</v>
      </c>
      <c r="K69" s="33" t="n">
        <f>1666</f>
        <v>1666.0</v>
      </c>
      <c r="L69" s="34" t="s">
        <v>48</v>
      </c>
      <c r="M69" s="33" t="n">
        <f>1752</f>
        <v>1752.0</v>
      </c>
      <c r="N69" s="34" t="s">
        <v>49</v>
      </c>
      <c r="O69" s="33" t="n">
        <f>1509</f>
        <v>1509.0</v>
      </c>
      <c r="P69" s="34" t="s">
        <v>50</v>
      </c>
      <c r="Q69" s="33" t="n">
        <f>1521</f>
        <v>1521.0</v>
      </c>
      <c r="R69" s="34" t="s">
        <v>50</v>
      </c>
      <c r="S69" s="35" t="n">
        <f>1679.83</f>
        <v>1679.83</v>
      </c>
      <c r="T69" s="32" t="n">
        <f>229030</f>
        <v>229030.0</v>
      </c>
      <c r="U69" s="32" t="n">
        <f>59000</f>
        <v>59000.0</v>
      </c>
      <c r="V69" s="32" t="n">
        <f>371689750</f>
        <v>3.7168975E8</v>
      </c>
      <c r="W69" s="32" t="n">
        <f>102654100</f>
        <v>1.026541E8</v>
      </c>
      <c r="X69" s="36" t="n">
        <f>18</f>
        <v>18.0</v>
      </c>
    </row>
    <row r="70">
      <c r="A70" s="27" t="s">
        <v>42</v>
      </c>
      <c r="B70" s="27" t="s">
        <v>248</v>
      </c>
      <c r="C70" s="27" t="s">
        <v>249</v>
      </c>
      <c r="D70" s="27" t="s">
        <v>250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1.0</v>
      </c>
      <c r="K70" s="33" t="n">
        <f>15020</f>
        <v>15020.0</v>
      </c>
      <c r="L70" s="34" t="s">
        <v>48</v>
      </c>
      <c r="M70" s="33" t="n">
        <f>15660</f>
        <v>15660.0</v>
      </c>
      <c r="N70" s="34" t="s">
        <v>49</v>
      </c>
      <c r="O70" s="33" t="n">
        <f>13550</f>
        <v>13550.0</v>
      </c>
      <c r="P70" s="34" t="s">
        <v>50</v>
      </c>
      <c r="Q70" s="33" t="n">
        <f>13670</f>
        <v>13670.0</v>
      </c>
      <c r="R70" s="34" t="s">
        <v>50</v>
      </c>
      <c r="S70" s="35" t="n">
        <f>15047.78</f>
        <v>15047.78</v>
      </c>
      <c r="T70" s="32" t="n">
        <f>16743</f>
        <v>16743.0</v>
      </c>
      <c r="U70" s="32" t="n">
        <f>10200</f>
        <v>10200.0</v>
      </c>
      <c r="V70" s="32" t="n">
        <f>254013090</f>
        <v>2.5401309E8</v>
      </c>
      <c r="W70" s="32" t="n">
        <f>157829800</f>
        <v>1.578298E8</v>
      </c>
      <c r="X70" s="36" t="n">
        <f>18</f>
        <v>18.0</v>
      </c>
    </row>
    <row r="71">
      <c r="A71" s="27" t="s">
        <v>42</v>
      </c>
      <c r="B71" s="27" t="s">
        <v>251</v>
      </c>
      <c r="C71" s="27" t="s">
        <v>252</v>
      </c>
      <c r="D71" s="27" t="s">
        <v>253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1690</f>
        <v>1690.0</v>
      </c>
      <c r="L71" s="34" t="s">
        <v>48</v>
      </c>
      <c r="M71" s="33" t="n">
        <f>1765</f>
        <v>1765.0</v>
      </c>
      <c r="N71" s="34" t="s">
        <v>49</v>
      </c>
      <c r="O71" s="33" t="n">
        <f>1519</f>
        <v>1519.0</v>
      </c>
      <c r="P71" s="34" t="s">
        <v>50</v>
      </c>
      <c r="Q71" s="33" t="n">
        <f>1532</f>
        <v>1532.0</v>
      </c>
      <c r="R71" s="34" t="s">
        <v>50</v>
      </c>
      <c r="S71" s="35" t="n">
        <f>1692.44</f>
        <v>1692.44</v>
      </c>
      <c r="T71" s="32" t="n">
        <f>2474459</f>
        <v>2474459.0</v>
      </c>
      <c r="U71" s="32" t="n">
        <f>296729</f>
        <v>296729.0</v>
      </c>
      <c r="V71" s="32" t="n">
        <f>4137914582</f>
        <v>4.137914582E9</v>
      </c>
      <c r="W71" s="32" t="n">
        <f>510238897</f>
        <v>5.10238897E8</v>
      </c>
      <c r="X71" s="36" t="n">
        <f>18</f>
        <v>18.0</v>
      </c>
    </row>
    <row r="72">
      <c r="A72" s="27" t="s">
        <v>42</v>
      </c>
      <c r="B72" s="27" t="s">
        <v>254</v>
      </c>
      <c r="C72" s="27" t="s">
        <v>255</v>
      </c>
      <c r="D72" s="27" t="s">
        <v>256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2280</f>
        <v>2280.0</v>
      </c>
      <c r="L72" s="34" t="s">
        <v>48</v>
      </c>
      <c r="M72" s="33" t="n">
        <f>2309</f>
        <v>2309.0</v>
      </c>
      <c r="N72" s="34" t="s">
        <v>60</v>
      </c>
      <c r="O72" s="33" t="n">
        <f>2069</f>
        <v>2069.0</v>
      </c>
      <c r="P72" s="34" t="s">
        <v>50</v>
      </c>
      <c r="Q72" s="33" t="n">
        <f>2081</f>
        <v>2081.0</v>
      </c>
      <c r="R72" s="34" t="s">
        <v>50</v>
      </c>
      <c r="S72" s="35" t="n">
        <f>2261.78</f>
        <v>2261.78</v>
      </c>
      <c r="T72" s="32" t="n">
        <f>5917771</f>
        <v>5917771.0</v>
      </c>
      <c r="U72" s="32" t="n">
        <f>3217634</f>
        <v>3217634.0</v>
      </c>
      <c r="V72" s="32" t="n">
        <f>13302712166</f>
        <v>1.3302712166E10</v>
      </c>
      <c r="W72" s="32" t="n">
        <f>7243042168</f>
        <v>7.243042168E9</v>
      </c>
      <c r="X72" s="36" t="n">
        <f>18</f>
        <v>18.0</v>
      </c>
    </row>
    <row r="73">
      <c r="A73" s="27" t="s">
        <v>42</v>
      </c>
      <c r="B73" s="27" t="s">
        <v>257</v>
      </c>
      <c r="C73" s="27" t="s">
        <v>258</v>
      </c>
      <c r="D73" s="27" t="s">
        <v>259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1849</f>
        <v>1849.0</v>
      </c>
      <c r="L73" s="34" t="s">
        <v>48</v>
      </c>
      <c r="M73" s="33" t="n">
        <f>1908</f>
        <v>1908.0</v>
      </c>
      <c r="N73" s="34" t="s">
        <v>49</v>
      </c>
      <c r="O73" s="33" t="n">
        <f>1649</f>
        <v>1649.0</v>
      </c>
      <c r="P73" s="34" t="s">
        <v>50</v>
      </c>
      <c r="Q73" s="33" t="n">
        <f>1649</f>
        <v>1649.0</v>
      </c>
      <c r="R73" s="34" t="s">
        <v>50</v>
      </c>
      <c r="S73" s="35" t="n">
        <f>1829.56</f>
        <v>1829.56</v>
      </c>
      <c r="T73" s="32" t="n">
        <f>91425</f>
        <v>91425.0</v>
      </c>
      <c r="U73" s="32" t="n">
        <f>21</f>
        <v>21.0</v>
      </c>
      <c r="V73" s="32" t="n">
        <f>168312386</f>
        <v>1.68312386E8</v>
      </c>
      <c r="W73" s="32" t="n">
        <f>36897</f>
        <v>36897.0</v>
      </c>
      <c r="X73" s="36" t="n">
        <f>18</f>
        <v>18.0</v>
      </c>
    </row>
    <row r="74">
      <c r="A74" s="27" t="s">
        <v>42</v>
      </c>
      <c r="B74" s="27" t="s">
        <v>260</v>
      </c>
      <c r="C74" s="27" t="s">
        <v>261</v>
      </c>
      <c r="D74" s="27" t="s">
        <v>262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1.0</v>
      </c>
      <c r="K74" s="33" t="n">
        <f>1936</f>
        <v>1936.0</v>
      </c>
      <c r="L74" s="34" t="s">
        <v>48</v>
      </c>
      <c r="M74" s="33" t="n">
        <f>2013</f>
        <v>2013.0</v>
      </c>
      <c r="N74" s="34" t="s">
        <v>49</v>
      </c>
      <c r="O74" s="33" t="n">
        <f>1766</f>
        <v>1766.0</v>
      </c>
      <c r="P74" s="34" t="s">
        <v>50</v>
      </c>
      <c r="Q74" s="33" t="n">
        <f>1778</f>
        <v>1778.0</v>
      </c>
      <c r="R74" s="34" t="s">
        <v>50</v>
      </c>
      <c r="S74" s="35" t="n">
        <f>1938.44</f>
        <v>1938.44</v>
      </c>
      <c r="T74" s="32" t="n">
        <f>387481</f>
        <v>387481.0</v>
      </c>
      <c r="U74" s="32" t="n">
        <f>1875</f>
        <v>1875.0</v>
      </c>
      <c r="V74" s="32" t="n">
        <f>746749943</f>
        <v>7.46749943E8</v>
      </c>
      <c r="W74" s="32" t="n">
        <f>3603329</f>
        <v>3603329.0</v>
      </c>
      <c r="X74" s="36" t="n">
        <f>18</f>
        <v>18.0</v>
      </c>
    </row>
    <row r="75">
      <c r="A75" s="27" t="s">
        <v>42</v>
      </c>
      <c r="B75" s="27" t="s">
        <v>263</v>
      </c>
      <c r="C75" s="27" t="s">
        <v>264</v>
      </c>
      <c r="D75" s="27" t="s">
        <v>265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1.0</v>
      </c>
      <c r="K75" s="33" t="n">
        <f>20260</f>
        <v>20260.0</v>
      </c>
      <c r="L75" s="34" t="s">
        <v>101</v>
      </c>
      <c r="M75" s="33" t="n">
        <f>21050</f>
        <v>21050.0</v>
      </c>
      <c r="N75" s="34" t="s">
        <v>49</v>
      </c>
      <c r="O75" s="33" t="n">
        <f>18440</f>
        <v>18440.0</v>
      </c>
      <c r="P75" s="34" t="s">
        <v>50</v>
      </c>
      <c r="Q75" s="33" t="n">
        <f>18450</f>
        <v>18450.0</v>
      </c>
      <c r="R75" s="34" t="s">
        <v>50</v>
      </c>
      <c r="S75" s="35" t="n">
        <f>20234.62</f>
        <v>20234.62</v>
      </c>
      <c r="T75" s="32" t="n">
        <f>513</f>
        <v>513.0</v>
      </c>
      <c r="U75" s="32" t="str">
        <f>"－"</f>
        <v>－</v>
      </c>
      <c r="V75" s="32" t="n">
        <f>10475110</f>
        <v>1.047511E7</v>
      </c>
      <c r="W75" s="32" t="str">
        <f>"－"</f>
        <v>－</v>
      </c>
      <c r="X75" s="36" t="n">
        <f>13</f>
        <v>13.0</v>
      </c>
    </row>
    <row r="76">
      <c r="A76" s="27" t="s">
        <v>42</v>
      </c>
      <c r="B76" s="27" t="s">
        <v>266</v>
      </c>
      <c r="C76" s="27" t="s">
        <v>267</v>
      </c>
      <c r="D76" s="27" t="s">
        <v>268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1.0</v>
      </c>
      <c r="K76" s="33" t="n">
        <f>16260</f>
        <v>16260.0</v>
      </c>
      <c r="L76" s="34" t="s">
        <v>101</v>
      </c>
      <c r="M76" s="33" t="n">
        <f>16850</f>
        <v>16850.0</v>
      </c>
      <c r="N76" s="34" t="s">
        <v>49</v>
      </c>
      <c r="O76" s="33" t="n">
        <f>14750</f>
        <v>14750.0</v>
      </c>
      <c r="P76" s="34" t="s">
        <v>50</v>
      </c>
      <c r="Q76" s="33" t="n">
        <f>14750</f>
        <v>14750.0</v>
      </c>
      <c r="R76" s="34" t="s">
        <v>50</v>
      </c>
      <c r="S76" s="35" t="n">
        <f>16074.55</f>
        <v>16074.55</v>
      </c>
      <c r="T76" s="32" t="n">
        <f>3378</f>
        <v>3378.0</v>
      </c>
      <c r="U76" s="32" t="str">
        <f>"－"</f>
        <v>－</v>
      </c>
      <c r="V76" s="32" t="n">
        <f>55327690</f>
        <v>5.532769E7</v>
      </c>
      <c r="W76" s="32" t="str">
        <f>"－"</f>
        <v>－</v>
      </c>
      <c r="X76" s="36" t="n">
        <f>11</f>
        <v>11.0</v>
      </c>
    </row>
    <row r="77">
      <c r="A77" s="27" t="s">
        <v>42</v>
      </c>
      <c r="B77" s="27" t="s">
        <v>269</v>
      </c>
      <c r="C77" s="27" t="s">
        <v>270</v>
      </c>
      <c r="D77" s="27" t="s">
        <v>271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1.0</v>
      </c>
      <c r="K77" s="33" t="n">
        <f>1591</f>
        <v>1591.0</v>
      </c>
      <c r="L77" s="34" t="s">
        <v>48</v>
      </c>
      <c r="M77" s="33" t="n">
        <f>1670</f>
        <v>1670.0</v>
      </c>
      <c r="N77" s="34" t="s">
        <v>49</v>
      </c>
      <c r="O77" s="33" t="n">
        <f>1463</f>
        <v>1463.0</v>
      </c>
      <c r="P77" s="34" t="s">
        <v>50</v>
      </c>
      <c r="Q77" s="33" t="n">
        <f>1463</f>
        <v>1463.0</v>
      </c>
      <c r="R77" s="34" t="s">
        <v>50</v>
      </c>
      <c r="S77" s="35" t="n">
        <f>1608</f>
        <v>1608.0</v>
      </c>
      <c r="T77" s="32" t="n">
        <f>263567</f>
        <v>263567.0</v>
      </c>
      <c r="U77" s="32" t="str">
        <f>"－"</f>
        <v>－</v>
      </c>
      <c r="V77" s="32" t="n">
        <f>428887206</f>
        <v>4.28887206E8</v>
      </c>
      <c r="W77" s="32" t="str">
        <f>"－"</f>
        <v>－</v>
      </c>
      <c r="X77" s="36" t="n">
        <f>18</f>
        <v>18.0</v>
      </c>
    </row>
    <row r="78">
      <c r="A78" s="27" t="s">
        <v>42</v>
      </c>
      <c r="B78" s="27" t="s">
        <v>272</v>
      </c>
      <c r="C78" s="27" t="s">
        <v>273</v>
      </c>
      <c r="D78" s="27" t="s">
        <v>274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1.0</v>
      </c>
      <c r="K78" s="33" t="n">
        <f>2379</f>
        <v>2379.0</v>
      </c>
      <c r="L78" s="34" t="s">
        <v>48</v>
      </c>
      <c r="M78" s="33" t="n">
        <f>2428</f>
        <v>2428.0</v>
      </c>
      <c r="N78" s="34" t="s">
        <v>50</v>
      </c>
      <c r="O78" s="33" t="n">
        <f>2350</f>
        <v>2350.0</v>
      </c>
      <c r="P78" s="34" t="s">
        <v>49</v>
      </c>
      <c r="Q78" s="33" t="n">
        <f>2424</f>
        <v>2424.0</v>
      </c>
      <c r="R78" s="34" t="s">
        <v>50</v>
      </c>
      <c r="S78" s="35" t="n">
        <f>2375.61</f>
        <v>2375.61</v>
      </c>
      <c r="T78" s="32" t="n">
        <f>1087017</f>
        <v>1087017.0</v>
      </c>
      <c r="U78" s="32" t="n">
        <f>709622</f>
        <v>709622.0</v>
      </c>
      <c r="V78" s="32" t="n">
        <f>2587496749</f>
        <v>2.587496749E9</v>
      </c>
      <c r="W78" s="32" t="n">
        <f>1686755059</f>
        <v>1.686755059E9</v>
      </c>
      <c r="X78" s="36" t="n">
        <f>18</f>
        <v>18.0</v>
      </c>
    </row>
    <row r="79">
      <c r="A79" s="27" t="s">
        <v>42</v>
      </c>
      <c r="B79" s="27" t="s">
        <v>275</v>
      </c>
      <c r="C79" s="27" t="s">
        <v>276</v>
      </c>
      <c r="D79" s="27" t="s">
        <v>277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1.0</v>
      </c>
      <c r="K79" s="33" t="n">
        <f>1585</f>
        <v>1585.0</v>
      </c>
      <c r="L79" s="34" t="s">
        <v>48</v>
      </c>
      <c r="M79" s="33" t="n">
        <f>1700</f>
        <v>1700.0</v>
      </c>
      <c r="N79" s="34" t="s">
        <v>278</v>
      </c>
      <c r="O79" s="33" t="n">
        <f>1585</f>
        <v>1585.0</v>
      </c>
      <c r="P79" s="34" t="s">
        <v>48</v>
      </c>
      <c r="Q79" s="33" t="n">
        <f>1632</f>
        <v>1632.0</v>
      </c>
      <c r="R79" s="34" t="s">
        <v>50</v>
      </c>
      <c r="S79" s="35" t="n">
        <f>1642.88</f>
        <v>1642.88</v>
      </c>
      <c r="T79" s="32" t="n">
        <f>497</f>
        <v>497.0</v>
      </c>
      <c r="U79" s="32" t="str">
        <f>"－"</f>
        <v>－</v>
      </c>
      <c r="V79" s="32" t="n">
        <f>809707</f>
        <v>809707.0</v>
      </c>
      <c r="W79" s="32" t="str">
        <f>"－"</f>
        <v>－</v>
      </c>
      <c r="X79" s="36" t="n">
        <f>17</f>
        <v>17.0</v>
      </c>
    </row>
    <row r="80">
      <c r="A80" s="27" t="s">
        <v>42</v>
      </c>
      <c r="B80" s="27" t="s">
        <v>279</v>
      </c>
      <c r="C80" s="27" t="s">
        <v>280</v>
      </c>
      <c r="D80" s="27" t="s">
        <v>281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10.0</v>
      </c>
      <c r="K80" s="33" t="n">
        <f>1576</f>
        <v>1576.0</v>
      </c>
      <c r="L80" s="34" t="s">
        <v>48</v>
      </c>
      <c r="M80" s="33" t="n">
        <f>1650</f>
        <v>1650.0</v>
      </c>
      <c r="N80" s="34" t="s">
        <v>49</v>
      </c>
      <c r="O80" s="33" t="n">
        <f>1439</f>
        <v>1439.0</v>
      </c>
      <c r="P80" s="34" t="s">
        <v>50</v>
      </c>
      <c r="Q80" s="33" t="n">
        <f>1439</f>
        <v>1439.0</v>
      </c>
      <c r="R80" s="34" t="s">
        <v>50</v>
      </c>
      <c r="S80" s="35" t="n">
        <f>1587.06</f>
        <v>1587.06</v>
      </c>
      <c r="T80" s="32" t="n">
        <f>8160</f>
        <v>8160.0</v>
      </c>
      <c r="U80" s="32" t="str">
        <f>"－"</f>
        <v>－</v>
      </c>
      <c r="V80" s="32" t="n">
        <f>12883860</f>
        <v>1.288386E7</v>
      </c>
      <c r="W80" s="32" t="str">
        <f>"－"</f>
        <v>－</v>
      </c>
      <c r="X80" s="36" t="n">
        <f>18</f>
        <v>18.0</v>
      </c>
    </row>
    <row r="81">
      <c r="A81" s="27" t="s">
        <v>42</v>
      </c>
      <c r="B81" s="27" t="s">
        <v>282</v>
      </c>
      <c r="C81" s="27" t="s">
        <v>283</v>
      </c>
      <c r="D81" s="27" t="s">
        <v>284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1.0</v>
      </c>
      <c r="K81" s="33" t="n">
        <f>25020</f>
        <v>25020.0</v>
      </c>
      <c r="L81" s="34" t="s">
        <v>164</v>
      </c>
      <c r="M81" s="33" t="n">
        <f>25020</f>
        <v>25020.0</v>
      </c>
      <c r="N81" s="34" t="s">
        <v>164</v>
      </c>
      <c r="O81" s="33" t="n">
        <f>25020</f>
        <v>25020.0</v>
      </c>
      <c r="P81" s="34" t="s">
        <v>164</v>
      </c>
      <c r="Q81" s="33" t="n">
        <f>25020</f>
        <v>25020.0</v>
      </c>
      <c r="R81" s="34" t="s">
        <v>164</v>
      </c>
      <c r="S81" s="35" t="n">
        <f>25020</f>
        <v>25020.0</v>
      </c>
      <c r="T81" s="32" t="n">
        <f>4</f>
        <v>4.0</v>
      </c>
      <c r="U81" s="32" t="str">
        <f>"－"</f>
        <v>－</v>
      </c>
      <c r="V81" s="32" t="n">
        <f>100080</f>
        <v>100080.0</v>
      </c>
      <c r="W81" s="32" t="str">
        <f>"－"</f>
        <v>－</v>
      </c>
      <c r="X81" s="36" t="n">
        <f>1</f>
        <v>1.0</v>
      </c>
    </row>
    <row r="82">
      <c r="A82" s="27" t="s">
        <v>42</v>
      </c>
      <c r="B82" s="27" t="s">
        <v>285</v>
      </c>
      <c r="C82" s="27" t="s">
        <v>286</v>
      </c>
      <c r="D82" s="27" t="s">
        <v>287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1.0</v>
      </c>
      <c r="K82" s="33" t="n">
        <f>21230</f>
        <v>21230.0</v>
      </c>
      <c r="L82" s="34" t="s">
        <v>48</v>
      </c>
      <c r="M82" s="33" t="n">
        <f>24000</f>
        <v>24000.0</v>
      </c>
      <c r="N82" s="34" t="s">
        <v>50</v>
      </c>
      <c r="O82" s="33" t="n">
        <f>21200</f>
        <v>21200.0</v>
      </c>
      <c r="P82" s="34" t="s">
        <v>101</v>
      </c>
      <c r="Q82" s="33" t="n">
        <f>21810</f>
        <v>21810.0</v>
      </c>
      <c r="R82" s="34" t="s">
        <v>50</v>
      </c>
      <c r="S82" s="35" t="n">
        <f>21522.35</f>
        <v>21522.35</v>
      </c>
      <c r="T82" s="32" t="n">
        <f>58378</f>
        <v>58378.0</v>
      </c>
      <c r="U82" s="32" t="n">
        <f>56500</f>
        <v>56500.0</v>
      </c>
      <c r="V82" s="32" t="n">
        <f>1257505900</f>
        <v>1.2575059E9</v>
      </c>
      <c r="W82" s="32" t="n">
        <f>1216537300</f>
        <v>1.2165373E9</v>
      </c>
      <c r="X82" s="36" t="n">
        <f>17</f>
        <v>17.0</v>
      </c>
    </row>
    <row r="83">
      <c r="A83" s="27" t="s">
        <v>42</v>
      </c>
      <c r="B83" s="27" t="s">
        <v>288</v>
      </c>
      <c r="C83" s="27" t="s">
        <v>289</v>
      </c>
      <c r="D83" s="27" t="s">
        <v>290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1.0</v>
      </c>
      <c r="K83" s="33" t="n">
        <f>18640</f>
        <v>18640.0</v>
      </c>
      <c r="L83" s="34" t="s">
        <v>48</v>
      </c>
      <c r="M83" s="33" t="n">
        <f>18990</f>
        <v>18990.0</v>
      </c>
      <c r="N83" s="34" t="s">
        <v>50</v>
      </c>
      <c r="O83" s="33" t="n">
        <f>18370</f>
        <v>18370.0</v>
      </c>
      <c r="P83" s="34" t="s">
        <v>49</v>
      </c>
      <c r="Q83" s="33" t="n">
        <f>18970</f>
        <v>18970.0</v>
      </c>
      <c r="R83" s="34" t="s">
        <v>50</v>
      </c>
      <c r="S83" s="35" t="n">
        <f>18588.89</f>
        <v>18588.89</v>
      </c>
      <c r="T83" s="32" t="n">
        <f>163924</f>
        <v>163924.0</v>
      </c>
      <c r="U83" s="32" t="n">
        <f>104000</f>
        <v>104000.0</v>
      </c>
      <c r="V83" s="32" t="n">
        <f>3074257140</f>
        <v>3.07425714E9</v>
      </c>
      <c r="W83" s="32" t="n">
        <f>1957114600</f>
        <v>1.9571146E9</v>
      </c>
      <c r="X83" s="36" t="n">
        <f>18</f>
        <v>18.0</v>
      </c>
    </row>
    <row r="84">
      <c r="A84" s="27" t="s">
        <v>42</v>
      </c>
      <c r="B84" s="27" t="s">
        <v>291</v>
      </c>
      <c r="C84" s="27" t="s">
        <v>292</v>
      </c>
      <c r="D84" s="27" t="s">
        <v>293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10.0</v>
      </c>
      <c r="K84" s="33" t="n">
        <f>2275</f>
        <v>2275.0</v>
      </c>
      <c r="L84" s="34" t="s">
        <v>48</v>
      </c>
      <c r="M84" s="33" t="n">
        <f>2322</f>
        <v>2322.0</v>
      </c>
      <c r="N84" s="34" t="s">
        <v>60</v>
      </c>
      <c r="O84" s="33" t="n">
        <f>2084</f>
        <v>2084.0</v>
      </c>
      <c r="P84" s="34" t="s">
        <v>50</v>
      </c>
      <c r="Q84" s="33" t="n">
        <f>2104</f>
        <v>2104.0</v>
      </c>
      <c r="R84" s="34" t="s">
        <v>50</v>
      </c>
      <c r="S84" s="35" t="n">
        <f>2273.89</f>
        <v>2273.89</v>
      </c>
      <c r="T84" s="32" t="n">
        <f>994130</f>
        <v>994130.0</v>
      </c>
      <c r="U84" s="32" t="n">
        <f>474000</f>
        <v>474000.0</v>
      </c>
      <c r="V84" s="32" t="n">
        <f>2219939250</f>
        <v>2.21993925E9</v>
      </c>
      <c r="W84" s="32" t="n">
        <f>1063376380</f>
        <v>1.06337638E9</v>
      </c>
      <c r="X84" s="36" t="n">
        <f>18</f>
        <v>18.0</v>
      </c>
    </row>
    <row r="85">
      <c r="A85" s="27" t="s">
        <v>42</v>
      </c>
      <c r="B85" s="27" t="s">
        <v>294</v>
      </c>
      <c r="C85" s="27" t="s">
        <v>295</v>
      </c>
      <c r="D85" s="27" t="s">
        <v>296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1.0</v>
      </c>
      <c r="K85" s="33" t="n">
        <f>32950</f>
        <v>32950.0</v>
      </c>
      <c r="L85" s="34" t="s">
        <v>48</v>
      </c>
      <c r="M85" s="33" t="n">
        <f>34400</f>
        <v>34400.0</v>
      </c>
      <c r="N85" s="34" t="s">
        <v>49</v>
      </c>
      <c r="O85" s="33" t="n">
        <f>30150</f>
        <v>30150.0</v>
      </c>
      <c r="P85" s="34" t="s">
        <v>50</v>
      </c>
      <c r="Q85" s="33" t="n">
        <f>30500</f>
        <v>30500.0</v>
      </c>
      <c r="R85" s="34" t="s">
        <v>50</v>
      </c>
      <c r="S85" s="35" t="n">
        <f>33033.33</f>
        <v>33033.33</v>
      </c>
      <c r="T85" s="32" t="n">
        <f>56067</f>
        <v>56067.0</v>
      </c>
      <c r="U85" s="32" t="n">
        <f>15</f>
        <v>15.0</v>
      </c>
      <c r="V85" s="32" t="n">
        <f>1816546895</f>
        <v>1.816546895E9</v>
      </c>
      <c r="W85" s="32" t="n">
        <f>485195</f>
        <v>485195.0</v>
      </c>
      <c r="X85" s="36" t="n">
        <f>18</f>
        <v>18.0</v>
      </c>
    </row>
    <row r="86">
      <c r="A86" s="27" t="s">
        <v>42</v>
      </c>
      <c r="B86" s="27" t="s">
        <v>297</v>
      </c>
      <c r="C86" s="27" t="s">
        <v>298</v>
      </c>
      <c r="D86" s="27" t="s">
        <v>299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10.0</v>
      </c>
      <c r="K86" s="33" t="n">
        <f>9090</f>
        <v>9090.0</v>
      </c>
      <c r="L86" s="34" t="s">
        <v>145</v>
      </c>
      <c r="M86" s="33" t="n">
        <f>9090</f>
        <v>9090.0</v>
      </c>
      <c r="N86" s="34" t="s">
        <v>145</v>
      </c>
      <c r="O86" s="33" t="n">
        <f>9010</f>
        <v>9010.0</v>
      </c>
      <c r="P86" s="34" t="s">
        <v>278</v>
      </c>
      <c r="Q86" s="33" t="n">
        <f>9040</f>
        <v>9040.0</v>
      </c>
      <c r="R86" s="34" t="s">
        <v>300</v>
      </c>
      <c r="S86" s="35" t="n">
        <f>9047.5</f>
        <v>9047.5</v>
      </c>
      <c r="T86" s="32" t="n">
        <f>840</f>
        <v>840.0</v>
      </c>
      <c r="U86" s="32" t="str">
        <f>"－"</f>
        <v>－</v>
      </c>
      <c r="V86" s="32" t="n">
        <f>7622700</f>
        <v>7622700.0</v>
      </c>
      <c r="W86" s="32" t="str">
        <f>"－"</f>
        <v>－</v>
      </c>
      <c r="X86" s="36" t="n">
        <f>8</f>
        <v>8.0</v>
      </c>
    </row>
    <row r="87">
      <c r="A87" s="27" t="s">
        <v>42</v>
      </c>
      <c r="B87" s="27" t="s">
        <v>301</v>
      </c>
      <c r="C87" s="27" t="s">
        <v>302</v>
      </c>
      <c r="D87" s="27" t="s">
        <v>303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14050</f>
        <v>14050.0</v>
      </c>
      <c r="L87" s="34" t="s">
        <v>48</v>
      </c>
      <c r="M87" s="33" t="n">
        <f>14550</f>
        <v>14550.0</v>
      </c>
      <c r="N87" s="34" t="s">
        <v>145</v>
      </c>
      <c r="O87" s="33" t="n">
        <f>12080</f>
        <v>12080.0</v>
      </c>
      <c r="P87" s="34" t="s">
        <v>50</v>
      </c>
      <c r="Q87" s="33" t="n">
        <f>12160</f>
        <v>12160.0</v>
      </c>
      <c r="R87" s="34" t="s">
        <v>50</v>
      </c>
      <c r="S87" s="35" t="n">
        <f>13817.78</f>
        <v>13817.78</v>
      </c>
      <c r="T87" s="32" t="n">
        <f>1643</f>
        <v>1643.0</v>
      </c>
      <c r="U87" s="32" t="str">
        <f>"－"</f>
        <v>－</v>
      </c>
      <c r="V87" s="32" t="n">
        <f>22385820</f>
        <v>2.238582E7</v>
      </c>
      <c r="W87" s="32" t="str">
        <f>"－"</f>
        <v>－</v>
      </c>
      <c r="X87" s="36" t="n">
        <f>18</f>
        <v>18.0</v>
      </c>
    </row>
    <row r="88">
      <c r="A88" s="27" t="s">
        <v>42</v>
      </c>
      <c r="B88" s="27" t="s">
        <v>304</v>
      </c>
      <c r="C88" s="27" t="s">
        <v>305</v>
      </c>
      <c r="D88" s="27" t="s">
        <v>306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13980</f>
        <v>13980.0</v>
      </c>
      <c r="L88" s="34" t="s">
        <v>48</v>
      </c>
      <c r="M88" s="33" t="n">
        <f>14590</f>
        <v>14590.0</v>
      </c>
      <c r="N88" s="34" t="s">
        <v>49</v>
      </c>
      <c r="O88" s="33" t="n">
        <f>12030</f>
        <v>12030.0</v>
      </c>
      <c r="P88" s="34" t="s">
        <v>50</v>
      </c>
      <c r="Q88" s="33" t="n">
        <f>12030</f>
        <v>12030.0</v>
      </c>
      <c r="R88" s="34" t="s">
        <v>50</v>
      </c>
      <c r="S88" s="35" t="n">
        <f>13828.89</f>
        <v>13828.89</v>
      </c>
      <c r="T88" s="32" t="n">
        <f>1888</f>
        <v>1888.0</v>
      </c>
      <c r="U88" s="32" t="str">
        <f>"－"</f>
        <v>－</v>
      </c>
      <c r="V88" s="32" t="n">
        <f>24440870</f>
        <v>2.444087E7</v>
      </c>
      <c r="W88" s="32" t="str">
        <f>"－"</f>
        <v>－</v>
      </c>
      <c r="X88" s="36" t="n">
        <f>18</f>
        <v>18.0</v>
      </c>
    </row>
    <row r="89">
      <c r="A89" s="27" t="s">
        <v>42</v>
      </c>
      <c r="B89" s="27" t="s">
        <v>307</v>
      </c>
      <c r="C89" s="27" t="s">
        <v>308</v>
      </c>
      <c r="D89" s="27" t="s">
        <v>309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1.0</v>
      </c>
      <c r="K89" s="33" t="n">
        <f>17770</f>
        <v>17770.0</v>
      </c>
      <c r="L89" s="34" t="s">
        <v>48</v>
      </c>
      <c r="M89" s="33" t="n">
        <f>18610</f>
        <v>18610.0</v>
      </c>
      <c r="N89" s="34" t="s">
        <v>145</v>
      </c>
      <c r="O89" s="33" t="n">
        <f>16130</f>
        <v>16130.0</v>
      </c>
      <c r="P89" s="34" t="s">
        <v>50</v>
      </c>
      <c r="Q89" s="33" t="n">
        <f>16140</f>
        <v>16140.0</v>
      </c>
      <c r="R89" s="34" t="s">
        <v>50</v>
      </c>
      <c r="S89" s="35" t="n">
        <f>17846.67</f>
        <v>17846.67</v>
      </c>
      <c r="T89" s="32" t="n">
        <f>2983</f>
        <v>2983.0</v>
      </c>
      <c r="U89" s="32" t="str">
        <f>"－"</f>
        <v>－</v>
      </c>
      <c r="V89" s="32" t="n">
        <f>52457960</f>
        <v>5.245796E7</v>
      </c>
      <c r="W89" s="32" t="str">
        <f>"－"</f>
        <v>－</v>
      </c>
      <c r="X89" s="36" t="n">
        <f>18</f>
        <v>18.0</v>
      </c>
    </row>
    <row r="90">
      <c r="A90" s="27" t="s">
        <v>42</v>
      </c>
      <c r="B90" s="27" t="s">
        <v>310</v>
      </c>
      <c r="C90" s="27" t="s">
        <v>311</v>
      </c>
      <c r="D90" s="27" t="s">
        <v>312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10.0</v>
      </c>
      <c r="K90" s="33" t="n">
        <f>11480</f>
        <v>11480.0</v>
      </c>
      <c r="L90" s="34" t="s">
        <v>48</v>
      </c>
      <c r="M90" s="33" t="n">
        <f>11850</f>
        <v>11850.0</v>
      </c>
      <c r="N90" s="34" t="s">
        <v>60</v>
      </c>
      <c r="O90" s="33" t="n">
        <f>10640</f>
        <v>10640.0</v>
      </c>
      <c r="P90" s="34" t="s">
        <v>50</v>
      </c>
      <c r="Q90" s="33" t="n">
        <f>10790</f>
        <v>10790.0</v>
      </c>
      <c r="R90" s="34" t="s">
        <v>50</v>
      </c>
      <c r="S90" s="35" t="n">
        <f>11526.11</f>
        <v>11526.11</v>
      </c>
      <c r="T90" s="32" t="n">
        <f>10070</f>
        <v>10070.0</v>
      </c>
      <c r="U90" s="32" t="str">
        <f>"－"</f>
        <v>－</v>
      </c>
      <c r="V90" s="32" t="n">
        <f>114789700</f>
        <v>1.147897E8</v>
      </c>
      <c r="W90" s="32" t="str">
        <f>"－"</f>
        <v>－</v>
      </c>
      <c r="X90" s="36" t="n">
        <f>18</f>
        <v>18.0</v>
      </c>
    </row>
    <row r="91">
      <c r="A91" s="27" t="s">
        <v>42</v>
      </c>
      <c r="B91" s="27" t="s">
        <v>313</v>
      </c>
      <c r="C91" s="27" t="s">
        <v>314</v>
      </c>
      <c r="D91" s="27" t="s">
        <v>315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1.0</v>
      </c>
      <c r="K91" s="33" t="n">
        <f>2570</f>
        <v>2570.0</v>
      </c>
      <c r="L91" s="34" t="s">
        <v>48</v>
      </c>
      <c r="M91" s="33" t="n">
        <f>2589</f>
        <v>2589.0</v>
      </c>
      <c r="N91" s="34" t="s">
        <v>96</v>
      </c>
      <c r="O91" s="33" t="n">
        <f>2525</f>
        <v>2525.0</v>
      </c>
      <c r="P91" s="34" t="s">
        <v>145</v>
      </c>
      <c r="Q91" s="33" t="n">
        <f>2572</f>
        <v>2572.0</v>
      </c>
      <c r="R91" s="34" t="s">
        <v>50</v>
      </c>
      <c r="S91" s="35" t="n">
        <f>2567.61</f>
        <v>2567.61</v>
      </c>
      <c r="T91" s="32" t="n">
        <f>236168</f>
        <v>236168.0</v>
      </c>
      <c r="U91" s="32" t="n">
        <f>39001</f>
        <v>39001.0</v>
      </c>
      <c r="V91" s="32" t="n">
        <f>608252313</f>
        <v>6.08252313E8</v>
      </c>
      <c r="W91" s="32" t="n">
        <f>100466562</f>
        <v>1.00466562E8</v>
      </c>
      <c r="X91" s="36" t="n">
        <f>18</f>
        <v>18.0</v>
      </c>
    </row>
    <row r="92">
      <c r="A92" s="27" t="s">
        <v>42</v>
      </c>
      <c r="B92" s="27" t="s">
        <v>316</v>
      </c>
      <c r="C92" s="27" t="s">
        <v>317</v>
      </c>
      <c r="D92" s="27" t="s">
        <v>318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1.0</v>
      </c>
      <c r="K92" s="33" t="n">
        <f>2383</f>
        <v>2383.0</v>
      </c>
      <c r="L92" s="34" t="s">
        <v>48</v>
      </c>
      <c r="M92" s="33" t="n">
        <f>2415</f>
        <v>2415.0</v>
      </c>
      <c r="N92" s="34" t="s">
        <v>60</v>
      </c>
      <c r="O92" s="33" t="n">
        <f>2328</f>
        <v>2328.0</v>
      </c>
      <c r="P92" s="34" t="s">
        <v>50</v>
      </c>
      <c r="Q92" s="33" t="n">
        <f>2330</f>
        <v>2330.0</v>
      </c>
      <c r="R92" s="34" t="s">
        <v>50</v>
      </c>
      <c r="S92" s="35" t="n">
        <f>2393</f>
        <v>2393.0</v>
      </c>
      <c r="T92" s="32" t="n">
        <f>97732</f>
        <v>97732.0</v>
      </c>
      <c r="U92" s="32" t="str">
        <f>"－"</f>
        <v>－</v>
      </c>
      <c r="V92" s="32" t="n">
        <f>232229959</f>
        <v>2.32229959E8</v>
      </c>
      <c r="W92" s="32" t="str">
        <f>"－"</f>
        <v>－</v>
      </c>
      <c r="X92" s="36" t="n">
        <f>18</f>
        <v>18.0</v>
      </c>
    </row>
    <row r="93">
      <c r="A93" s="27" t="s">
        <v>42</v>
      </c>
      <c r="B93" s="27" t="s">
        <v>319</v>
      </c>
      <c r="C93" s="27" t="s">
        <v>320</v>
      </c>
      <c r="D93" s="27" t="s">
        <v>321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1.0</v>
      </c>
      <c r="K93" s="33" t="n">
        <f>12700</f>
        <v>12700.0</v>
      </c>
      <c r="L93" s="34" t="s">
        <v>48</v>
      </c>
      <c r="M93" s="33" t="n">
        <f>13350</f>
        <v>13350.0</v>
      </c>
      <c r="N93" s="34" t="s">
        <v>49</v>
      </c>
      <c r="O93" s="33" t="n">
        <f>11550</f>
        <v>11550.0</v>
      </c>
      <c r="P93" s="34" t="s">
        <v>50</v>
      </c>
      <c r="Q93" s="33" t="n">
        <f>11550</f>
        <v>11550.0</v>
      </c>
      <c r="R93" s="34" t="s">
        <v>50</v>
      </c>
      <c r="S93" s="35" t="n">
        <f>12797.78</f>
        <v>12797.78</v>
      </c>
      <c r="T93" s="32" t="n">
        <f>81788</f>
        <v>81788.0</v>
      </c>
      <c r="U93" s="32" t="n">
        <f>80000</f>
        <v>80000.0</v>
      </c>
      <c r="V93" s="32" t="n">
        <f>1048209340</f>
        <v>1.04820934E9</v>
      </c>
      <c r="W93" s="32" t="n">
        <f>1025544960</f>
        <v>1.02554496E9</v>
      </c>
      <c r="X93" s="36" t="n">
        <f>18</f>
        <v>18.0</v>
      </c>
    </row>
    <row r="94">
      <c r="A94" s="27" t="s">
        <v>42</v>
      </c>
      <c r="B94" s="27" t="s">
        <v>322</v>
      </c>
      <c r="C94" s="27" t="s">
        <v>323</v>
      </c>
      <c r="D94" s="27" t="s">
        <v>324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1.0</v>
      </c>
      <c r="K94" s="33" t="n">
        <f>9020</f>
        <v>9020.0</v>
      </c>
      <c r="L94" s="34" t="s">
        <v>48</v>
      </c>
      <c r="M94" s="33" t="n">
        <f>9190</f>
        <v>9190.0</v>
      </c>
      <c r="N94" s="34" t="s">
        <v>49</v>
      </c>
      <c r="O94" s="33" t="n">
        <f>8760</f>
        <v>8760.0</v>
      </c>
      <c r="P94" s="34" t="s">
        <v>50</v>
      </c>
      <c r="Q94" s="33" t="n">
        <f>8770</f>
        <v>8770.0</v>
      </c>
      <c r="R94" s="34" t="s">
        <v>50</v>
      </c>
      <c r="S94" s="35" t="n">
        <f>9003.89</f>
        <v>9003.89</v>
      </c>
      <c r="T94" s="32" t="n">
        <f>1955</f>
        <v>1955.0</v>
      </c>
      <c r="U94" s="32" t="n">
        <f>751</f>
        <v>751.0</v>
      </c>
      <c r="V94" s="32" t="n">
        <f>17527510</f>
        <v>1.752751E7</v>
      </c>
      <c r="W94" s="32" t="n">
        <f>6733160</f>
        <v>6733160.0</v>
      </c>
      <c r="X94" s="36" t="n">
        <f>18</f>
        <v>18.0</v>
      </c>
    </row>
    <row r="95">
      <c r="A95" s="27" t="s">
        <v>42</v>
      </c>
      <c r="B95" s="27" t="s">
        <v>325</v>
      </c>
      <c r="C95" s="27" t="s">
        <v>326</v>
      </c>
      <c r="D95" s="27" t="s">
        <v>327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1.0</v>
      </c>
      <c r="K95" s="33" t="n">
        <f>5320</f>
        <v>5320.0</v>
      </c>
      <c r="L95" s="34" t="s">
        <v>48</v>
      </c>
      <c r="M95" s="33" t="n">
        <f>5900</f>
        <v>5900.0</v>
      </c>
      <c r="N95" s="34" t="s">
        <v>96</v>
      </c>
      <c r="O95" s="33" t="n">
        <f>5240</f>
        <v>5240.0</v>
      </c>
      <c r="P95" s="34" t="s">
        <v>97</v>
      </c>
      <c r="Q95" s="33" t="n">
        <f>5560</f>
        <v>5560.0</v>
      </c>
      <c r="R95" s="34" t="s">
        <v>50</v>
      </c>
      <c r="S95" s="35" t="n">
        <f>5483.33</f>
        <v>5483.33</v>
      </c>
      <c r="T95" s="32" t="n">
        <f>2974068</f>
        <v>2974068.0</v>
      </c>
      <c r="U95" s="32" t="n">
        <f>286106</f>
        <v>286106.0</v>
      </c>
      <c r="V95" s="32" t="n">
        <f>16406040006</f>
        <v>1.6406040006E10</v>
      </c>
      <c r="W95" s="32" t="n">
        <f>1539645116</f>
        <v>1.539645116E9</v>
      </c>
      <c r="X95" s="36" t="n">
        <f>18</f>
        <v>18.0</v>
      </c>
    </row>
    <row r="96">
      <c r="A96" s="27" t="s">
        <v>42</v>
      </c>
      <c r="B96" s="27" t="s">
        <v>328</v>
      </c>
      <c r="C96" s="27" t="s">
        <v>329</v>
      </c>
      <c r="D96" s="27" t="s">
        <v>330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1.0</v>
      </c>
      <c r="K96" s="33" t="n">
        <f>3140</f>
        <v>3140.0</v>
      </c>
      <c r="L96" s="34" t="s">
        <v>48</v>
      </c>
      <c r="M96" s="33" t="n">
        <f>3360</f>
        <v>3360.0</v>
      </c>
      <c r="N96" s="34" t="s">
        <v>164</v>
      </c>
      <c r="O96" s="33" t="n">
        <f>2877</f>
        <v>2877.0</v>
      </c>
      <c r="P96" s="34" t="s">
        <v>50</v>
      </c>
      <c r="Q96" s="33" t="n">
        <f>2917</f>
        <v>2917.0</v>
      </c>
      <c r="R96" s="34" t="s">
        <v>50</v>
      </c>
      <c r="S96" s="35" t="n">
        <f>3180.11</f>
        <v>3180.11</v>
      </c>
      <c r="T96" s="32" t="n">
        <f>322831</f>
        <v>322831.0</v>
      </c>
      <c r="U96" s="32" t="n">
        <f>1195</f>
        <v>1195.0</v>
      </c>
      <c r="V96" s="32" t="n">
        <f>1017143015</f>
        <v>1.017143015E9</v>
      </c>
      <c r="W96" s="32" t="n">
        <f>3728986</f>
        <v>3728986.0</v>
      </c>
      <c r="X96" s="36" t="n">
        <f>18</f>
        <v>18.0</v>
      </c>
    </row>
    <row r="97">
      <c r="A97" s="27" t="s">
        <v>42</v>
      </c>
      <c r="B97" s="27" t="s">
        <v>331</v>
      </c>
      <c r="C97" s="27" t="s">
        <v>332</v>
      </c>
      <c r="D97" s="27" t="s">
        <v>333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1.0</v>
      </c>
      <c r="K97" s="33" t="n">
        <f>5780</f>
        <v>5780.0</v>
      </c>
      <c r="L97" s="34" t="s">
        <v>48</v>
      </c>
      <c r="M97" s="33" t="n">
        <f>6100</f>
        <v>6100.0</v>
      </c>
      <c r="N97" s="34" t="s">
        <v>96</v>
      </c>
      <c r="O97" s="33" t="n">
        <f>5500</f>
        <v>5500.0</v>
      </c>
      <c r="P97" s="34" t="s">
        <v>50</v>
      </c>
      <c r="Q97" s="33" t="n">
        <f>5500</f>
        <v>5500.0</v>
      </c>
      <c r="R97" s="34" t="s">
        <v>50</v>
      </c>
      <c r="S97" s="35" t="n">
        <f>5800.56</f>
        <v>5800.56</v>
      </c>
      <c r="T97" s="32" t="n">
        <f>138139</f>
        <v>138139.0</v>
      </c>
      <c r="U97" s="32" t="n">
        <f>235</f>
        <v>235.0</v>
      </c>
      <c r="V97" s="32" t="n">
        <f>818533859</f>
        <v>8.18533859E8</v>
      </c>
      <c r="W97" s="32" t="n">
        <f>1379919</f>
        <v>1379919.0</v>
      </c>
      <c r="X97" s="36" t="n">
        <f>18</f>
        <v>18.0</v>
      </c>
    </row>
    <row r="98">
      <c r="A98" s="27" t="s">
        <v>42</v>
      </c>
      <c r="B98" s="27" t="s">
        <v>334</v>
      </c>
      <c r="C98" s="27" t="s">
        <v>335</v>
      </c>
      <c r="D98" s="27" t="s">
        <v>336</v>
      </c>
      <c r="E98" s="28" t="s">
        <v>46</v>
      </c>
      <c r="F98" s="29" t="s">
        <v>46</v>
      </c>
      <c r="G98" s="30" t="s">
        <v>46</v>
      </c>
      <c r="H98" s="31"/>
      <c r="I98" s="31" t="s">
        <v>47</v>
      </c>
      <c r="J98" s="32" t="n">
        <v>1.0</v>
      </c>
      <c r="K98" s="33" t="n">
        <f>76200</f>
        <v>76200.0</v>
      </c>
      <c r="L98" s="34" t="s">
        <v>48</v>
      </c>
      <c r="M98" s="33" t="n">
        <f>98600</f>
        <v>98600.0</v>
      </c>
      <c r="N98" s="34" t="s">
        <v>50</v>
      </c>
      <c r="O98" s="33" t="n">
        <f>75400</f>
        <v>75400.0</v>
      </c>
      <c r="P98" s="34" t="s">
        <v>48</v>
      </c>
      <c r="Q98" s="33" t="n">
        <f>93000</f>
        <v>93000.0</v>
      </c>
      <c r="R98" s="34" t="s">
        <v>50</v>
      </c>
      <c r="S98" s="35" t="n">
        <f>84361.11</f>
        <v>84361.11</v>
      </c>
      <c r="T98" s="32" t="n">
        <f>5974</f>
        <v>5974.0</v>
      </c>
      <c r="U98" s="32" t="n">
        <f>1</f>
        <v>1.0</v>
      </c>
      <c r="V98" s="32" t="n">
        <f>522862600</f>
        <v>5.228626E8</v>
      </c>
      <c r="W98" s="32" t="n">
        <f>78500</f>
        <v>78500.0</v>
      </c>
      <c r="X98" s="36" t="n">
        <f>18</f>
        <v>18.0</v>
      </c>
    </row>
    <row r="99">
      <c r="A99" s="27" t="s">
        <v>42</v>
      </c>
      <c r="B99" s="27" t="s">
        <v>337</v>
      </c>
      <c r="C99" s="27" t="s">
        <v>338</v>
      </c>
      <c r="D99" s="27" t="s">
        <v>339</v>
      </c>
      <c r="E99" s="28" t="s">
        <v>46</v>
      </c>
      <c r="F99" s="29" t="s">
        <v>46</v>
      </c>
      <c r="G99" s="30" t="s">
        <v>46</v>
      </c>
      <c r="H99" s="31"/>
      <c r="I99" s="31" t="s">
        <v>47</v>
      </c>
      <c r="J99" s="32" t="n">
        <v>10.0</v>
      </c>
      <c r="K99" s="33" t="n">
        <f>9900</f>
        <v>9900.0</v>
      </c>
      <c r="L99" s="34" t="s">
        <v>48</v>
      </c>
      <c r="M99" s="33" t="n">
        <f>11020</f>
        <v>11020.0</v>
      </c>
      <c r="N99" s="34" t="s">
        <v>164</v>
      </c>
      <c r="O99" s="33" t="n">
        <f>9040</f>
        <v>9040.0</v>
      </c>
      <c r="P99" s="34" t="s">
        <v>50</v>
      </c>
      <c r="Q99" s="33" t="n">
        <f>9090</f>
        <v>9090.0</v>
      </c>
      <c r="R99" s="34" t="s">
        <v>50</v>
      </c>
      <c r="S99" s="35" t="n">
        <f>10411.67</f>
        <v>10411.67</v>
      </c>
      <c r="T99" s="32" t="n">
        <f>1036890</f>
        <v>1036890.0</v>
      </c>
      <c r="U99" s="32" t="n">
        <f>78490</f>
        <v>78490.0</v>
      </c>
      <c r="V99" s="32" t="n">
        <f>10653185007</f>
        <v>1.0653185007E10</v>
      </c>
      <c r="W99" s="32" t="n">
        <f>822784507</f>
        <v>8.22784507E8</v>
      </c>
      <c r="X99" s="36" t="n">
        <f>18</f>
        <v>18.0</v>
      </c>
    </row>
    <row r="100">
      <c r="A100" s="27" t="s">
        <v>42</v>
      </c>
      <c r="B100" s="27" t="s">
        <v>340</v>
      </c>
      <c r="C100" s="27" t="s">
        <v>341</v>
      </c>
      <c r="D100" s="27" t="s">
        <v>342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1.0</v>
      </c>
      <c r="K100" s="33" t="n">
        <f>29910</f>
        <v>29910.0</v>
      </c>
      <c r="L100" s="34" t="s">
        <v>48</v>
      </c>
      <c r="M100" s="33" t="n">
        <f>31950</f>
        <v>31950.0</v>
      </c>
      <c r="N100" s="34" t="s">
        <v>164</v>
      </c>
      <c r="O100" s="33" t="n">
        <f>26910</f>
        <v>26910.0</v>
      </c>
      <c r="P100" s="34" t="s">
        <v>50</v>
      </c>
      <c r="Q100" s="33" t="n">
        <f>26910</f>
        <v>26910.0</v>
      </c>
      <c r="R100" s="34" t="s">
        <v>50</v>
      </c>
      <c r="S100" s="35" t="n">
        <f>30764.44</f>
        <v>30764.44</v>
      </c>
      <c r="T100" s="32" t="n">
        <f>308984</f>
        <v>308984.0</v>
      </c>
      <c r="U100" s="32" t="n">
        <f>28731</f>
        <v>28731.0</v>
      </c>
      <c r="V100" s="32" t="n">
        <f>9193901493</f>
        <v>9.193901493E9</v>
      </c>
      <c r="W100" s="32" t="n">
        <f>796463813</f>
        <v>7.96463813E8</v>
      </c>
      <c r="X100" s="36" t="n">
        <f>18</f>
        <v>18.0</v>
      </c>
    </row>
    <row r="101">
      <c r="A101" s="27" t="s">
        <v>42</v>
      </c>
      <c r="B101" s="27" t="s">
        <v>343</v>
      </c>
      <c r="C101" s="27" t="s">
        <v>344</v>
      </c>
      <c r="D101" s="27" t="s">
        <v>345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10.0</v>
      </c>
      <c r="K101" s="33" t="n">
        <f>3790</f>
        <v>3790.0</v>
      </c>
      <c r="L101" s="34" t="s">
        <v>48</v>
      </c>
      <c r="M101" s="33" t="n">
        <f>4085</f>
        <v>4085.0</v>
      </c>
      <c r="N101" s="34" t="s">
        <v>164</v>
      </c>
      <c r="O101" s="33" t="n">
        <f>3430</f>
        <v>3430.0</v>
      </c>
      <c r="P101" s="34" t="s">
        <v>50</v>
      </c>
      <c r="Q101" s="33" t="n">
        <f>3440</f>
        <v>3440.0</v>
      </c>
      <c r="R101" s="34" t="s">
        <v>50</v>
      </c>
      <c r="S101" s="35" t="n">
        <f>3914.17</f>
        <v>3914.17</v>
      </c>
      <c r="T101" s="32" t="n">
        <f>1625280</f>
        <v>1625280.0</v>
      </c>
      <c r="U101" s="32" t="n">
        <f>134320</f>
        <v>134320.0</v>
      </c>
      <c r="V101" s="32" t="n">
        <f>6144843074</f>
        <v>6.144843074E9</v>
      </c>
      <c r="W101" s="32" t="n">
        <f>502482524</f>
        <v>5.02482524E8</v>
      </c>
      <c r="X101" s="36" t="n">
        <f>18</f>
        <v>18.0</v>
      </c>
    </row>
    <row r="102">
      <c r="A102" s="27" t="s">
        <v>42</v>
      </c>
      <c r="B102" s="27" t="s">
        <v>346</v>
      </c>
      <c r="C102" s="27" t="s">
        <v>347</v>
      </c>
      <c r="D102" s="27" t="s">
        <v>348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10.0</v>
      </c>
      <c r="K102" s="33" t="n">
        <f>2601</f>
        <v>2601.0</v>
      </c>
      <c r="L102" s="34" t="s">
        <v>48</v>
      </c>
      <c r="M102" s="33" t="n">
        <f>2750</f>
        <v>2750.0</v>
      </c>
      <c r="N102" s="34" t="s">
        <v>164</v>
      </c>
      <c r="O102" s="33" t="n">
        <f>2340</f>
        <v>2340.0</v>
      </c>
      <c r="P102" s="34" t="s">
        <v>50</v>
      </c>
      <c r="Q102" s="33" t="n">
        <f>2393</f>
        <v>2393.0</v>
      </c>
      <c r="R102" s="34" t="s">
        <v>50</v>
      </c>
      <c r="S102" s="35" t="n">
        <f>2652</f>
        <v>2652.0</v>
      </c>
      <c r="T102" s="32" t="n">
        <f>176900</f>
        <v>176900.0</v>
      </c>
      <c r="U102" s="32" t="n">
        <f>11300</f>
        <v>11300.0</v>
      </c>
      <c r="V102" s="32" t="n">
        <f>457137160</f>
        <v>4.5713716E8</v>
      </c>
      <c r="W102" s="32" t="n">
        <f>29767590</f>
        <v>2.976759E7</v>
      </c>
      <c r="X102" s="36" t="n">
        <f>18</f>
        <v>18.0</v>
      </c>
    </row>
    <row r="103">
      <c r="A103" s="27" t="s">
        <v>42</v>
      </c>
      <c r="B103" s="27" t="s">
        <v>349</v>
      </c>
      <c r="C103" s="27" t="s">
        <v>350</v>
      </c>
      <c r="D103" s="27" t="s">
        <v>351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10.0</v>
      </c>
      <c r="K103" s="33" t="n">
        <f>4200</f>
        <v>4200.0</v>
      </c>
      <c r="L103" s="34" t="s">
        <v>48</v>
      </c>
      <c r="M103" s="33" t="n">
        <f>4445</f>
        <v>4445.0</v>
      </c>
      <c r="N103" s="34" t="s">
        <v>352</v>
      </c>
      <c r="O103" s="33" t="n">
        <f>3700</f>
        <v>3700.0</v>
      </c>
      <c r="P103" s="34" t="s">
        <v>50</v>
      </c>
      <c r="Q103" s="33" t="n">
        <f>3705</f>
        <v>3705.0</v>
      </c>
      <c r="R103" s="34" t="s">
        <v>50</v>
      </c>
      <c r="S103" s="35" t="n">
        <f>4242.22</f>
        <v>4242.22</v>
      </c>
      <c r="T103" s="32" t="n">
        <f>40820</f>
        <v>40820.0</v>
      </c>
      <c r="U103" s="32" t="str">
        <f>"－"</f>
        <v>－</v>
      </c>
      <c r="V103" s="32" t="n">
        <f>169935650</f>
        <v>1.6993565E8</v>
      </c>
      <c r="W103" s="32" t="str">
        <f>"－"</f>
        <v>－</v>
      </c>
      <c r="X103" s="36" t="n">
        <f>18</f>
        <v>18.0</v>
      </c>
    </row>
    <row r="104">
      <c r="A104" s="27" t="s">
        <v>42</v>
      </c>
      <c r="B104" s="27" t="s">
        <v>353</v>
      </c>
      <c r="C104" s="27" t="s">
        <v>354</v>
      </c>
      <c r="D104" s="27" t="s">
        <v>355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1.0</v>
      </c>
      <c r="K104" s="33" t="n">
        <f>5460</f>
        <v>5460.0</v>
      </c>
      <c r="L104" s="34" t="s">
        <v>48</v>
      </c>
      <c r="M104" s="33" t="n">
        <f>7950</f>
        <v>7950.0</v>
      </c>
      <c r="N104" s="34" t="s">
        <v>50</v>
      </c>
      <c r="O104" s="33" t="n">
        <f>4650</f>
        <v>4650.0</v>
      </c>
      <c r="P104" s="34" t="s">
        <v>174</v>
      </c>
      <c r="Q104" s="33" t="n">
        <f>7950</f>
        <v>7950.0</v>
      </c>
      <c r="R104" s="34" t="s">
        <v>50</v>
      </c>
      <c r="S104" s="35" t="n">
        <f>5355.28</f>
        <v>5355.28</v>
      </c>
      <c r="T104" s="32" t="n">
        <f>8782795</f>
        <v>8782795.0</v>
      </c>
      <c r="U104" s="32" t="n">
        <f>20388</f>
        <v>20388.0</v>
      </c>
      <c r="V104" s="32" t="n">
        <f>51567471517</f>
        <v>5.1567471517E10</v>
      </c>
      <c r="W104" s="32" t="n">
        <f>126052892</f>
        <v>1.26052892E8</v>
      </c>
      <c r="X104" s="36" t="n">
        <f>18</f>
        <v>18.0</v>
      </c>
    </row>
    <row r="105">
      <c r="A105" s="27" t="s">
        <v>42</v>
      </c>
      <c r="B105" s="27" t="s">
        <v>356</v>
      </c>
      <c r="C105" s="27" t="s">
        <v>357</v>
      </c>
      <c r="D105" s="27" t="s">
        <v>358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10.0</v>
      </c>
      <c r="K105" s="33" t="n">
        <f>2290</f>
        <v>2290.0</v>
      </c>
      <c r="L105" s="34" t="s">
        <v>48</v>
      </c>
      <c r="M105" s="33" t="n">
        <f>2385</f>
        <v>2385.0</v>
      </c>
      <c r="N105" s="34" t="s">
        <v>60</v>
      </c>
      <c r="O105" s="33" t="n">
        <f>2005</f>
        <v>2005.0</v>
      </c>
      <c r="P105" s="34" t="s">
        <v>50</v>
      </c>
      <c r="Q105" s="33" t="n">
        <f>2023</f>
        <v>2023.0</v>
      </c>
      <c r="R105" s="34" t="s">
        <v>50</v>
      </c>
      <c r="S105" s="35" t="n">
        <f>2290.61</f>
        <v>2290.61</v>
      </c>
      <c r="T105" s="32" t="n">
        <f>123950</f>
        <v>123950.0</v>
      </c>
      <c r="U105" s="32" t="str">
        <f>"－"</f>
        <v>－</v>
      </c>
      <c r="V105" s="32" t="n">
        <f>277339170</f>
        <v>2.7733917E8</v>
      </c>
      <c r="W105" s="32" t="str">
        <f>"－"</f>
        <v>－</v>
      </c>
      <c r="X105" s="36" t="n">
        <f>18</f>
        <v>18.0</v>
      </c>
    </row>
    <row r="106">
      <c r="A106" s="27" t="s">
        <v>42</v>
      </c>
      <c r="B106" s="27" t="s">
        <v>359</v>
      </c>
      <c r="C106" s="27" t="s">
        <v>360</v>
      </c>
      <c r="D106" s="27" t="s">
        <v>361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10.0</v>
      </c>
      <c r="K106" s="33" t="n">
        <f>1660</f>
        <v>1660.0</v>
      </c>
      <c r="L106" s="34" t="s">
        <v>48</v>
      </c>
      <c r="M106" s="33" t="n">
        <f>1735</f>
        <v>1735.0</v>
      </c>
      <c r="N106" s="34" t="s">
        <v>60</v>
      </c>
      <c r="O106" s="33" t="n">
        <f>1514</f>
        <v>1514.0</v>
      </c>
      <c r="P106" s="34" t="s">
        <v>50</v>
      </c>
      <c r="Q106" s="33" t="n">
        <f>1630</f>
        <v>1630.0</v>
      </c>
      <c r="R106" s="34" t="s">
        <v>50</v>
      </c>
      <c r="S106" s="35" t="n">
        <f>1675.78</f>
        <v>1675.78</v>
      </c>
      <c r="T106" s="32" t="n">
        <f>363320</f>
        <v>363320.0</v>
      </c>
      <c r="U106" s="32" t="n">
        <f>210000</f>
        <v>210000.0</v>
      </c>
      <c r="V106" s="32" t="n">
        <f>585425420</f>
        <v>5.8542542E8</v>
      </c>
      <c r="W106" s="32" t="n">
        <f>333603000</f>
        <v>3.33603E8</v>
      </c>
      <c r="X106" s="36" t="n">
        <f>18</f>
        <v>18.0</v>
      </c>
    </row>
    <row r="107">
      <c r="A107" s="27" t="s">
        <v>42</v>
      </c>
      <c r="B107" s="27" t="s">
        <v>362</v>
      </c>
      <c r="C107" s="27" t="s">
        <v>363</v>
      </c>
      <c r="D107" s="27" t="s">
        <v>364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1.0</v>
      </c>
      <c r="K107" s="33" t="n">
        <f>35000</f>
        <v>35000.0</v>
      </c>
      <c r="L107" s="34" t="s">
        <v>48</v>
      </c>
      <c r="M107" s="33" t="n">
        <f>37800</f>
        <v>37800.0</v>
      </c>
      <c r="N107" s="34" t="s">
        <v>164</v>
      </c>
      <c r="O107" s="33" t="n">
        <f>31650</f>
        <v>31650.0</v>
      </c>
      <c r="P107" s="34" t="s">
        <v>50</v>
      </c>
      <c r="Q107" s="33" t="n">
        <f>31750</f>
        <v>31750.0</v>
      </c>
      <c r="R107" s="34" t="s">
        <v>50</v>
      </c>
      <c r="S107" s="35" t="n">
        <f>36163.89</f>
        <v>36163.89</v>
      </c>
      <c r="T107" s="32" t="n">
        <f>299038</f>
        <v>299038.0</v>
      </c>
      <c r="U107" s="32" t="str">
        <f>"－"</f>
        <v>－</v>
      </c>
      <c r="V107" s="32" t="n">
        <f>10559855000</f>
        <v>1.0559855E10</v>
      </c>
      <c r="W107" s="32" t="str">
        <f>"－"</f>
        <v>－</v>
      </c>
      <c r="X107" s="36" t="n">
        <f>18</f>
        <v>18.0</v>
      </c>
    </row>
    <row r="108">
      <c r="A108" s="27" t="s">
        <v>42</v>
      </c>
      <c r="B108" s="27" t="s">
        <v>365</v>
      </c>
      <c r="C108" s="27" t="s">
        <v>366</v>
      </c>
      <c r="D108" s="27" t="s">
        <v>367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1.0</v>
      </c>
      <c r="K108" s="33" t="n">
        <f>3145</f>
        <v>3145.0</v>
      </c>
      <c r="L108" s="34" t="s">
        <v>48</v>
      </c>
      <c r="M108" s="33" t="n">
        <f>3390</f>
        <v>3390.0</v>
      </c>
      <c r="N108" s="34" t="s">
        <v>97</v>
      </c>
      <c r="O108" s="33" t="n">
        <f>2850</f>
        <v>2850.0</v>
      </c>
      <c r="P108" s="34" t="s">
        <v>50</v>
      </c>
      <c r="Q108" s="33" t="n">
        <f>2924</f>
        <v>2924.0</v>
      </c>
      <c r="R108" s="34" t="s">
        <v>50</v>
      </c>
      <c r="S108" s="35" t="n">
        <f>3183.67</f>
        <v>3183.67</v>
      </c>
      <c r="T108" s="32" t="n">
        <f>18491</f>
        <v>18491.0</v>
      </c>
      <c r="U108" s="32" t="n">
        <f>3</f>
        <v>3.0</v>
      </c>
      <c r="V108" s="32" t="n">
        <f>58770679</f>
        <v>5.8770679E7</v>
      </c>
      <c r="W108" s="32" t="n">
        <f>9690</f>
        <v>9690.0</v>
      </c>
      <c r="X108" s="36" t="n">
        <f>18</f>
        <v>18.0</v>
      </c>
    </row>
    <row r="109">
      <c r="A109" s="27" t="s">
        <v>42</v>
      </c>
      <c r="B109" s="27" t="s">
        <v>368</v>
      </c>
      <c r="C109" s="27" t="s">
        <v>369</v>
      </c>
      <c r="D109" s="27" t="s">
        <v>370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1.0</v>
      </c>
      <c r="K109" s="33" t="n">
        <f>3960</f>
        <v>3960.0</v>
      </c>
      <c r="L109" s="34" t="s">
        <v>48</v>
      </c>
      <c r="M109" s="33" t="n">
        <f>3960</f>
        <v>3960.0</v>
      </c>
      <c r="N109" s="34" t="s">
        <v>48</v>
      </c>
      <c r="O109" s="33" t="n">
        <f>3655</f>
        <v>3655.0</v>
      </c>
      <c r="P109" s="34" t="s">
        <v>50</v>
      </c>
      <c r="Q109" s="33" t="n">
        <f>3705</f>
        <v>3705.0</v>
      </c>
      <c r="R109" s="34" t="s">
        <v>50</v>
      </c>
      <c r="S109" s="35" t="n">
        <f>3868.06</f>
        <v>3868.06</v>
      </c>
      <c r="T109" s="32" t="n">
        <f>6801</f>
        <v>6801.0</v>
      </c>
      <c r="U109" s="32" t="n">
        <f>5</f>
        <v>5.0</v>
      </c>
      <c r="V109" s="32" t="n">
        <f>26141015</f>
        <v>2.6141015E7</v>
      </c>
      <c r="W109" s="32" t="n">
        <f>19500</f>
        <v>19500.0</v>
      </c>
      <c r="X109" s="36" t="n">
        <f>18</f>
        <v>18.0</v>
      </c>
    </row>
    <row r="110">
      <c r="A110" s="27" t="s">
        <v>42</v>
      </c>
      <c r="B110" s="27" t="s">
        <v>371</v>
      </c>
      <c r="C110" s="27" t="s">
        <v>372</v>
      </c>
      <c r="D110" s="27" t="s">
        <v>373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1.0</v>
      </c>
      <c r="K110" s="33" t="n">
        <f>2517</f>
        <v>2517.0</v>
      </c>
      <c r="L110" s="34" t="s">
        <v>48</v>
      </c>
      <c r="M110" s="33" t="n">
        <f>2666</f>
        <v>2666.0</v>
      </c>
      <c r="N110" s="34" t="s">
        <v>145</v>
      </c>
      <c r="O110" s="33" t="n">
        <f>2175</f>
        <v>2175.0</v>
      </c>
      <c r="P110" s="34" t="s">
        <v>50</v>
      </c>
      <c r="Q110" s="33" t="n">
        <f>2288</f>
        <v>2288.0</v>
      </c>
      <c r="R110" s="34" t="s">
        <v>50</v>
      </c>
      <c r="S110" s="35" t="n">
        <f>2535.78</f>
        <v>2535.78</v>
      </c>
      <c r="T110" s="32" t="n">
        <f>76624</f>
        <v>76624.0</v>
      </c>
      <c r="U110" s="32" t="n">
        <f>16</f>
        <v>16.0</v>
      </c>
      <c r="V110" s="32" t="n">
        <f>187584756</f>
        <v>1.87584756E8</v>
      </c>
      <c r="W110" s="32" t="n">
        <f>38864</f>
        <v>38864.0</v>
      </c>
      <c r="X110" s="36" t="n">
        <f>18</f>
        <v>18.0</v>
      </c>
    </row>
    <row r="111">
      <c r="A111" s="27" t="s">
        <v>42</v>
      </c>
      <c r="B111" s="27" t="s">
        <v>374</v>
      </c>
      <c r="C111" s="27" t="s">
        <v>375</v>
      </c>
      <c r="D111" s="27" t="s">
        <v>376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1.0</v>
      </c>
      <c r="K111" s="33" t="n">
        <f>47650</f>
        <v>47650.0</v>
      </c>
      <c r="L111" s="34" t="s">
        <v>48</v>
      </c>
      <c r="M111" s="33" t="n">
        <f>48600</f>
        <v>48600.0</v>
      </c>
      <c r="N111" s="34" t="s">
        <v>164</v>
      </c>
      <c r="O111" s="33" t="n">
        <f>46600</f>
        <v>46600.0</v>
      </c>
      <c r="P111" s="34" t="s">
        <v>50</v>
      </c>
      <c r="Q111" s="33" t="n">
        <f>46600</f>
        <v>46600.0</v>
      </c>
      <c r="R111" s="34" t="s">
        <v>50</v>
      </c>
      <c r="S111" s="35" t="n">
        <f>47975</f>
        <v>47975.0</v>
      </c>
      <c r="T111" s="32" t="n">
        <f>28777</f>
        <v>28777.0</v>
      </c>
      <c r="U111" s="32" t="n">
        <f>13021</f>
        <v>13021.0</v>
      </c>
      <c r="V111" s="32" t="n">
        <f>1375180613</f>
        <v>1.375180613E9</v>
      </c>
      <c r="W111" s="32" t="n">
        <f>621502663</f>
        <v>6.21502663E8</v>
      </c>
      <c r="X111" s="36" t="n">
        <f>18</f>
        <v>18.0</v>
      </c>
    </row>
    <row r="112">
      <c r="A112" s="27" t="s">
        <v>42</v>
      </c>
      <c r="B112" s="27" t="s">
        <v>377</v>
      </c>
      <c r="C112" s="27" t="s">
        <v>378</v>
      </c>
      <c r="D112" s="27" t="s">
        <v>379</v>
      </c>
      <c r="E112" s="28" t="s">
        <v>46</v>
      </c>
      <c r="F112" s="29" t="s">
        <v>46</v>
      </c>
      <c r="G112" s="30" t="s">
        <v>46</v>
      </c>
      <c r="H112" s="31"/>
      <c r="I112" s="31" t="s">
        <v>47</v>
      </c>
      <c r="J112" s="32" t="n">
        <v>10.0</v>
      </c>
      <c r="K112" s="33" t="n">
        <f>1320</f>
        <v>1320.0</v>
      </c>
      <c r="L112" s="34" t="s">
        <v>114</v>
      </c>
      <c r="M112" s="33" t="n">
        <f>1320</f>
        <v>1320.0</v>
      </c>
      <c r="N112" s="34" t="s">
        <v>114</v>
      </c>
      <c r="O112" s="33" t="n">
        <f>1132</f>
        <v>1132.0</v>
      </c>
      <c r="P112" s="34" t="s">
        <v>50</v>
      </c>
      <c r="Q112" s="33" t="n">
        <f>1132</f>
        <v>1132.0</v>
      </c>
      <c r="R112" s="34" t="s">
        <v>50</v>
      </c>
      <c r="S112" s="35" t="n">
        <f>1226</f>
        <v>1226.0</v>
      </c>
      <c r="T112" s="32" t="n">
        <f>180</f>
        <v>180.0</v>
      </c>
      <c r="U112" s="32" t="str">
        <f>"－"</f>
        <v>－</v>
      </c>
      <c r="V112" s="32" t="n">
        <f>211200</f>
        <v>211200.0</v>
      </c>
      <c r="W112" s="32" t="str">
        <f>"－"</f>
        <v>－</v>
      </c>
      <c r="X112" s="36" t="n">
        <f>2</f>
        <v>2.0</v>
      </c>
    </row>
    <row r="113">
      <c r="A113" s="27" t="s">
        <v>42</v>
      </c>
      <c r="B113" s="27" t="s">
        <v>380</v>
      </c>
      <c r="C113" s="27" t="s">
        <v>381</v>
      </c>
      <c r="D113" s="27" t="s">
        <v>382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10.0</v>
      </c>
      <c r="K113" s="33" t="n">
        <f>17450</f>
        <v>17450.0</v>
      </c>
      <c r="L113" s="34" t="s">
        <v>48</v>
      </c>
      <c r="M113" s="33" t="n">
        <f>19400</f>
        <v>19400.0</v>
      </c>
      <c r="N113" s="34" t="s">
        <v>49</v>
      </c>
      <c r="O113" s="33" t="n">
        <f>14280</f>
        <v>14280.0</v>
      </c>
      <c r="P113" s="34" t="s">
        <v>50</v>
      </c>
      <c r="Q113" s="33" t="n">
        <f>14420</f>
        <v>14420.0</v>
      </c>
      <c r="R113" s="34" t="s">
        <v>50</v>
      </c>
      <c r="S113" s="35" t="n">
        <f>17762.22</f>
        <v>17762.22</v>
      </c>
      <c r="T113" s="32" t="n">
        <f>2408930</f>
        <v>2408930.0</v>
      </c>
      <c r="U113" s="32" t="n">
        <f>7520</f>
        <v>7520.0</v>
      </c>
      <c r="V113" s="32" t="n">
        <f>41501555321</f>
        <v>4.1501555321E10</v>
      </c>
      <c r="W113" s="32" t="n">
        <f>129653121</f>
        <v>1.29653121E8</v>
      </c>
      <c r="X113" s="36" t="n">
        <f>18</f>
        <v>18.0</v>
      </c>
    </row>
    <row r="114">
      <c r="A114" s="27" t="s">
        <v>42</v>
      </c>
      <c r="B114" s="27" t="s">
        <v>383</v>
      </c>
      <c r="C114" s="27" t="s">
        <v>384</v>
      </c>
      <c r="D114" s="27" t="s">
        <v>385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10.0</v>
      </c>
      <c r="K114" s="33" t="n">
        <f>2968</f>
        <v>2968.0</v>
      </c>
      <c r="L114" s="34" t="s">
        <v>48</v>
      </c>
      <c r="M114" s="33" t="n">
        <f>3260</f>
        <v>3260.0</v>
      </c>
      <c r="N114" s="34" t="s">
        <v>50</v>
      </c>
      <c r="O114" s="33" t="n">
        <f>2812</f>
        <v>2812.0</v>
      </c>
      <c r="P114" s="34" t="s">
        <v>49</v>
      </c>
      <c r="Q114" s="33" t="n">
        <f>3235</f>
        <v>3235.0</v>
      </c>
      <c r="R114" s="34" t="s">
        <v>50</v>
      </c>
      <c r="S114" s="35" t="n">
        <f>2940.17</f>
        <v>2940.17</v>
      </c>
      <c r="T114" s="32" t="n">
        <f>370090</f>
        <v>370090.0</v>
      </c>
      <c r="U114" s="32" t="n">
        <f>1990</f>
        <v>1990.0</v>
      </c>
      <c r="V114" s="32" t="n">
        <f>1093247480</f>
        <v>1.09324748E9</v>
      </c>
      <c r="W114" s="32" t="n">
        <f>5771800</f>
        <v>5771800.0</v>
      </c>
      <c r="X114" s="36" t="n">
        <f>18</f>
        <v>18.0</v>
      </c>
    </row>
    <row r="115">
      <c r="A115" s="27" t="s">
        <v>42</v>
      </c>
      <c r="B115" s="27" t="s">
        <v>386</v>
      </c>
      <c r="C115" s="27" t="s">
        <v>387</v>
      </c>
      <c r="D115" s="27" t="s">
        <v>388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1.0</v>
      </c>
      <c r="K115" s="33" t="n">
        <f>20700</f>
        <v>20700.0</v>
      </c>
      <c r="L115" s="34" t="s">
        <v>48</v>
      </c>
      <c r="M115" s="33" t="n">
        <f>22950</f>
        <v>22950.0</v>
      </c>
      <c r="N115" s="34" t="s">
        <v>49</v>
      </c>
      <c r="O115" s="33" t="n">
        <f>17360</f>
        <v>17360.0</v>
      </c>
      <c r="P115" s="34" t="s">
        <v>50</v>
      </c>
      <c r="Q115" s="33" t="n">
        <f>17630</f>
        <v>17630.0</v>
      </c>
      <c r="R115" s="34" t="s">
        <v>50</v>
      </c>
      <c r="S115" s="35" t="n">
        <f>21415.56</f>
        <v>21415.56</v>
      </c>
      <c r="T115" s="32" t="n">
        <f>155881691</f>
        <v>1.55881691E8</v>
      </c>
      <c r="U115" s="32" t="n">
        <f>967079</f>
        <v>967079.0</v>
      </c>
      <c r="V115" s="32" t="n">
        <f>3259121499202</f>
        <v>3.259121499202E12</v>
      </c>
      <c r="W115" s="32" t="n">
        <f>21251256052</f>
        <v>2.1251256052E10</v>
      </c>
      <c r="X115" s="36" t="n">
        <f>18</f>
        <v>18.0</v>
      </c>
    </row>
    <row r="116">
      <c r="A116" s="27" t="s">
        <v>42</v>
      </c>
      <c r="B116" s="27" t="s">
        <v>389</v>
      </c>
      <c r="C116" s="27" t="s">
        <v>390</v>
      </c>
      <c r="D116" s="27" t="s">
        <v>391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1.0</v>
      </c>
      <c r="K116" s="33" t="n">
        <f>1455</f>
        <v>1455.0</v>
      </c>
      <c r="L116" s="34" t="s">
        <v>48</v>
      </c>
      <c r="M116" s="33" t="n">
        <f>1576</f>
        <v>1576.0</v>
      </c>
      <c r="N116" s="34" t="s">
        <v>50</v>
      </c>
      <c r="O116" s="33" t="n">
        <f>1381</f>
        <v>1381.0</v>
      </c>
      <c r="P116" s="34" t="s">
        <v>49</v>
      </c>
      <c r="Q116" s="33" t="n">
        <f>1567</f>
        <v>1567.0</v>
      </c>
      <c r="R116" s="34" t="s">
        <v>50</v>
      </c>
      <c r="S116" s="35" t="n">
        <f>1430.28</f>
        <v>1430.28</v>
      </c>
      <c r="T116" s="32" t="n">
        <f>20522491</f>
        <v>2.0522491E7</v>
      </c>
      <c r="U116" s="32" t="n">
        <f>1389604</f>
        <v>1389604.0</v>
      </c>
      <c r="V116" s="32" t="n">
        <f>29869952308</f>
        <v>2.9869952308E10</v>
      </c>
      <c r="W116" s="32" t="n">
        <f>2081841212</f>
        <v>2.081841212E9</v>
      </c>
      <c r="X116" s="36" t="n">
        <f>18</f>
        <v>18.0</v>
      </c>
    </row>
    <row r="117">
      <c r="A117" s="27" t="s">
        <v>42</v>
      </c>
      <c r="B117" s="27" t="s">
        <v>392</v>
      </c>
      <c r="C117" s="27" t="s">
        <v>393</v>
      </c>
      <c r="D117" s="27" t="s">
        <v>394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10.0</v>
      </c>
      <c r="K117" s="33" t="n">
        <f>10840</f>
        <v>10840.0</v>
      </c>
      <c r="L117" s="34" t="s">
        <v>48</v>
      </c>
      <c r="M117" s="33" t="n">
        <f>12090</f>
        <v>12090.0</v>
      </c>
      <c r="N117" s="34" t="s">
        <v>164</v>
      </c>
      <c r="O117" s="33" t="n">
        <f>10490</f>
        <v>10490.0</v>
      </c>
      <c r="P117" s="34" t="s">
        <v>48</v>
      </c>
      <c r="Q117" s="33" t="n">
        <f>10590</f>
        <v>10590.0</v>
      </c>
      <c r="R117" s="34" t="s">
        <v>50</v>
      </c>
      <c r="S117" s="35" t="n">
        <f>11480</f>
        <v>11480.0</v>
      </c>
      <c r="T117" s="32" t="n">
        <f>14900</f>
        <v>14900.0</v>
      </c>
      <c r="U117" s="32" t="str">
        <f>"－"</f>
        <v>－</v>
      </c>
      <c r="V117" s="32" t="n">
        <f>169950700</f>
        <v>1.699507E8</v>
      </c>
      <c r="W117" s="32" t="str">
        <f>"－"</f>
        <v>－</v>
      </c>
      <c r="X117" s="36" t="n">
        <f>18</f>
        <v>18.0</v>
      </c>
    </row>
    <row r="118">
      <c r="A118" s="27" t="s">
        <v>42</v>
      </c>
      <c r="B118" s="27" t="s">
        <v>395</v>
      </c>
      <c r="C118" s="27" t="s">
        <v>396</v>
      </c>
      <c r="D118" s="27" t="s">
        <v>397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10.0</v>
      </c>
      <c r="K118" s="33" t="n">
        <f>9200</f>
        <v>9200.0</v>
      </c>
      <c r="L118" s="34" t="s">
        <v>48</v>
      </c>
      <c r="M118" s="33" t="n">
        <f>9240</f>
        <v>9240.0</v>
      </c>
      <c r="N118" s="34" t="s">
        <v>48</v>
      </c>
      <c r="O118" s="33" t="n">
        <f>7500</f>
        <v>7500.0</v>
      </c>
      <c r="P118" s="34" t="s">
        <v>178</v>
      </c>
      <c r="Q118" s="33" t="n">
        <f>8040</f>
        <v>8040.0</v>
      </c>
      <c r="R118" s="34" t="s">
        <v>50</v>
      </c>
      <c r="S118" s="35" t="n">
        <f>7763.89</f>
        <v>7763.89</v>
      </c>
      <c r="T118" s="32" t="n">
        <f>74170</f>
        <v>74170.0</v>
      </c>
      <c r="U118" s="32" t="str">
        <f>"－"</f>
        <v>－</v>
      </c>
      <c r="V118" s="32" t="n">
        <f>592459000</f>
        <v>5.92459E8</v>
      </c>
      <c r="W118" s="32" t="str">
        <f>"－"</f>
        <v>－</v>
      </c>
      <c r="X118" s="36" t="n">
        <f>18</f>
        <v>18.0</v>
      </c>
    </row>
    <row r="119">
      <c r="A119" s="27" t="s">
        <v>42</v>
      </c>
      <c r="B119" s="27" t="s">
        <v>398</v>
      </c>
      <c r="C119" s="27" t="s">
        <v>399</v>
      </c>
      <c r="D119" s="27" t="s">
        <v>400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10.0</v>
      </c>
      <c r="K119" s="33" t="n">
        <f>1512</f>
        <v>1512.0</v>
      </c>
      <c r="L119" s="34" t="s">
        <v>50</v>
      </c>
      <c r="M119" s="33" t="n">
        <f>1512</f>
        <v>1512.0</v>
      </c>
      <c r="N119" s="34" t="s">
        <v>50</v>
      </c>
      <c r="O119" s="33" t="n">
        <f>1497</f>
        <v>1497.0</v>
      </c>
      <c r="P119" s="34" t="s">
        <v>50</v>
      </c>
      <c r="Q119" s="33" t="n">
        <f>1497</f>
        <v>1497.0</v>
      </c>
      <c r="R119" s="34" t="s">
        <v>50</v>
      </c>
      <c r="S119" s="35" t="n">
        <f>1497</f>
        <v>1497.0</v>
      </c>
      <c r="T119" s="32" t="n">
        <f>50</f>
        <v>50.0</v>
      </c>
      <c r="U119" s="32" t="str">
        <f>"－"</f>
        <v>－</v>
      </c>
      <c r="V119" s="32" t="n">
        <f>75300</f>
        <v>75300.0</v>
      </c>
      <c r="W119" s="32" t="str">
        <f>"－"</f>
        <v>－</v>
      </c>
      <c r="X119" s="36" t="n">
        <f>1</f>
        <v>1.0</v>
      </c>
    </row>
    <row r="120">
      <c r="A120" s="27" t="s">
        <v>42</v>
      </c>
      <c r="B120" s="27" t="s">
        <v>401</v>
      </c>
      <c r="C120" s="27" t="s">
        <v>402</v>
      </c>
      <c r="D120" s="27" t="s">
        <v>403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10.0</v>
      </c>
      <c r="K120" s="33" t="n">
        <f>598</f>
        <v>598.0</v>
      </c>
      <c r="L120" s="34" t="s">
        <v>48</v>
      </c>
      <c r="M120" s="33" t="n">
        <f>670</f>
        <v>670.0</v>
      </c>
      <c r="N120" s="34" t="s">
        <v>60</v>
      </c>
      <c r="O120" s="33" t="n">
        <f>575</f>
        <v>575.0</v>
      </c>
      <c r="P120" s="34" t="s">
        <v>48</v>
      </c>
      <c r="Q120" s="33" t="n">
        <f>619</f>
        <v>619.0</v>
      </c>
      <c r="R120" s="34" t="s">
        <v>50</v>
      </c>
      <c r="S120" s="35" t="n">
        <f>631.65</f>
        <v>631.65</v>
      </c>
      <c r="T120" s="32" t="n">
        <f>42270</f>
        <v>42270.0</v>
      </c>
      <c r="U120" s="32" t="str">
        <f>"－"</f>
        <v>－</v>
      </c>
      <c r="V120" s="32" t="n">
        <f>26840120</f>
        <v>2.684012E7</v>
      </c>
      <c r="W120" s="32" t="str">
        <f>"－"</f>
        <v>－</v>
      </c>
      <c r="X120" s="36" t="n">
        <f>17</f>
        <v>17.0</v>
      </c>
    </row>
    <row r="121">
      <c r="A121" s="27" t="s">
        <v>42</v>
      </c>
      <c r="B121" s="27" t="s">
        <v>404</v>
      </c>
      <c r="C121" s="27" t="s">
        <v>405</v>
      </c>
      <c r="D121" s="27" t="s">
        <v>406</v>
      </c>
      <c r="E121" s="28" t="s">
        <v>46</v>
      </c>
      <c r="F121" s="29" t="s">
        <v>46</v>
      </c>
      <c r="G121" s="30" t="s">
        <v>46</v>
      </c>
      <c r="H121" s="31"/>
      <c r="I121" s="31" t="s">
        <v>47</v>
      </c>
      <c r="J121" s="32" t="n">
        <v>10.0</v>
      </c>
      <c r="K121" s="33" t="n">
        <f>577</f>
        <v>577.0</v>
      </c>
      <c r="L121" s="34" t="s">
        <v>48</v>
      </c>
      <c r="M121" s="33" t="n">
        <f>642</f>
        <v>642.0</v>
      </c>
      <c r="N121" s="34" t="s">
        <v>60</v>
      </c>
      <c r="O121" s="33" t="n">
        <f>563</f>
        <v>563.0</v>
      </c>
      <c r="P121" s="34" t="s">
        <v>101</v>
      </c>
      <c r="Q121" s="33" t="n">
        <f>596</f>
        <v>596.0</v>
      </c>
      <c r="R121" s="34" t="s">
        <v>50</v>
      </c>
      <c r="S121" s="35" t="n">
        <f>604.88</f>
        <v>604.88</v>
      </c>
      <c r="T121" s="32" t="n">
        <f>19850</f>
        <v>19850.0</v>
      </c>
      <c r="U121" s="32" t="str">
        <f>"－"</f>
        <v>－</v>
      </c>
      <c r="V121" s="32" t="n">
        <f>12060910</f>
        <v>1.206091E7</v>
      </c>
      <c r="W121" s="32" t="str">
        <f>"－"</f>
        <v>－</v>
      </c>
      <c r="X121" s="36" t="n">
        <f>17</f>
        <v>17.0</v>
      </c>
    </row>
    <row r="122">
      <c r="A122" s="27" t="s">
        <v>42</v>
      </c>
      <c r="B122" s="27" t="s">
        <v>407</v>
      </c>
      <c r="C122" s="27" t="s">
        <v>408</v>
      </c>
      <c r="D122" s="27" t="s">
        <v>409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1.0</v>
      </c>
      <c r="K122" s="33" t="n">
        <f>21960</f>
        <v>21960.0</v>
      </c>
      <c r="L122" s="34" t="s">
        <v>48</v>
      </c>
      <c r="M122" s="33" t="n">
        <f>23110</f>
        <v>23110.0</v>
      </c>
      <c r="N122" s="34" t="s">
        <v>49</v>
      </c>
      <c r="O122" s="33" t="n">
        <f>19950</f>
        <v>19950.0</v>
      </c>
      <c r="P122" s="34" t="s">
        <v>50</v>
      </c>
      <c r="Q122" s="33" t="n">
        <f>20040</f>
        <v>20040.0</v>
      </c>
      <c r="R122" s="34" t="s">
        <v>50</v>
      </c>
      <c r="S122" s="35" t="n">
        <f>22031.67</f>
        <v>22031.67</v>
      </c>
      <c r="T122" s="32" t="n">
        <f>99980</f>
        <v>99980.0</v>
      </c>
      <c r="U122" s="32" t="n">
        <f>19856</f>
        <v>19856.0</v>
      </c>
      <c r="V122" s="32" t="n">
        <f>2145006541</f>
        <v>2.145006541E9</v>
      </c>
      <c r="W122" s="32" t="n">
        <f>423746691</f>
        <v>4.23746691E8</v>
      </c>
      <c r="X122" s="36" t="n">
        <f>18</f>
        <v>18.0</v>
      </c>
    </row>
    <row r="123">
      <c r="A123" s="27" t="s">
        <v>42</v>
      </c>
      <c r="B123" s="27" t="s">
        <v>410</v>
      </c>
      <c r="C123" s="27" t="s">
        <v>411</v>
      </c>
      <c r="D123" s="27" t="s">
        <v>412</v>
      </c>
      <c r="E123" s="28" t="s">
        <v>46</v>
      </c>
      <c r="F123" s="29" t="s">
        <v>46</v>
      </c>
      <c r="G123" s="30" t="s">
        <v>46</v>
      </c>
      <c r="H123" s="31"/>
      <c r="I123" s="31" t="s">
        <v>47</v>
      </c>
      <c r="J123" s="32" t="n">
        <v>1.0</v>
      </c>
      <c r="K123" s="33" t="n">
        <f>1818</f>
        <v>1818.0</v>
      </c>
      <c r="L123" s="34" t="s">
        <v>48</v>
      </c>
      <c r="M123" s="33" t="n">
        <f>1914</f>
        <v>1914.0</v>
      </c>
      <c r="N123" s="34" t="s">
        <v>49</v>
      </c>
      <c r="O123" s="33" t="n">
        <f>1672</f>
        <v>1672.0</v>
      </c>
      <c r="P123" s="34" t="s">
        <v>50</v>
      </c>
      <c r="Q123" s="33" t="n">
        <f>1674</f>
        <v>1674.0</v>
      </c>
      <c r="R123" s="34" t="s">
        <v>50</v>
      </c>
      <c r="S123" s="35" t="n">
        <f>1849</f>
        <v>1849.0</v>
      </c>
      <c r="T123" s="32" t="n">
        <f>16927</f>
        <v>16927.0</v>
      </c>
      <c r="U123" s="32" t="str">
        <f>"－"</f>
        <v>－</v>
      </c>
      <c r="V123" s="32" t="n">
        <f>30702714</f>
        <v>3.0702714E7</v>
      </c>
      <c r="W123" s="32" t="str">
        <f>"－"</f>
        <v>－</v>
      </c>
      <c r="X123" s="36" t="n">
        <f>18</f>
        <v>18.0</v>
      </c>
    </row>
    <row r="124">
      <c r="A124" s="27" t="s">
        <v>42</v>
      </c>
      <c r="B124" s="27" t="s">
        <v>413</v>
      </c>
      <c r="C124" s="27" t="s">
        <v>414</v>
      </c>
      <c r="D124" s="27" t="s">
        <v>415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10.0</v>
      </c>
      <c r="K124" s="33" t="n">
        <f>21900</f>
        <v>21900.0</v>
      </c>
      <c r="L124" s="34" t="s">
        <v>48</v>
      </c>
      <c r="M124" s="33" t="n">
        <f>24270</f>
        <v>24270.0</v>
      </c>
      <c r="N124" s="34" t="s">
        <v>49</v>
      </c>
      <c r="O124" s="33" t="n">
        <f>18360</f>
        <v>18360.0</v>
      </c>
      <c r="P124" s="34" t="s">
        <v>50</v>
      </c>
      <c r="Q124" s="33" t="n">
        <f>18610</f>
        <v>18610.0</v>
      </c>
      <c r="R124" s="34" t="s">
        <v>50</v>
      </c>
      <c r="S124" s="35" t="n">
        <f>22645.56</f>
        <v>22645.56</v>
      </c>
      <c r="T124" s="32" t="n">
        <f>6002740</f>
        <v>6002740.0</v>
      </c>
      <c r="U124" s="32" t="n">
        <f>3490</f>
        <v>3490.0</v>
      </c>
      <c r="V124" s="32" t="n">
        <f>131831260115</f>
        <v>1.31831260115E11</v>
      </c>
      <c r="W124" s="32" t="n">
        <f>76404915</f>
        <v>7.6404915E7</v>
      </c>
      <c r="X124" s="36" t="n">
        <f>18</f>
        <v>18.0</v>
      </c>
    </row>
    <row r="125">
      <c r="A125" s="27" t="s">
        <v>42</v>
      </c>
      <c r="B125" s="27" t="s">
        <v>416</v>
      </c>
      <c r="C125" s="27" t="s">
        <v>417</v>
      </c>
      <c r="D125" s="27" t="s">
        <v>418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10.0</v>
      </c>
      <c r="K125" s="33" t="n">
        <f>3895</f>
        <v>3895.0</v>
      </c>
      <c r="L125" s="34" t="s">
        <v>48</v>
      </c>
      <c r="M125" s="33" t="n">
        <f>4210</f>
        <v>4210.0</v>
      </c>
      <c r="N125" s="34" t="s">
        <v>50</v>
      </c>
      <c r="O125" s="33" t="n">
        <f>3690</f>
        <v>3690.0</v>
      </c>
      <c r="P125" s="34" t="s">
        <v>49</v>
      </c>
      <c r="Q125" s="33" t="n">
        <f>4185</f>
        <v>4185.0</v>
      </c>
      <c r="R125" s="34" t="s">
        <v>50</v>
      </c>
      <c r="S125" s="35" t="n">
        <f>3821.67</f>
        <v>3821.67</v>
      </c>
      <c r="T125" s="32" t="n">
        <f>2788190</f>
        <v>2788190.0</v>
      </c>
      <c r="U125" s="32" t="n">
        <f>680</f>
        <v>680.0</v>
      </c>
      <c r="V125" s="32" t="n">
        <f>10797526100</f>
        <v>1.07975261E10</v>
      </c>
      <c r="W125" s="32" t="n">
        <f>2668800</f>
        <v>2668800.0</v>
      </c>
      <c r="X125" s="36" t="n">
        <f>18</f>
        <v>18.0</v>
      </c>
    </row>
    <row r="126">
      <c r="A126" s="27" t="s">
        <v>42</v>
      </c>
      <c r="B126" s="27" t="s">
        <v>419</v>
      </c>
      <c r="C126" s="27" t="s">
        <v>420</v>
      </c>
      <c r="D126" s="27" t="s">
        <v>421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10.0</v>
      </c>
      <c r="K126" s="33" t="n">
        <f>667</f>
        <v>667.0</v>
      </c>
      <c r="L126" s="34" t="s">
        <v>48</v>
      </c>
      <c r="M126" s="33" t="n">
        <f>720</f>
        <v>720.0</v>
      </c>
      <c r="N126" s="34" t="s">
        <v>178</v>
      </c>
      <c r="O126" s="33" t="n">
        <f>601</f>
        <v>601.0</v>
      </c>
      <c r="P126" s="34" t="s">
        <v>50</v>
      </c>
      <c r="Q126" s="33" t="n">
        <f>602</f>
        <v>602.0</v>
      </c>
      <c r="R126" s="34" t="s">
        <v>50</v>
      </c>
      <c r="S126" s="35" t="n">
        <f>663.75</f>
        <v>663.75</v>
      </c>
      <c r="T126" s="32" t="n">
        <f>4830</f>
        <v>4830.0</v>
      </c>
      <c r="U126" s="32" t="str">
        <f>"－"</f>
        <v>－</v>
      </c>
      <c r="V126" s="32" t="n">
        <f>3188130</f>
        <v>3188130.0</v>
      </c>
      <c r="W126" s="32" t="str">
        <f>"－"</f>
        <v>－</v>
      </c>
      <c r="X126" s="36" t="n">
        <f>12</f>
        <v>12.0</v>
      </c>
    </row>
    <row r="127">
      <c r="A127" s="27" t="s">
        <v>42</v>
      </c>
      <c r="B127" s="27" t="s">
        <v>422</v>
      </c>
      <c r="C127" s="27" t="s">
        <v>423</v>
      </c>
      <c r="D127" s="27" t="s">
        <v>424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10.0</v>
      </c>
      <c r="K127" s="33" t="n">
        <f>1335</f>
        <v>1335.0</v>
      </c>
      <c r="L127" s="34" t="s">
        <v>49</v>
      </c>
      <c r="M127" s="33" t="n">
        <f>1350</f>
        <v>1350.0</v>
      </c>
      <c r="N127" s="34" t="s">
        <v>49</v>
      </c>
      <c r="O127" s="33" t="n">
        <f>1156</f>
        <v>1156.0</v>
      </c>
      <c r="P127" s="34" t="s">
        <v>50</v>
      </c>
      <c r="Q127" s="33" t="n">
        <f>1161</f>
        <v>1161.0</v>
      </c>
      <c r="R127" s="34" t="s">
        <v>50</v>
      </c>
      <c r="S127" s="35" t="n">
        <f>1251.83</f>
        <v>1251.83</v>
      </c>
      <c r="T127" s="32" t="n">
        <f>1340</f>
        <v>1340.0</v>
      </c>
      <c r="U127" s="32" t="str">
        <f>"－"</f>
        <v>－</v>
      </c>
      <c r="V127" s="32" t="n">
        <f>1623150</f>
        <v>1623150.0</v>
      </c>
      <c r="W127" s="32" t="str">
        <f>"－"</f>
        <v>－</v>
      </c>
      <c r="X127" s="36" t="n">
        <f>6</f>
        <v>6.0</v>
      </c>
    </row>
    <row r="128">
      <c r="A128" s="27" t="s">
        <v>42</v>
      </c>
      <c r="B128" s="27" t="s">
        <v>425</v>
      </c>
      <c r="C128" s="27" t="s">
        <v>426</v>
      </c>
      <c r="D128" s="27" t="s">
        <v>427</v>
      </c>
      <c r="E128" s="28" t="s">
        <v>46</v>
      </c>
      <c r="F128" s="29" t="s">
        <v>46</v>
      </c>
      <c r="G128" s="30" t="s">
        <v>46</v>
      </c>
      <c r="H128" s="31"/>
      <c r="I128" s="31" t="s">
        <v>47</v>
      </c>
      <c r="J128" s="32" t="n">
        <v>1.0</v>
      </c>
      <c r="K128" s="33" t="n">
        <f>1451</f>
        <v>1451.0</v>
      </c>
      <c r="L128" s="34" t="s">
        <v>48</v>
      </c>
      <c r="M128" s="33" t="n">
        <f>1526</f>
        <v>1526.0</v>
      </c>
      <c r="N128" s="34" t="s">
        <v>145</v>
      </c>
      <c r="O128" s="33" t="n">
        <f>1323</f>
        <v>1323.0</v>
      </c>
      <c r="P128" s="34" t="s">
        <v>50</v>
      </c>
      <c r="Q128" s="33" t="n">
        <f>1353</f>
        <v>1353.0</v>
      </c>
      <c r="R128" s="34" t="s">
        <v>50</v>
      </c>
      <c r="S128" s="35" t="n">
        <f>1465.11</f>
        <v>1465.11</v>
      </c>
      <c r="T128" s="32" t="n">
        <f>48681</f>
        <v>48681.0</v>
      </c>
      <c r="U128" s="32" t="str">
        <f>"－"</f>
        <v>－</v>
      </c>
      <c r="V128" s="32" t="n">
        <f>72889076</f>
        <v>7.2889076E7</v>
      </c>
      <c r="W128" s="32" t="str">
        <f>"－"</f>
        <v>－</v>
      </c>
      <c r="X128" s="36" t="n">
        <f>18</f>
        <v>18.0</v>
      </c>
    </row>
    <row r="129">
      <c r="A129" s="27" t="s">
        <v>42</v>
      </c>
      <c r="B129" s="27" t="s">
        <v>428</v>
      </c>
      <c r="C129" s="27" t="s">
        <v>429</v>
      </c>
      <c r="D129" s="27" t="s">
        <v>430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1.0</v>
      </c>
      <c r="K129" s="33" t="n">
        <f>14860</f>
        <v>14860.0</v>
      </c>
      <c r="L129" s="34" t="s">
        <v>48</v>
      </c>
      <c r="M129" s="33" t="n">
        <f>15690</f>
        <v>15690.0</v>
      </c>
      <c r="N129" s="34" t="s">
        <v>49</v>
      </c>
      <c r="O129" s="33" t="n">
        <f>13570</f>
        <v>13570.0</v>
      </c>
      <c r="P129" s="34" t="s">
        <v>50</v>
      </c>
      <c r="Q129" s="33" t="n">
        <f>13640</f>
        <v>13640.0</v>
      </c>
      <c r="R129" s="34" t="s">
        <v>50</v>
      </c>
      <c r="S129" s="35" t="n">
        <f>15046.11</f>
        <v>15046.11</v>
      </c>
      <c r="T129" s="32" t="n">
        <f>143659</f>
        <v>143659.0</v>
      </c>
      <c r="U129" s="32" t="n">
        <f>25003</f>
        <v>25003.0</v>
      </c>
      <c r="V129" s="32" t="n">
        <f>2064562289</f>
        <v>2.064562289E9</v>
      </c>
      <c r="W129" s="32" t="n">
        <f>340076489</f>
        <v>3.40076489E8</v>
      </c>
      <c r="X129" s="36" t="n">
        <f>18</f>
        <v>18.0</v>
      </c>
    </row>
    <row r="130">
      <c r="A130" s="27" t="s">
        <v>42</v>
      </c>
      <c r="B130" s="27" t="s">
        <v>431</v>
      </c>
      <c r="C130" s="27" t="s">
        <v>432</v>
      </c>
      <c r="D130" s="27" t="s">
        <v>433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1.0</v>
      </c>
      <c r="K130" s="33" t="n">
        <f>1351</f>
        <v>1351.0</v>
      </c>
      <c r="L130" s="34" t="s">
        <v>48</v>
      </c>
      <c r="M130" s="33" t="n">
        <f>1427</f>
        <v>1427.0</v>
      </c>
      <c r="N130" s="34" t="s">
        <v>49</v>
      </c>
      <c r="O130" s="33" t="n">
        <f>1232</f>
        <v>1232.0</v>
      </c>
      <c r="P130" s="34" t="s">
        <v>50</v>
      </c>
      <c r="Q130" s="33" t="n">
        <f>1241</f>
        <v>1241.0</v>
      </c>
      <c r="R130" s="34" t="s">
        <v>50</v>
      </c>
      <c r="S130" s="35" t="n">
        <f>1368.22</f>
        <v>1368.22</v>
      </c>
      <c r="T130" s="32" t="n">
        <f>310373</f>
        <v>310373.0</v>
      </c>
      <c r="U130" s="32" t="n">
        <f>51</f>
        <v>51.0</v>
      </c>
      <c r="V130" s="32" t="n">
        <f>419766995</f>
        <v>4.19766995E8</v>
      </c>
      <c r="W130" s="32" t="n">
        <f>70048</f>
        <v>70048.0</v>
      </c>
      <c r="X130" s="36" t="n">
        <f>18</f>
        <v>18.0</v>
      </c>
    </row>
    <row r="131">
      <c r="A131" s="27" t="s">
        <v>42</v>
      </c>
      <c r="B131" s="27" t="s">
        <v>434</v>
      </c>
      <c r="C131" s="27" t="s">
        <v>435</v>
      </c>
      <c r="D131" s="27" t="s">
        <v>436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1.0</v>
      </c>
      <c r="K131" s="33" t="n">
        <f>15130</f>
        <v>15130.0</v>
      </c>
      <c r="L131" s="34" t="s">
        <v>48</v>
      </c>
      <c r="M131" s="33" t="n">
        <f>15930</f>
        <v>15930.0</v>
      </c>
      <c r="N131" s="34" t="s">
        <v>49</v>
      </c>
      <c r="O131" s="33" t="n">
        <f>13770</f>
        <v>13770.0</v>
      </c>
      <c r="P131" s="34" t="s">
        <v>50</v>
      </c>
      <c r="Q131" s="33" t="n">
        <f>13870</f>
        <v>13870.0</v>
      </c>
      <c r="R131" s="34" t="s">
        <v>50</v>
      </c>
      <c r="S131" s="35" t="n">
        <f>15282.78</f>
        <v>15282.78</v>
      </c>
      <c r="T131" s="32" t="n">
        <f>29395</f>
        <v>29395.0</v>
      </c>
      <c r="U131" s="32" t="n">
        <f>20</f>
        <v>20.0</v>
      </c>
      <c r="V131" s="32" t="n">
        <f>436010789</f>
        <v>4.36010789E8</v>
      </c>
      <c r="W131" s="32" t="n">
        <f>308539</f>
        <v>308539.0</v>
      </c>
      <c r="X131" s="36" t="n">
        <f>18</f>
        <v>18.0</v>
      </c>
    </row>
    <row r="132">
      <c r="A132" s="27" t="s">
        <v>42</v>
      </c>
      <c r="B132" s="27" t="s">
        <v>437</v>
      </c>
      <c r="C132" s="27" t="s">
        <v>438</v>
      </c>
      <c r="D132" s="27" t="s">
        <v>439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10.0</v>
      </c>
      <c r="K132" s="33" t="n">
        <f>2245</f>
        <v>2245.0</v>
      </c>
      <c r="L132" s="34" t="s">
        <v>48</v>
      </c>
      <c r="M132" s="33" t="n">
        <f>2290</f>
        <v>2290.0</v>
      </c>
      <c r="N132" s="34" t="s">
        <v>60</v>
      </c>
      <c r="O132" s="33" t="n">
        <f>2059</f>
        <v>2059.0</v>
      </c>
      <c r="P132" s="34" t="s">
        <v>50</v>
      </c>
      <c r="Q132" s="33" t="n">
        <f>2064</f>
        <v>2064.0</v>
      </c>
      <c r="R132" s="34" t="s">
        <v>50</v>
      </c>
      <c r="S132" s="35" t="n">
        <f>2240.22</f>
        <v>2240.22</v>
      </c>
      <c r="T132" s="32" t="n">
        <f>502780</f>
        <v>502780.0</v>
      </c>
      <c r="U132" s="32" t="n">
        <f>155000</f>
        <v>155000.0</v>
      </c>
      <c r="V132" s="32" t="n">
        <f>1111948000</f>
        <v>1.111948E9</v>
      </c>
      <c r="W132" s="32" t="n">
        <f>349241550</f>
        <v>3.4924155E8</v>
      </c>
      <c r="X132" s="36" t="n">
        <f>18</f>
        <v>18.0</v>
      </c>
    </row>
    <row r="133">
      <c r="A133" s="27" t="s">
        <v>42</v>
      </c>
      <c r="B133" s="27" t="s">
        <v>440</v>
      </c>
      <c r="C133" s="27" t="s">
        <v>441</v>
      </c>
      <c r="D133" s="27" t="s">
        <v>442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10.0</v>
      </c>
      <c r="K133" s="33" t="n">
        <f>1452</f>
        <v>1452.0</v>
      </c>
      <c r="L133" s="34" t="s">
        <v>443</v>
      </c>
      <c r="M133" s="33" t="n">
        <f>1462</f>
        <v>1462.0</v>
      </c>
      <c r="N133" s="34" t="s">
        <v>164</v>
      </c>
      <c r="O133" s="33" t="n">
        <f>1417</f>
        <v>1417.0</v>
      </c>
      <c r="P133" s="34" t="s">
        <v>96</v>
      </c>
      <c r="Q133" s="33" t="n">
        <f>1417</f>
        <v>1417.0</v>
      </c>
      <c r="R133" s="34" t="s">
        <v>96</v>
      </c>
      <c r="S133" s="35" t="n">
        <f>1443.67</f>
        <v>1443.67</v>
      </c>
      <c r="T133" s="32" t="n">
        <f>100</f>
        <v>100.0</v>
      </c>
      <c r="U133" s="32" t="str">
        <f>"－"</f>
        <v>－</v>
      </c>
      <c r="V133" s="32" t="n">
        <f>143650</f>
        <v>143650.0</v>
      </c>
      <c r="W133" s="32" t="str">
        <f>"－"</f>
        <v>－</v>
      </c>
      <c r="X133" s="36" t="n">
        <f>3</f>
        <v>3.0</v>
      </c>
    </row>
    <row r="134">
      <c r="A134" s="27" t="s">
        <v>42</v>
      </c>
      <c r="B134" s="27" t="s">
        <v>444</v>
      </c>
      <c r="C134" s="27" t="s">
        <v>445</v>
      </c>
      <c r="D134" s="27" t="s">
        <v>446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10.0</v>
      </c>
      <c r="K134" s="33" t="n">
        <f>2261</f>
        <v>2261.0</v>
      </c>
      <c r="L134" s="34" t="s">
        <v>48</v>
      </c>
      <c r="M134" s="33" t="n">
        <f>2310</f>
        <v>2310.0</v>
      </c>
      <c r="N134" s="34" t="s">
        <v>60</v>
      </c>
      <c r="O134" s="33" t="n">
        <f>2065</f>
        <v>2065.0</v>
      </c>
      <c r="P134" s="34" t="s">
        <v>50</v>
      </c>
      <c r="Q134" s="33" t="n">
        <f>2073</f>
        <v>2073.0</v>
      </c>
      <c r="R134" s="34" t="s">
        <v>50</v>
      </c>
      <c r="S134" s="35" t="n">
        <f>2257.61</f>
        <v>2257.61</v>
      </c>
      <c r="T134" s="32" t="n">
        <f>1410390</f>
        <v>1410390.0</v>
      </c>
      <c r="U134" s="32" t="n">
        <f>549290</f>
        <v>549290.0</v>
      </c>
      <c r="V134" s="32" t="n">
        <f>3089144110</f>
        <v>3.08914411E9</v>
      </c>
      <c r="W134" s="32" t="n">
        <f>1200389950</f>
        <v>1.20038995E9</v>
      </c>
      <c r="X134" s="36" t="n">
        <f>18</f>
        <v>18.0</v>
      </c>
    </row>
    <row r="135">
      <c r="A135" s="27" t="s">
        <v>42</v>
      </c>
      <c r="B135" s="27" t="s">
        <v>447</v>
      </c>
      <c r="C135" s="27" t="s">
        <v>448</v>
      </c>
      <c r="D135" s="27" t="s">
        <v>449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1.0</v>
      </c>
      <c r="K135" s="33" t="n">
        <f>16970</f>
        <v>16970.0</v>
      </c>
      <c r="L135" s="34" t="s">
        <v>278</v>
      </c>
      <c r="M135" s="33" t="n">
        <f>17070</f>
        <v>17070.0</v>
      </c>
      <c r="N135" s="34" t="s">
        <v>278</v>
      </c>
      <c r="O135" s="33" t="n">
        <f>16970</f>
        <v>16970.0</v>
      </c>
      <c r="P135" s="34" t="s">
        <v>278</v>
      </c>
      <c r="Q135" s="33" t="n">
        <f>17070</f>
        <v>17070.0</v>
      </c>
      <c r="R135" s="34" t="s">
        <v>278</v>
      </c>
      <c r="S135" s="35" t="n">
        <f>17070</f>
        <v>17070.0</v>
      </c>
      <c r="T135" s="32" t="n">
        <f>2</f>
        <v>2.0</v>
      </c>
      <c r="U135" s="32" t="str">
        <f>"－"</f>
        <v>－</v>
      </c>
      <c r="V135" s="32" t="n">
        <f>34040</f>
        <v>34040.0</v>
      </c>
      <c r="W135" s="32" t="str">
        <f>"－"</f>
        <v>－</v>
      </c>
      <c r="X135" s="36" t="n">
        <f>1</f>
        <v>1.0</v>
      </c>
    </row>
    <row r="136">
      <c r="A136" s="27" t="s">
        <v>42</v>
      </c>
      <c r="B136" s="27" t="s">
        <v>450</v>
      </c>
      <c r="C136" s="27" t="s">
        <v>451</v>
      </c>
      <c r="D136" s="27" t="s">
        <v>452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14960</f>
        <v>14960.0</v>
      </c>
      <c r="L136" s="34" t="s">
        <v>48</v>
      </c>
      <c r="M136" s="33" t="n">
        <f>15790</f>
        <v>15790.0</v>
      </c>
      <c r="N136" s="34" t="s">
        <v>49</v>
      </c>
      <c r="O136" s="33" t="n">
        <f>13660</f>
        <v>13660.0</v>
      </c>
      <c r="P136" s="34" t="s">
        <v>50</v>
      </c>
      <c r="Q136" s="33" t="n">
        <f>13740</f>
        <v>13740.0</v>
      </c>
      <c r="R136" s="34" t="s">
        <v>50</v>
      </c>
      <c r="S136" s="35" t="n">
        <f>15154.44</f>
        <v>15154.44</v>
      </c>
      <c r="T136" s="32" t="n">
        <f>6325</f>
        <v>6325.0</v>
      </c>
      <c r="U136" s="32" t="str">
        <f>"－"</f>
        <v>－</v>
      </c>
      <c r="V136" s="32" t="n">
        <f>95734570</f>
        <v>9.573457E7</v>
      </c>
      <c r="W136" s="32" t="str">
        <f>"－"</f>
        <v>－</v>
      </c>
      <c r="X136" s="36" t="n">
        <f>18</f>
        <v>18.0</v>
      </c>
    </row>
    <row r="137">
      <c r="A137" s="27" t="s">
        <v>42</v>
      </c>
      <c r="B137" s="27" t="s">
        <v>453</v>
      </c>
      <c r="C137" s="27" t="s">
        <v>454</v>
      </c>
      <c r="D137" s="27" t="s">
        <v>455</v>
      </c>
      <c r="E137" s="28" t="s">
        <v>46</v>
      </c>
      <c r="F137" s="29" t="s">
        <v>46</v>
      </c>
      <c r="G137" s="30" t="s">
        <v>46</v>
      </c>
      <c r="H137" s="31" t="s">
        <v>456</v>
      </c>
      <c r="I137" s="31" t="s">
        <v>47</v>
      </c>
      <c r="J137" s="32" t="n">
        <v>10.0</v>
      </c>
      <c r="K137" s="33" t="n">
        <f>2530</f>
        <v>2530.0</v>
      </c>
      <c r="L137" s="34" t="s">
        <v>101</v>
      </c>
      <c r="M137" s="33" t="n">
        <f>2603</f>
        <v>2603.0</v>
      </c>
      <c r="N137" s="34" t="s">
        <v>49</v>
      </c>
      <c r="O137" s="33" t="n">
        <f>2274</f>
        <v>2274.0</v>
      </c>
      <c r="P137" s="34" t="s">
        <v>50</v>
      </c>
      <c r="Q137" s="33" t="n">
        <f>2274</f>
        <v>2274.0</v>
      </c>
      <c r="R137" s="34" t="s">
        <v>50</v>
      </c>
      <c r="S137" s="35" t="n">
        <f>2511.71</f>
        <v>2511.71</v>
      </c>
      <c r="T137" s="32" t="n">
        <f>8260</f>
        <v>8260.0</v>
      </c>
      <c r="U137" s="32" t="str">
        <f>"－"</f>
        <v>－</v>
      </c>
      <c r="V137" s="32" t="n">
        <f>20732920</f>
        <v>2.073292E7</v>
      </c>
      <c r="W137" s="32" t="str">
        <f>"－"</f>
        <v>－</v>
      </c>
      <c r="X137" s="36" t="n">
        <f>17</f>
        <v>17.0</v>
      </c>
    </row>
    <row r="138">
      <c r="A138" s="27" t="s">
        <v>42</v>
      </c>
      <c r="B138" s="27" t="s">
        <v>457</v>
      </c>
      <c r="C138" s="27" t="s">
        <v>458</v>
      </c>
      <c r="D138" s="27" t="s">
        <v>459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100.0</v>
      </c>
      <c r="K138" s="33" t="n">
        <f>148</f>
        <v>148.0</v>
      </c>
      <c r="L138" s="34" t="s">
        <v>48</v>
      </c>
      <c r="M138" s="33" t="n">
        <f>154</f>
        <v>154.0</v>
      </c>
      <c r="N138" s="34" t="s">
        <v>49</v>
      </c>
      <c r="O138" s="33" t="n">
        <f>133</f>
        <v>133.0</v>
      </c>
      <c r="P138" s="34" t="s">
        <v>50</v>
      </c>
      <c r="Q138" s="33" t="n">
        <f>136</f>
        <v>136.0</v>
      </c>
      <c r="R138" s="34" t="s">
        <v>50</v>
      </c>
      <c r="S138" s="35" t="n">
        <f>147.17</f>
        <v>147.17</v>
      </c>
      <c r="T138" s="32" t="n">
        <f>11920500</f>
        <v>1.19205E7</v>
      </c>
      <c r="U138" s="32" t="n">
        <f>9800</f>
        <v>9800.0</v>
      </c>
      <c r="V138" s="32" t="n">
        <f>1729186603</f>
        <v>1.729186603E9</v>
      </c>
      <c r="W138" s="32" t="n">
        <f>1338403</f>
        <v>1338403.0</v>
      </c>
      <c r="X138" s="36" t="n">
        <f>18</f>
        <v>18.0</v>
      </c>
    </row>
    <row r="139">
      <c r="A139" s="27" t="s">
        <v>42</v>
      </c>
      <c r="B139" s="27" t="s">
        <v>460</v>
      </c>
      <c r="C139" s="27" t="s">
        <v>461</v>
      </c>
      <c r="D139" s="27" t="s">
        <v>462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28510</f>
        <v>28510.0</v>
      </c>
      <c r="L139" s="34" t="s">
        <v>97</v>
      </c>
      <c r="M139" s="33" t="n">
        <f>29010</f>
        <v>29010.0</v>
      </c>
      <c r="N139" s="34" t="s">
        <v>49</v>
      </c>
      <c r="O139" s="33" t="n">
        <f>25070</f>
        <v>25070.0</v>
      </c>
      <c r="P139" s="34" t="s">
        <v>50</v>
      </c>
      <c r="Q139" s="33" t="n">
        <f>25070</f>
        <v>25070.0</v>
      </c>
      <c r="R139" s="34" t="s">
        <v>50</v>
      </c>
      <c r="S139" s="35" t="n">
        <f>27600.67</f>
        <v>27600.67</v>
      </c>
      <c r="T139" s="32" t="n">
        <f>168</f>
        <v>168.0</v>
      </c>
      <c r="U139" s="32" t="str">
        <f>"－"</f>
        <v>－</v>
      </c>
      <c r="V139" s="32" t="n">
        <f>4536980</f>
        <v>4536980.0</v>
      </c>
      <c r="W139" s="32" t="str">
        <f>"－"</f>
        <v>－</v>
      </c>
      <c r="X139" s="36" t="n">
        <f>15</f>
        <v>15.0</v>
      </c>
    </row>
    <row r="140">
      <c r="A140" s="27" t="s">
        <v>42</v>
      </c>
      <c r="B140" s="27" t="s">
        <v>463</v>
      </c>
      <c r="C140" s="27" t="s">
        <v>464</v>
      </c>
      <c r="D140" s="27" t="s">
        <v>465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10600</f>
        <v>10600.0</v>
      </c>
      <c r="L140" s="34" t="s">
        <v>48</v>
      </c>
      <c r="M140" s="33" t="n">
        <f>11070</f>
        <v>11070.0</v>
      </c>
      <c r="N140" s="34" t="s">
        <v>178</v>
      </c>
      <c r="O140" s="33" t="n">
        <f>9680</f>
        <v>9680.0</v>
      </c>
      <c r="P140" s="34" t="s">
        <v>50</v>
      </c>
      <c r="Q140" s="33" t="n">
        <f>9750</f>
        <v>9750.0</v>
      </c>
      <c r="R140" s="34" t="s">
        <v>50</v>
      </c>
      <c r="S140" s="35" t="n">
        <f>10703.33</f>
        <v>10703.33</v>
      </c>
      <c r="T140" s="32" t="n">
        <f>5515</f>
        <v>5515.0</v>
      </c>
      <c r="U140" s="32" t="str">
        <f>"－"</f>
        <v>－</v>
      </c>
      <c r="V140" s="32" t="n">
        <f>57679220</f>
        <v>5.767922E7</v>
      </c>
      <c r="W140" s="32" t="str">
        <f>"－"</f>
        <v>－</v>
      </c>
      <c r="X140" s="36" t="n">
        <f>18</f>
        <v>18.0</v>
      </c>
    </row>
    <row r="141">
      <c r="A141" s="27" t="s">
        <v>42</v>
      </c>
      <c r="B141" s="27" t="s">
        <v>466</v>
      </c>
      <c r="C141" s="27" t="s">
        <v>467</v>
      </c>
      <c r="D141" s="27" t="s">
        <v>468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1.0</v>
      </c>
      <c r="K141" s="33" t="n">
        <f>21340</f>
        <v>21340.0</v>
      </c>
      <c r="L141" s="34" t="s">
        <v>48</v>
      </c>
      <c r="M141" s="33" t="n">
        <f>22460</f>
        <v>22460.0</v>
      </c>
      <c r="N141" s="34" t="s">
        <v>49</v>
      </c>
      <c r="O141" s="33" t="n">
        <f>18890</f>
        <v>18890.0</v>
      </c>
      <c r="P141" s="34" t="s">
        <v>50</v>
      </c>
      <c r="Q141" s="33" t="n">
        <f>18960</f>
        <v>18960.0</v>
      </c>
      <c r="R141" s="34" t="s">
        <v>50</v>
      </c>
      <c r="S141" s="35" t="n">
        <f>21202.35</f>
        <v>21202.35</v>
      </c>
      <c r="T141" s="32" t="n">
        <f>922</f>
        <v>922.0</v>
      </c>
      <c r="U141" s="32" t="str">
        <f>"－"</f>
        <v>－</v>
      </c>
      <c r="V141" s="32" t="n">
        <f>19256370</f>
        <v>1.925637E7</v>
      </c>
      <c r="W141" s="32" t="str">
        <f>"－"</f>
        <v>－</v>
      </c>
      <c r="X141" s="36" t="n">
        <f>17</f>
        <v>17.0</v>
      </c>
    </row>
    <row r="142">
      <c r="A142" s="27" t="s">
        <v>42</v>
      </c>
      <c r="B142" s="27" t="s">
        <v>469</v>
      </c>
      <c r="C142" s="27" t="s">
        <v>470</v>
      </c>
      <c r="D142" s="27" t="s">
        <v>471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1.0</v>
      </c>
      <c r="K142" s="33" t="n">
        <f>23690</f>
        <v>23690.0</v>
      </c>
      <c r="L142" s="34" t="s">
        <v>48</v>
      </c>
      <c r="M142" s="33" t="n">
        <f>24770</f>
        <v>24770.0</v>
      </c>
      <c r="N142" s="34" t="s">
        <v>145</v>
      </c>
      <c r="O142" s="33" t="n">
        <f>21780</f>
        <v>21780.0</v>
      </c>
      <c r="P142" s="34" t="s">
        <v>50</v>
      </c>
      <c r="Q142" s="33" t="n">
        <f>21780</f>
        <v>21780.0</v>
      </c>
      <c r="R142" s="34" t="s">
        <v>50</v>
      </c>
      <c r="S142" s="35" t="n">
        <f>23855.33</f>
        <v>23855.33</v>
      </c>
      <c r="T142" s="32" t="n">
        <f>166</f>
        <v>166.0</v>
      </c>
      <c r="U142" s="32" t="str">
        <f>"－"</f>
        <v>－</v>
      </c>
      <c r="V142" s="32" t="n">
        <f>3895970</f>
        <v>3895970.0</v>
      </c>
      <c r="W142" s="32" t="str">
        <f>"－"</f>
        <v>－</v>
      </c>
      <c r="X142" s="36" t="n">
        <f>15</f>
        <v>15.0</v>
      </c>
    </row>
    <row r="143">
      <c r="A143" s="27" t="s">
        <v>42</v>
      </c>
      <c r="B143" s="27" t="s">
        <v>472</v>
      </c>
      <c r="C143" s="27" t="s">
        <v>473</v>
      </c>
      <c r="D143" s="27" t="s">
        <v>474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1.0</v>
      </c>
      <c r="K143" s="33" t="n">
        <f>24880</f>
        <v>24880.0</v>
      </c>
      <c r="L143" s="34" t="s">
        <v>48</v>
      </c>
      <c r="M143" s="33" t="n">
        <f>26390</f>
        <v>26390.0</v>
      </c>
      <c r="N143" s="34" t="s">
        <v>145</v>
      </c>
      <c r="O143" s="33" t="n">
        <f>22160</f>
        <v>22160.0</v>
      </c>
      <c r="P143" s="34" t="s">
        <v>50</v>
      </c>
      <c r="Q143" s="33" t="n">
        <f>22230</f>
        <v>22230.0</v>
      </c>
      <c r="R143" s="34" t="s">
        <v>50</v>
      </c>
      <c r="S143" s="35" t="n">
        <f>24882.22</f>
        <v>24882.22</v>
      </c>
      <c r="T143" s="32" t="n">
        <f>4594</f>
        <v>4594.0</v>
      </c>
      <c r="U143" s="32" t="str">
        <f>"－"</f>
        <v>－</v>
      </c>
      <c r="V143" s="32" t="n">
        <f>111503940</f>
        <v>1.1150394E8</v>
      </c>
      <c r="W143" s="32" t="str">
        <f>"－"</f>
        <v>－</v>
      </c>
      <c r="X143" s="36" t="n">
        <f>18</f>
        <v>18.0</v>
      </c>
    </row>
    <row r="144">
      <c r="A144" s="27" t="s">
        <v>42</v>
      </c>
      <c r="B144" s="27" t="s">
        <v>475</v>
      </c>
      <c r="C144" s="27" t="s">
        <v>476</v>
      </c>
      <c r="D144" s="27" t="s">
        <v>477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1.0</v>
      </c>
      <c r="K144" s="33" t="n">
        <f>19680</f>
        <v>19680.0</v>
      </c>
      <c r="L144" s="34" t="s">
        <v>48</v>
      </c>
      <c r="M144" s="33" t="n">
        <f>20450</f>
        <v>20450.0</v>
      </c>
      <c r="N144" s="34" t="s">
        <v>49</v>
      </c>
      <c r="O144" s="33" t="n">
        <f>18180</f>
        <v>18180.0</v>
      </c>
      <c r="P144" s="34" t="s">
        <v>50</v>
      </c>
      <c r="Q144" s="33" t="n">
        <f>18180</f>
        <v>18180.0</v>
      </c>
      <c r="R144" s="34" t="s">
        <v>50</v>
      </c>
      <c r="S144" s="35" t="n">
        <f>19705</f>
        <v>19705.0</v>
      </c>
      <c r="T144" s="32" t="n">
        <f>1572</f>
        <v>1572.0</v>
      </c>
      <c r="U144" s="32" t="n">
        <f>4</f>
        <v>4.0</v>
      </c>
      <c r="V144" s="32" t="n">
        <f>30282200</f>
        <v>3.02822E7</v>
      </c>
      <c r="W144" s="32" t="n">
        <f>80360</f>
        <v>80360.0</v>
      </c>
      <c r="X144" s="36" t="n">
        <f>18</f>
        <v>18.0</v>
      </c>
    </row>
    <row r="145">
      <c r="A145" s="27" t="s">
        <v>42</v>
      </c>
      <c r="B145" s="27" t="s">
        <v>478</v>
      </c>
      <c r="C145" s="27" t="s">
        <v>479</v>
      </c>
      <c r="D145" s="27" t="s">
        <v>480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1.0</v>
      </c>
      <c r="K145" s="33" t="n">
        <f>13220</f>
        <v>13220.0</v>
      </c>
      <c r="L145" s="34" t="s">
        <v>48</v>
      </c>
      <c r="M145" s="33" t="n">
        <f>13990</f>
        <v>13990.0</v>
      </c>
      <c r="N145" s="34" t="s">
        <v>49</v>
      </c>
      <c r="O145" s="33" t="n">
        <f>11350</f>
        <v>11350.0</v>
      </c>
      <c r="P145" s="34" t="s">
        <v>50</v>
      </c>
      <c r="Q145" s="33" t="n">
        <f>11530</f>
        <v>11530.0</v>
      </c>
      <c r="R145" s="34" t="s">
        <v>50</v>
      </c>
      <c r="S145" s="35" t="n">
        <f>13032.22</f>
        <v>13032.22</v>
      </c>
      <c r="T145" s="32" t="n">
        <f>6881</f>
        <v>6881.0</v>
      </c>
      <c r="U145" s="32" t="n">
        <f>2</f>
        <v>2.0</v>
      </c>
      <c r="V145" s="32" t="n">
        <f>88169010</f>
        <v>8.816901E7</v>
      </c>
      <c r="W145" s="32" t="n">
        <f>25660</f>
        <v>25660.0</v>
      </c>
      <c r="X145" s="36" t="n">
        <f>18</f>
        <v>18.0</v>
      </c>
    </row>
    <row r="146">
      <c r="A146" s="27" t="s">
        <v>42</v>
      </c>
      <c r="B146" s="27" t="s">
        <v>481</v>
      </c>
      <c r="C146" s="27" t="s">
        <v>482</v>
      </c>
      <c r="D146" s="27" t="s">
        <v>483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1.0</v>
      </c>
      <c r="K146" s="33" t="n">
        <f>33100</f>
        <v>33100.0</v>
      </c>
      <c r="L146" s="34" t="s">
        <v>48</v>
      </c>
      <c r="M146" s="33" t="n">
        <f>34300</f>
        <v>34300.0</v>
      </c>
      <c r="N146" s="34" t="s">
        <v>67</v>
      </c>
      <c r="O146" s="33" t="n">
        <f>29560</f>
        <v>29560.0</v>
      </c>
      <c r="P146" s="34" t="s">
        <v>50</v>
      </c>
      <c r="Q146" s="33" t="n">
        <f>29730</f>
        <v>29730.0</v>
      </c>
      <c r="R146" s="34" t="s">
        <v>50</v>
      </c>
      <c r="S146" s="35" t="n">
        <f>32681.67</f>
        <v>32681.67</v>
      </c>
      <c r="T146" s="32" t="n">
        <f>346</f>
        <v>346.0</v>
      </c>
      <c r="U146" s="32" t="str">
        <f>"－"</f>
        <v>－</v>
      </c>
      <c r="V146" s="32" t="n">
        <f>11201860</f>
        <v>1.120186E7</v>
      </c>
      <c r="W146" s="32" t="str">
        <f>"－"</f>
        <v>－</v>
      </c>
      <c r="X146" s="36" t="n">
        <f>12</f>
        <v>12.0</v>
      </c>
    </row>
    <row r="147">
      <c r="A147" s="27" t="s">
        <v>42</v>
      </c>
      <c r="B147" s="27" t="s">
        <v>484</v>
      </c>
      <c r="C147" s="27" t="s">
        <v>485</v>
      </c>
      <c r="D147" s="27" t="s">
        <v>486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1.0</v>
      </c>
      <c r="K147" s="33" t="n">
        <f>20650</f>
        <v>20650.0</v>
      </c>
      <c r="L147" s="34" t="s">
        <v>48</v>
      </c>
      <c r="M147" s="33" t="n">
        <f>21910</f>
        <v>21910.0</v>
      </c>
      <c r="N147" s="34" t="s">
        <v>49</v>
      </c>
      <c r="O147" s="33" t="n">
        <f>18850</f>
        <v>18850.0</v>
      </c>
      <c r="P147" s="34" t="s">
        <v>50</v>
      </c>
      <c r="Q147" s="33" t="n">
        <f>18870</f>
        <v>18870.0</v>
      </c>
      <c r="R147" s="34" t="s">
        <v>50</v>
      </c>
      <c r="S147" s="35" t="n">
        <f>21001.11</f>
        <v>21001.11</v>
      </c>
      <c r="T147" s="32" t="n">
        <f>1184</f>
        <v>1184.0</v>
      </c>
      <c r="U147" s="32" t="str">
        <f>"－"</f>
        <v>－</v>
      </c>
      <c r="V147" s="32" t="n">
        <f>24466800</f>
        <v>2.44668E7</v>
      </c>
      <c r="W147" s="32" t="str">
        <f>"－"</f>
        <v>－</v>
      </c>
      <c r="X147" s="36" t="n">
        <f>18</f>
        <v>18.0</v>
      </c>
    </row>
    <row r="148">
      <c r="A148" s="27" t="s">
        <v>42</v>
      </c>
      <c r="B148" s="27" t="s">
        <v>487</v>
      </c>
      <c r="C148" s="27" t="s">
        <v>488</v>
      </c>
      <c r="D148" s="27" t="s">
        <v>489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1.0</v>
      </c>
      <c r="K148" s="33" t="n">
        <f>23500</f>
        <v>23500.0</v>
      </c>
      <c r="L148" s="34" t="s">
        <v>48</v>
      </c>
      <c r="M148" s="33" t="n">
        <f>24790</f>
        <v>24790.0</v>
      </c>
      <c r="N148" s="34" t="s">
        <v>67</v>
      </c>
      <c r="O148" s="33" t="n">
        <f>21540</f>
        <v>21540.0</v>
      </c>
      <c r="P148" s="34" t="s">
        <v>50</v>
      </c>
      <c r="Q148" s="33" t="n">
        <f>21540</f>
        <v>21540.0</v>
      </c>
      <c r="R148" s="34" t="s">
        <v>50</v>
      </c>
      <c r="S148" s="35" t="n">
        <f>23802.86</f>
        <v>23802.86</v>
      </c>
      <c r="T148" s="32" t="n">
        <f>683</f>
        <v>683.0</v>
      </c>
      <c r="U148" s="32" t="str">
        <f>"－"</f>
        <v>－</v>
      </c>
      <c r="V148" s="32" t="n">
        <f>16171180</f>
        <v>1.617118E7</v>
      </c>
      <c r="W148" s="32" t="str">
        <f>"－"</f>
        <v>－</v>
      </c>
      <c r="X148" s="36" t="n">
        <f>14</f>
        <v>14.0</v>
      </c>
    </row>
    <row r="149">
      <c r="A149" s="27" t="s">
        <v>42</v>
      </c>
      <c r="B149" s="27" t="s">
        <v>490</v>
      </c>
      <c r="C149" s="27" t="s">
        <v>491</v>
      </c>
      <c r="D149" s="27" t="s">
        <v>492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1.0</v>
      </c>
      <c r="K149" s="33" t="n">
        <f>6600</f>
        <v>6600.0</v>
      </c>
      <c r="L149" s="34" t="s">
        <v>48</v>
      </c>
      <c r="M149" s="33" t="n">
        <f>6890</f>
        <v>6890.0</v>
      </c>
      <c r="N149" s="34" t="s">
        <v>49</v>
      </c>
      <c r="O149" s="33" t="n">
        <f>6060</f>
        <v>6060.0</v>
      </c>
      <c r="P149" s="34" t="s">
        <v>50</v>
      </c>
      <c r="Q149" s="33" t="n">
        <f>6110</f>
        <v>6110.0</v>
      </c>
      <c r="R149" s="34" t="s">
        <v>50</v>
      </c>
      <c r="S149" s="35" t="n">
        <f>6619.44</f>
        <v>6619.44</v>
      </c>
      <c r="T149" s="32" t="n">
        <f>3892</f>
        <v>3892.0</v>
      </c>
      <c r="U149" s="32" t="str">
        <f>"－"</f>
        <v>－</v>
      </c>
      <c r="V149" s="32" t="n">
        <f>25590210</f>
        <v>2.559021E7</v>
      </c>
      <c r="W149" s="32" t="str">
        <f>"－"</f>
        <v>－</v>
      </c>
      <c r="X149" s="36" t="n">
        <f>18</f>
        <v>18.0</v>
      </c>
    </row>
    <row r="150">
      <c r="A150" s="27" t="s">
        <v>42</v>
      </c>
      <c r="B150" s="27" t="s">
        <v>493</v>
      </c>
      <c r="C150" s="27" t="s">
        <v>494</v>
      </c>
      <c r="D150" s="27" t="s">
        <v>495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1.0</v>
      </c>
      <c r="K150" s="33" t="n">
        <f>17380</f>
        <v>17380.0</v>
      </c>
      <c r="L150" s="34" t="s">
        <v>48</v>
      </c>
      <c r="M150" s="33" t="n">
        <f>17790</f>
        <v>17790.0</v>
      </c>
      <c r="N150" s="34" t="s">
        <v>97</v>
      </c>
      <c r="O150" s="33" t="n">
        <f>14920</f>
        <v>14920.0</v>
      </c>
      <c r="P150" s="34" t="s">
        <v>50</v>
      </c>
      <c r="Q150" s="33" t="n">
        <f>15050</f>
        <v>15050.0</v>
      </c>
      <c r="R150" s="34" t="s">
        <v>50</v>
      </c>
      <c r="S150" s="35" t="n">
        <f>16853.85</f>
        <v>16853.85</v>
      </c>
      <c r="T150" s="32" t="n">
        <f>344</f>
        <v>344.0</v>
      </c>
      <c r="U150" s="32" t="str">
        <f>"－"</f>
        <v>－</v>
      </c>
      <c r="V150" s="32" t="n">
        <f>5510450</f>
        <v>5510450.0</v>
      </c>
      <c r="W150" s="32" t="str">
        <f>"－"</f>
        <v>－</v>
      </c>
      <c r="X150" s="36" t="n">
        <f>13</f>
        <v>13.0</v>
      </c>
    </row>
    <row r="151">
      <c r="A151" s="27" t="s">
        <v>42</v>
      </c>
      <c r="B151" s="27" t="s">
        <v>496</v>
      </c>
      <c r="C151" s="27" t="s">
        <v>497</v>
      </c>
      <c r="D151" s="27" t="s">
        <v>498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1.0</v>
      </c>
      <c r="K151" s="33" t="n">
        <f>34150</f>
        <v>34150.0</v>
      </c>
      <c r="L151" s="34" t="s">
        <v>48</v>
      </c>
      <c r="M151" s="33" t="n">
        <f>35650</f>
        <v>35650.0</v>
      </c>
      <c r="N151" s="34" t="s">
        <v>49</v>
      </c>
      <c r="O151" s="33" t="n">
        <f>31200</f>
        <v>31200.0</v>
      </c>
      <c r="P151" s="34" t="s">
        <v>50</v>
      </c>
      <c r="Q151" s="33" t="n">
        <f>31300</f>
        <v>31300.0</v>
      </c>
      <c r="R151" s="34" t="s">
        <v>50</v>
      </c>
      <c r="S151" s="35" t="n">
        <f>34177.78</f>
        <v>34177.78</v>
      </c>
      <c r="T151" s="32" t="n">
        <f>1045</f>
        <v>1045.0</v>
      </c>
      <c r="U151" s="32" t="str">
        <f>"－"</f>
        <v>－</v>
      </c>
      <c r="V151" s="32" t="n">
        <f>34609750</f>
        <v>3.460975E7</v>
      </c>
      <c r="W151" s="32" t="str">
        <f>"－"</f>
        <v>－</v>
      </c>
      <c r="X151" s="36" t="n">
        <f>18</f>
        <v>18.0</v>
      </c>
    </row>
    <row r="152">
      <c r="A152" s="27" t="s">
        <v>42</v>
      </c>
      <c r="B152" s="27" t="s">
        <v>499</v>
      </c>
      <c r="C152" s="27" t="s">
        <v>500</v>
      </c>
      <c r="D152" s="27" t="s">
        <v>501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1.0</v>
      </c>
      <c r="K152" s="33" t="n">
        <f>20750</f>
        <v>20750.0</v>
      </c>
      <c r="L152" s="34" t="s">
        <v>145</v>
      </c>
      <c r="M152" s="33" t="n">
        <f>20750</f>
        <v>20750.0</v>
      </c>
      <c r="N152" s="34" t="s">
        <v>145</v>
      </c>
      <c r="O152" s="33" t="n">
        <f>17860</f>
        <v>17860.0</v>
      </c>
      <c r="P152" s="34" t="s">
        <v>50</v>
      </c>
      <c r="Q152" s="33" t="n">
        <f>17860</f>
        <v>17860.0</v>
      </c>
      <c r="R152" s="34" t="s">
        <v>50</v>
      </c>
      <c r="S152" s="35" t="n">
        <f>19136.67</f>
        <v>19136.67</v>
      </c>
      <c r="T152" s="32" t="n">
        <f>75</f>
        <v>75.0</v>
      </c>
      <c r="U152" s="32" t="str">
        <f>"－"</f>
        <v>－</v>
      </c>
      <c r="V152" s="32" t="n">
        <f>1441240</f>
        <v>1441240.0</v>
      </c>
      <c r="W152" s="32" t="str">
        <f>"－"</f>
        <v>－</v>
      </c>
      <c r="X152" s="36" t="n">
        <f>6</f>
        <v>6.0</v>
      </c>
    </row>
    <row r="153">
      <c r="A153" s="27" t="s">
        <v>42</v>
      </c>
      <c r="B153" s="27" t="s">
        <v>502</v>
      </c>
      <c r="C153" s="27" t="s">
        <v>503</v>
      </c>
      <c r="D153" s="27" t="s">
        <v>504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1.0</v>
      </c>
      <c r="K153" s="33" t="n">
        <f>8530</f>
        <v>8530.0</v>
      </c>
      <c r="L153" s="34" t="s">
        <v>48</v>
      </c>
      <c r="M153" s="33" t="n">
        <f>8740</f>
        <v>8740.0</v>
      </c>
      <c r="N153" s="34" t="s">
        <v>49</v>
      </c>
      <c r="O153" s="33" t="n">
        <f>7600</f>
        <v>7600.0</v>
      </c>
      <c r="P153" s="34" t="s">
        <v>50</v>
      </c>
      <c r="Q153" s="33" t="n">
        <f>7650</f>
        <v>7650.0</v>
      </c>
      <c r="R153" s="34" t="s">
        <v>50</v>
      </c>
      <c r="S153" s="35" t="n">
        <f>8361.11</f>
        <v>8361.11</v>
      </c>
      <c r="T153" s="32" t="n">
        <f>8475</f>
        <v>8475.0</v>
      </c>
      <c r="U153" s="32" t="str">
        <f>"－"</f>
        <v>－</v>
      </c>
      <c r="V153" s="32" t="n">
        <f>70031420</f>
        <v>7.003142E7</v>
      </c>
      <c r="W153" s="32" t="str">
        <f>"－"</f>
        <v>－</v>
      </c>
      <c r="X153" s="36" t="n">
        <f>18</f>
        <v>18.0</v>
      </c>
    </row>
    <row r="154">
      <c r="A154" s="27" t="s">
        <v>42</v>
      </c>
      <c r="B154" s="27" t="s">
        <v>505</v>
      </c>
      <c r="C154" s="27" t="s">
        <v>506</v>
      </c>
      <c r="D154" s="27" t="s">
        <v>507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1.0</v>
      </c>
      <c r="K154" s="33" t="n">
        <f>12440</f>
        <v>12440.0</v>
      </c>
      <c r="L154" s="34" t="s">
        <v>48</v>
      </c>
      <c r="M154" s="33" t="n">
        <f>13060</f>
        <v>13060.0</v>
      </c>
      <c r="N154" s="34" t="s">
        <v>49</v>
      </c>
      <c r="O154" s="33" t="n">
        <f>11450</f>
        <v>11450.0</v>
      </c>
      <c r="P154" s="34" t="s">
        <v>50</v>
      </c>
      <c r="Q154" s="33" t="n">
        <f>11460</f>
        <v>11460.0</v>
      </c>
      <c r="R154" s="34" t="s">
        <v>50</v>
      </c>
      <c r="S154" s="35" t="n">
        <f>12543.33</f>
        <v>12543.33</v>
      </c>
      <c r="T154" s="32" t="n">
        <f>1347</f>
        <v>1347.0</v>
      </c>
      <c r="U154" s="32" t="str">
        <f>"－"</f>
        <v>－</v>
      </c>
      <c r="V154" s="32" t="n">
        <f>16973400</f>
        <v>1.69734E7</v>
      </c>
      <c r="W154" s="32" t="str">
        <f>"－"</f>
        <v>－</v>
      </c>
      <c r="X154" s="36" t="n">
        <f>15</f>
        <v>15.0</v>
      </c>
    </row>
    <row r="155">
      <c r="A155" s="27" t="s">
        <v>42</v>
      </c>
      <c r="B155" s="27" t="s">
        <v>508</v>
      </c>
      <c r="C155" s="27" t="s">
        <v>509</v>
      </c>
      <c r="D155" s="27" t="s">
        <v>510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1.0</v>
      </c>
      <c r="K155" s="33" t="n">
        <f>31850</f>
        <v>31850.0</v>
      </c>
      <c r="L155" s="34" t="s">
        <v>48</v>
      </c>
      <c r="M155" s="33" t="n">
        <f>32700</f>
        <v>32700.0</v>
      </c>
      <c r="N155" s="34" t="s">
        <v>352</v>
      </c>
      <c r="O155" s="33" t="n">
        <f>26940</f>
        <v>26940.0</v>
      </c>
      <c r="P155" s="34" t="s">
        <v>50</v>
      </c>
      <c r="Q155" s="33" t="n">
        <f>26970</f>
        <v>26970.0</v>
      </c>
      <c r="R155" s="34" t="s">
        <v>50</v>
      </c>
      <c r="S155" s="35" t="n">
        <f>31291.11</f>
        <v>31291.11</v>
      </c>
      <c r="T155" s="32" t="n">
        <f>1744</f>
        <v>1744.0</v>
      </c>
      <c r="U155" s="32" t="n">
        <f>14</f>
        <v>14.0</v>
      </c>
      <c r="V155" s="32" t="n">
        <f>51527780</f>
        <v>5.152778E7</v>
      </c>
      <c r="W155" s="32" t="n">
        <f>377580</f>
        <v>377580.0</v>
      </c>
      <c r="X155" s="36" t="n">
        <f>18</f>
        <v>18.0</v>
      </c>
    </row>
    <row r="156">
      <c r="A156" s="27" t="s">
        <v>42</v>
      </c>
      <c r="B156" s="27" t="s">
        <v>511</v>
      </c>
      <c r="C156" s="27" t="s">
        <v>512</v>
      </c>
      <c r="D156" s="27" t="s">
        <v>513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10.0</v>
      </c>
      <c r="K156" s="33" t="n">
        <f>962</f>
        <v>962.0</v>
      </c>
      <c r="L156" s="34" t="s">
        <v>48</v>
      </c>
      <c r="M156" s="33" t="n">
        <f>1003</f>
        <v>1003.0</v>
      </c>
      <c r="N156" s="34" t="s">
        <v>49</v>
      </c>
      <c r="O156" s="33" t="n">
        <f>884</f>
        <v>884.0</v>
      </c>
      <c r="P156" s="34" t="s">
        <v>50</v>
      </c>
      <c r="Q156" s="33" t="n">
        <f>892</f>
        <v>892.0</v>
      </c>
      <c r="R156" s="34" t="s">
        <v>50</v>
      </c>
      <c r="S156" s="35" t="n">
        <f>966.5</f>
        <v>966.5</v>
      </c>
      <c r="T156" s="32" t="n">
        <f>231130</f>
        <v>231130.0</v>
      </c>
      <c r="U156" s="32" t="str">
        <f>"－"</f>
        <v>－</v>
      </c>
      <c r="V156" s="32" t="n">
        <f>217327470</f>
        <v>2.1732747E8</v>
      </c>
      <c r="W156" s="32" t="str">
        <f>"－"</f>
        <v>－</v>
      </c>
      <c r="X156" s="36" t="n">
        <f>18</f>
        <v>18.0</v>
      </c>
    </row>
    <row r="157">
      <c r="A157" s="27" t="s">
        <v>42</v>
      </c>
      <c r="B157" s="27" t="s">
        <v>514</v>
      </c>
      <c r="C157" s="27" t="s">
        <v>515</v>
      </c>
      <c r="D157" s="27" t="s">
        <v>516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10.0</v>
      </c>
      <c r="K157" s="33" t="n">
        <f>2056</f>
        <v>2056.0</v>
      </c>
      <c r="L157" s="34" t="s">
        <v>48</v>
      </c>
      <c r="M157" s="33" t="n">
        <f>2097</f>
        <v>2097.0</v>
      </c>
      <c r="N157" s="34" t="s">
        <v>97</v>
      </c>
      <c r="O157" s="33" t="n">
        <f>1870</f>
        <v>1870.0</v>
      </c>
      <c r="P157" s="34" t="s">
        <v>50</v>
      </c>
      <c r="Q157" s="33" t="n">
        <f>1870</f>
        <v>1870.0</v>
      </c>
      <c r="R157" s="34" t="s">
        <v>50</v>
      </c>
      <c r="S157" s="35" t="n">
        <f>2027</f>
        <v>2027.0</v>
      </c>
      <c r="T157" s="32" t="n">
        <f>27380</f>
        <v>27380.0</v>
      </c>
      <c r="U157" s="32" t="str">
        <f>"－"</f>
        <v>－</v>
      </c>
      <c r="V157" s="32" t="n">
        <f>56771500</f>
        <v>5.67715E7</v>
      </c>
      <c r="W157" s="32" t="str">
        <f>"－"</f>
        <v>－</v>
      </c>
      <c r="X157" s="36" t="n">
        <f>10</f>
        <v>10.0</v>
      </c>
    </row>
    <row r="158">
      <c r="A158" s="27" t="s">
        <v>42</v>
      </c>
      <c r="B158" s="27" t="s">
        <v>517</v>
      </c>
      <c r="C158" s="27" t="s">
        <v>518</v>
      </c>
      <c r="D158" s="27" t="s">
        <v>519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10.0</v>
      </c>
      <c r="K158" s="33" t="n">
        <f>2090</f>
        <v>2090.0</v>
      </c>
      <c r="L158" s="34" t="s">
        <v>48</v>
      </c>
      <c r="M158" s="33" t="n">
        <f>2200</f>
        <v>2200.0</v>
      </c>
      <c r="N158" s="34" t="s">
        <v>49</v>
      </c>
      <c r="O158" s="33" t="n">
        <f>1899</f>
        <v>1899.0</v>
      </c>
      <c r="P158" s="34" t="s">
        <v>50</v>
      </c>
      <c r="Q158" s="33" t="n">
        <f>1899</f>
        <v>1899.0</v>
      </c>
      <c r="R158" s="34" t="s">
        <v>50</v>
      </c>
      <c r="S158" s="35" t="n">
        <f>2105.83</f>
        <v>2105.83</v>
      </c>
      <c r="T158" s="32" t="n">
        <f>40500</f>
        <v>40500.0</v>
      </c>
      <c r="U158" s="32" t="str">
        <f>"－"</f>
        <v>－</v>
      </c>
      <c r="V158" s="32" t="n">
        <f>85746200</f>
        <v>8.57462E7</v>
      </c>
      <c r="W158" s="32" t="str">
        <f>"－"</f>
        <v>－</v>
      </c>
      <c r="X158" s="36" t="n">
        <f>18</f>
        <v>18.0</v>
      </c>
    </row>
    <row r="159">
      <c r="A159" s="27" t="s">
        <v>42</v>
      </c>
      <c r="B159" s="27" t="s">
        <v>520</v>
      </c>
      <c r="C159" s="27" t="s">
        <v>521</v>
      </c>
      <c r="D159" s="27" t="s">
        <v>522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10.0</v>
      </c>
      <c r="K159" s="33" t="n">
        <f>1265</f>
        <v>1265.0</v>
      </c>
      <c r="L159" s="34" t="s">
        <v>48</v>
      </c>
      <c r="M159" s="33" t="n">
        <f>1329</f>
        <v>1329.0</v>
      </c>
      <c r="N159" s="34" t="s">
        <v>49</v>
      </c>
      <c r="O159" s="33" t="n">
        <f>1151</f>
        <v>1151.0</v>
      </c>
      <c r="P159" s="34" t="s">
        <v>50</v>
      </c>
      <c r="Q159" s="33" t="n">
        <f>1151</f>
        <v>1151.0</v>
      </c>
      <c r="R159" s="34" t="s">
        <v>50</v>
      </c>
      <c r="S159" s="35" t="n">
        <f>1257</f>
        <v>1257.0</v>
      </c>
      <c r="T159" s="32" t="n">
        <f>24420</f>
        <v>24420.0</v>
      </c>
      <c r="U159" s="32" t="str">
        <f>"－"</f>
        <v>－</v>
      </c>
      <c r="V159" s="32" t="n">
        <f>31161860</f>
        <v>3.116186E7</v>
      </c>
      <c r="W159" s="32" t="str">
        <f>"－"</f>
        <v>－</v>
      </c>
      <c r="X159" s="36" t="n">
        <f>11</f>
        <v>11.0</v>
      </c>
    </row>
    <row r="160">
      <c r="A160" s="27" t="s">
        <v>42</v>
      </c>
      <c r="B160" s="27" t="s">
        <v>523</v>
      </c>
      <c r="C160" s="27" t="s">
        <v>524</v>
      </c>
      <c r="D160" s="27" t="s">
        <v>525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1.0</v>
      </c>
      <c r="K160" s="33" t="n">
        <f>2515</f>
        <v>2515.0</v>
      </c>
      <c r="L160" s="34" t="s">
        <v>48</v>
      </c>
      <c r="M160" s="33" t="n">
        <f>2698</f>
        <v>2698.0</v>
      </c>
      <c r="N160" s="34" t="s">
        <v>164</v>
      </c>
      <c r="O160" s="33" t="n">
        <f>2262</f>
        <v>2262.0</v>
      </c>
      <c r="P160" s="34" t="s">
        <v>50</v>
      </c>
      <c r="Q160" s="33" t="n">
        <f>2268</f>
        <v>2268.0</v>
      </c>
      <c r="R160" s="34" t="s">
        <v>50</v>
      </c>
      <c r="S160" s="35" t="n">
        <f>2584.11</f>
        <v>2584.11</v>
      </c>
      <c r="T160" s="32" t="n">
        <f>1602362</f>
        <v>1602362.0</v>
      </c>
      <c r="U160" s="32" t="n">
        <f>315172</f>
        <v>315172.0</v>
      </c>
      <c r="V160" s="32" t="n">
        <f>4083598585</f>
        <v>4.083598585E9</v>
      </c>
      <c r="W160" s="32" t="n">
        <f>831844014</f>
        <v>8.31844014E8</v>
      </c>
      <c r="X160" s="36" t="n">
        <f>18</f>
        <v>18.0</v>
      </c>
    </row>
    <row r="161">
      <c r="A161" s="27" t="s">
        <v>42</v>
      </c>
      <c r="B161" s="27" t="s">
        <v>526</v>
      </c>
      <c r="C161" s="27" t="s">
        <v>527</v>
      </c>
      <c r="D161" s="27" t="s">
        <v>528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1.0</v>
      </c>
      <c r="K161" s="33" t="n">
        <f>2580</f>
        <v>2580.0</v>
      </c>
      <c r="L161" s="34" t="s">
        <v>48</v>
      </c>
      <c r="M161" s="33" t="n">
        <f>2683</f>
        <v>2683.0</v>
      </c>
      <c r="N161" s="34" t="s">
        <v>96</v>
      </c>
      <c r="O161" s="33" t="n">
        <f>2570</f>
        <v>2570.0</v>
      </c>
      <c r="P161" s="34" t="s">
        <v>48</v>
      </c>
      <c r="Q161" s="33" t="n">
        <f>2634</f>
        <v>2634.0</v>
      </c>
      <c r="R161" s="34" t="s">
        <v>50</v>
      </c>
      <c r="S161" s="35" t="n">
        <f>2613.72</f>
        <v>2613.72</v>
      </c>
      <c r="T161" s="32" t="n">
        <f>300972</f>
        <v>300972.0</v>
      </c>
      <c r="U161" s="32" t="n">
        <f>210090</f>
        <v>210090.0</v>
      </c>
      <c r="V161" s="32" t="n">
        <f>790068912</f>
        <v>7.90068912E8</v>
      </c>
      <c r="W161" s="32" t="n">
        <f>551434860</f>
        <v>5.5143486E8</v>
      </c>
      <c r="X161" s="36" t="n">
        <f>18</f>
        <v>18.0</v>
      </c>
    </row>
    <row r="162">
      <c r="A162" s="27" t="s">
        <v>42</v>
      </c>
      <c r="B162" s="27" t="s">
        <v>529</v>
      </c>
      <c r="C162" s="27" t="s">
        <v>530</v>
      </c>
      <c r="D162" s="27" t="s">
        <v>531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1.0</v>
      </c>
      <c r="K162" s="33" t="n">
        <f>2336</f>
        <v>2336.0</v>
      </c>
      <c r="L162" s="34" t="s">
        <v>48</v>
      </c>
      <c r="M162" s="33" t="n">
        <f>2478</f>
        <v>2478.0</v>
      </c>
      <c r="N162" s="34" t="s">
        <v>164</v>
      </c>
      <c r="O162" s="33" t="n">
        <f>2099</f>
        <v>2099.0</v>
      </c>
      <c r="P162" s="34" t="s">
        <v>50</v>
      </c>
      <c r="Q162" s="33" t="n">
        <f>2104</f>
        <v>2104.0</v>
      </c>
      <c r="R162" s="34" t="s">
        <v>50</v>
      </c>
      <c r="S162" s="35" t="n">
        <f>2383.67</f>
        <v>2383.67</v>
      </c>
      <c r="T162" s="32" t="n">
        <f>218806</f>
        <v>218806.0</v>
      </c>
      <c r="U162" s="32" t="n">
        <f>84065</f>
        <v>84065.0</v>
      </c>
      <c r="V162" s="32" t="n">
        <f>521533631</f>
        <v>5.21533631E8</v>
      </c>
      <c r="W162" s="32" t="n">
        <f>207385445</f>
        <v>2.07385445E8</v>
      </c>
      <c r="X162" s="36" t="n">
        <f>18</f>
        <v>18.0</v>
      </c>
    </row>
    <row r="163">
      <c r="A163" s="27" t="s">
        <v>42</v>
      </c>
      <c r="B163" s="27" t="s">
        <v>532</v>
      </c>
      <c r="C163" s="27" t="s">
        <v>533</v>
      </c>
      <c r="D163" s="27" t="s">
        <v>534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1.0</v>
      </c>
      <c r="K163" s="33" t="n">
        <f>1918</f>
        <v>1918.0</v>
      </c>
      <c r="L163" s="34" t="s">
        <v>48</v>
      </c>
      <c r="M163" s="33" t="n">
        <f>1989</f>
        <v>1989.0</v>
      </c>
      <c r="N163" s="34" t="s">
        <v>49</v>
      </c>
      <c r="O163" s="33" t="n">
        <f>1747</f>
        <v>1747.0</v>
      </c>
      <c r="P163" s="34" t="s">
        <v>50</v>
      </c>
      <c r="Q163" s="33" t="n">
        <f>1751</f>
        <v>1751.0</v>
      </c>
      <c r="R163" s="34" t="s">
        <v>50</v>
      </c>
      <c r="S163" s="35" t="n">
        <f>1922.72</f>
        <v>1922.72</v>
      </c>
      <c r="T163" s="32" t="n">
        <f>140914</f>
        <v>140914.0</v>
      </c>
      <c r="U163" s="32" t="n">
        <f>296</f>
        <v>296.0</v>
      </c>
      <c r="V163" s="32" t="n">
        <f>268518358</f>
        <v>2.68518358E8</v>
      </c>
      <c r="W163" s="32" t="n">
        <f>542270</f>
        <v>542270.0</v>
      </c>
      <c r="X163" s="36" t="n">
        <f>18</f>
        <v>18.0</v>
      </c>
    </row>
    <row r="164">
      <c r="A164" s="27" t="s">
        <v>42</v>
      </c>
      <c r="B164" s="27" t="s">
        <v>535</v>
      </c>
      <c r="C164" s="27" t="s">
        <v>536</v>
      </c>
      <c r="D164" s="27" t="s">
        <v>537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1.0</v>
      </c>
      <c r="K164" s="33" t="n">
        <f>2244</f>
        <v>2244.0</v>
      </c>
      <c r="L164" s="34" t="s">
        <v>48</v>
      </c>
      <c r="M164" s="33" t="n">
        <f>2404</f>
        <v>2404.0</v>
      </c>
      <c r="N164" s="34" t="s">
        <v>60</v>
      </c>
      <c r="O164" s="33" t="n">
        <f>2085</f>
        <v>2085.0</v>
      </c>
      <c r="P164" s="34" t="s">
        <v>50</v>
      </c>
      <c r="Q164" s="33" t="n">
        <f>2100</f>
        <v>2100.0</v>
      </c>
      <c r="R164" s="34" t="s">
        <v>50</v>
      </c>
      <c r="S164" s="35" t="n">
        <f>2303.78</f>
        <v>2303.78</v>
      </c>
      <c r="T164" s="32" t="n">
        <f>301047</f>
        <v>301047.0</v>
      </c>
      <c r="U164" s="32" t="n">
        <f>44500</f>
        <v>44500.0</v>
      </c>
      <c r="V164" s="32" t="n">
        <f>687195237</f>
        <v>6.87195237E8</v>
      </c>
      <c r="W164" s="32" t="n">
        <f>100840550</f>
        <v>1.0084055E8</v>
      </c>
      <c r="X164" s="36" t="n">
        <f>18</f>
        <v>18.0</v>
      </c>
    </row>
    <row r="165">
      <c r="A165" s="27" t="s">
        <v>42</v>
      </c>
      <c r="B165" s="27" t="s">
        <v>538</v>
      </c>
      <c r="C165" s="27" t="s">
        <v>539</v>
      </c>
      <c r="D165" s="27" t="s">
        <v>540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1.0</v>
      </c>
      <c r="K165" s="33" t="n">
        <f>11630</f>
        <v>11630.0</v>
      </c>
      <c r="L165" s="34" t="s">
        <v>48</v>
      </c>
      <c r="M165" s="33" t="n">
        <f>11840</f>
        <v>11840.0</v>
      </c>
      <c r="N165" s="34" t="s">
        <v>60</v>
      </c>
      <c r="O165" s="33" t="n">
        <f>10550</f>
        <v>10550.0</v>
      </c>
      <c r="P165" s="34" t="s">
        <v>50</v>
      </c>
      <c r="Q165" s="33" t="n">
        <f>10590</f>
        <v>10590.0</v>
      </c>
      <c r="R165" s="34" t="s">
        <v>50</v>
      </c>
      <c r="S165" s="35" t="n">
        <f>11590.56</f>
        <v>11590.56</v>
      </c>
      <c r="T165" s="32" t="n">
        <f>15707</f>
        <v>15707.0</v>
      </c>
      <c r="U165" s="32" t="n">
        <f>4603</f>
        <v>4603.0</v>
      </c>
      <c r="V165" s="32" t="n">
        <f>178176260</f>
        <v>1.7817626E8</v>
      </c>
      <c r="W165" s="32" t="n">
        <f>50076260</f>
        <v>5.007626E7</v>
      </c>
      <c r="X165" s="36" t="n">
        <f>18</f>
        <v>18.0</v>
      </c>
    </row>
    <row r="166">
      <c r="A166" s="27" t="s">
        <v>42</v>
      </c>
      <c r="B166" s="27" t="s">
        <v>541</v>
      </c>
      <c r="C166" s="27" t="s">
        <v>542</v>
      </c>
      <c r="D166" s="27" t="s">
        <v>543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100.0</v>
      </c>
      <c r="K166" s="33" t="n">
        <f>134</f>
        <v>134.0</v>
      </c>
      <c r="L166" s="34" t="s">
        <v>48</v>
      </c>
      <c r="M166" s="33" t="n">
        <f>138</f>
        <v>138.0</v>
      </c>
      <c r="N166" s="34" t="s">
        <v>145</v>
      </c>
      <c r="O166" s="33" t="n">
        <f>123</f>
        <v>123.0</v>
      </c>
      <c r="P166" s="34" t="s">
        <v>50</v>
      </c>
      <c r="Q166" s="33" t="n">
        <f>123</f>
        <v>123.0</v>
      </c>
      <c r="R166" s="34" t="s">
        <v>50</v>
      </c>
      <c r="S166" s="35" t="n">
        <f>133.47</f>
        <v>133.47</v>
      </c>
      <c r="T166" s="32" t="n">
        <f>27200</f>
        <v>27200.0</v>
      </c>
      <c r="U166" s="32" t="str">
        <f>"－"</f>
        <v>－</v>
      </c>
      <c r="V166" s="32" t="n">
        <f>3557500</f>
        <v>3557500.0</v>
      </c>
      <c r="W166" s="32" t="str">
        <f>"－"</f>
        <v>－</v>
      </c>
      <c r="X166" s="36" t="n">
        <f>17</f>
        <v>17.0</v>
      </c>
    </row>
    <row r="167">
      <c r="A167" s="27" t="s">
        <v>42</v>
      </c>
      <c r="B167" s="27" t="s">
        <v>544</v>
      </c>
      <c r="C167" s="27" t="s">
        <v>545</v>
      </c>
      <c r="D167" s="27" t="s">
        <v>546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1.0</v>
      </c>
      <c r="K167" s="33" t="n">
        <f>2296</f>
        <v>2296.0</v>
      </c>
      <c r="L167" s="34" t="s">
        <v>48</v>
      </c>
      <c r="M167" s="33" t="n">
        <f>2417</f>
        <v>2417.0</v>
      </c>
      <c r="N167" s="34" t="s">
        <v>60</v>
      </c>
      <c r="O167" s="33" t="n">
        <f>1988</f>
        <v>1988.0</v>
      </c>
      <c r="P167" s="34" t="s">
        <v>50</v>
      </c>
      <c r="Q167" s="33" t="n">
        <f>1996</f>
        <v>1996.0</v>
      </c>
      <c r="R167" s="34" t="s">
        <v>50</v>
      </c>
      <c r="S167" s="35" t="n">
        <f>2256.72</f>
        <v>2256.72</v>
      </c>
      <c r="T167" s="32" t="n">
        <f>5427137</f>
        <v>5427137.0</v>
      </c>
      <c r="U167" s="32" t="n">
        <f>140784</f>
        <v>140784.0</v>
      </c>
      <c r="V167" s="32" t="n">
        <f>12086887364</f>
        <v>1.2086887364E10</v>
      </c>
      <c r="W167" s="32" t="n">
        <f>314784959</f>
        <v>3.14784959E8</v>
      </c>
      <c r="X167" s="36" t="n">
        <f>18</f>
        <v>18.0</v>
      </c>
    </row>
    <row r="168">
      <c r="A168" s="27" t="s">
        <v>42</v>
      </c>
      <c r="B168" s="27" t="s">
        <v>547</v>
      </c>
      <c r="C168" s="27" t="s">
        <v>548</v>
      </c>
      <c r="D168" s="27" t="s">
        <v>549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1.0</v>
      </c>
      <c r="K168" s="33" t="n">
        <f>16250</f>
        <v>16250.0</v>
      </c>
      <c r="L168" s="34" t="s">
        <v>48</v>
      </c>
      <c r="M168" s="33" t="n">
        <f>17970</f>
        <v>17970.0</v>
      </c>
      <c r="N168" s="34" t="s">
        <v>96</v>
      </c>
      <c r="O168" s="33" t="n">
        <f>15920</f>
        <v>15920.0</v>
      </c>
      <c r="P168" s="34" t="s">
        <v>48</v>
      </c>
      <c r="Q168" s="33" t="n">
        <f>16900</f>
        <v>16900.0</v>
      </c>
      <c r="R168" s="34" t="s">
        <v>50</v>
      </c>
      <c r="S168" s="35" t="n">
        <f>16628.89</f>
        <v>16628.89</v>
      </c>
      <c r="T168" s="32" t="n">
        <f>2937</f>
        <v>2937.0</v>
      </c>
      <c r="U168" s="32" t="str">
        <f>"－"</f>
        <v>－</v>
      </c>
      <c r="V168" s="32" t="n">
        <f>50017330</f>
        <v>5.001733E7</v>
      </c>
      <c r="W168" s="32" t="str">
        <f>"－"</f>
        <v>－</v>
      </c>
      <c r="X168" s="36" t="n">
        <f>18</f>
        <v>18.0</v>
      </c>
    </row>
    <row r="169">
      <c r="A169" s="27" t="s">
        <v>42</v>
      </c>
      <c r="B169" s="27" t="s">
        <v>550</v>
      </c>
      <c r="C169" s="27" t="s">
        <v>551</v>
      </c>
      <c r="D169" s="27" t="s">
        <v>552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10.0</v>
      </c>
      <c r="K169" s="33" t="n">
        <f>1599</f>
        <v>1599.0</v>
      </c>
      <c r="L169" s="34" t="s">
        <v>48</v>
      </c>
      <c r="M169" s="33" t="n">
        <f>1850</f>
        <v>1850.0</v>
      </c>
      <c r="N169" s="34" t="s">
        <v>60</v>
      </c>
      <c r="O169" s="33" t="n">
        <f>1580</f>
        <v>1580.0</v>
      </c>
      <c r="P169" s="34" t="s">
        <v>50</v>
      </c>
      <c r="Q169" s="33" t="n">
        <f>1650</f>
        <v>1650.0</v>
      </c>
      <c r="R169" s="34" t="s">
        <v>50</v>
      </c>
      <c r="S169" s="35" t="n">
        <f>1682.54</f>
        <v>1682.54</v>
      </c>
      <c r="T169" s="32" t="n">
        <f>2430</f>
        <v>2430.0</v>
      </c>
      <c r="U169" s="32" t="str">
        <f>"－"</f>
        <v>－</v>
      </c>
      <c r="V169" s="32" t="n">
        <f>4302000</f>
        <v>4302000.0</v>
      </c>
      <c r="W169" s="32" t="str">
        <f>"－"</f>
        <v>－</v>
      </c>
      <c r="X169" s="36" t="n">
        <f>13</f>
        <v>13.0</v>
      </c>
    </row>
    <row r="170">
      <c r="A170" s="27" t="s">
        <v>42</v>
      </c>
      <c r="B170" s="27" t="s">
        <v>553</v>
      </c>
      <c r="C170" s="27" t="s">
        <v>554</v>
      </c>
      <c r="D170" s="27" t="s">
        <v>555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1.0</v>
      </c>
      <c r="K170" s="33" t="n">
        <f>9800</f>
        <v>9800.0</v>
      </c>
      <c r="L170" s="34" t="s">
        <v>48</v>
      </c>
      <c r="M170" s="33" t="n">
        <f>10160</f>
        <v>10160.0</v>
      </c>
      <c r="N170" s="34" t="s">
        <v>145</v>
      </c>
      <c r="O170" s="33" t="n">
        <f>8900</f>
        <v>8900.0</v>
      </c>
      <c r="P170" s="34" t="s">
        <v>50</v>
      </c>
      <c r="Q170" s="33" t="n">
        <f>8900</f>
        <v>8900.0</v>
      </c>
      <c r="R170" s="34" t="s">
        <v>50</v>
      </c>
      <c r="S170" s="35" t="n">
        <f>9696.88</f>
        <v>9696.88</v>
      </c>
      <c r="T170" s="32" t="n">
        <f>426</f>
        <v>426.0</v>
      </c>
      <c r="U170" s="32" t="str">
        <f>"－"</f>
        <v>－</v>
      </c>
      <c r="V170" s="32" t="n">
        <f>3915410</f>
        <v>3915410.0</v>
      </c>
      <c r="W170" s="32" t="str">
        <f>"－"</f>
        <v>－</v>
      </c>
      <c r="X170" s="36" t="n">
        <f>16</f>
        <v>16.0</v>
      </c>
    </row>
    <row r="171">
      <c r="A171" s="27" t="s">
        <v>42</v>
      </c>
      <c r="B171" s="27" t="s">
        <v>556</v>
      </c>
      <c r="C171" s="27" t="s">
        <v>557</v>
      </c>
      <c r="D171" s="27" t="s">
        <v>558</v>
      </c>
      <c r="E171" s="28" t="s">
        <v>46</v>
      </c>
      <c r="F171" s="29" t="s">
        <v>46</v>
      </c>
      <c r="G171" s="30" t="s">
        <v>46</v>
      </c>
      <c r="H171" s="31"/>
      <c r="I171" s="31" t="s">
        <v>47</v>
      </c>
      <c r="J171" s="32" t="n">
        <v>1.0</v>
      </c>
      <c r="K171" s="33" t="n">
        <f>28800</f>
        <v>28800.0</v>
      </c>
      <c r="L171" s="34" t="s">
        <v>48</v>
      </c>
      <c r="M171" s="33" t="n">
        <f>31400</f>
        <v>31400.0</v>
      </c>
      <c r="N171" s="34" t="s">
        <v>49</v>
      </c>
      <c r="O171" s="33" t="n">
        <f>25870</f>
        <v>25870.0</v>
      </c>
      <c r="P171" s="34" t="s">
        <v>101</v>
      </c>
      <c r="Q171" s="33" t="n">
        <f>28540</f>
        <v>28540.0</v>
      </c>
      <c r="R171" s="34" t="s">
        <v>50</v>
      </c>
      <c r="S171" s="35" t="n">
        <f>28895</f>
        <v>28895.0</v>
      </c>
      <c r="T171" s="32" t="n">
        <f>565</f>
        <v>565.0</v>
      </c>
      <c r="U171" s="32" t="str">
        <f>"－"</f>
        <v>－</v>
      </c>
      <c r="V171" s="32" t="n">
        <f>16265960</f>
        <v>1.626596E7</v>
      </c>
      <c r="W171" s="32" t="str">
        <f>"－"</f>
        <v>－</v>
      </c>
      <c r="X171" s="36" t="n">
        <f>18</f>
        <v>18.0</v>
      </c>
    </row>
    <row r="172">
      <c r="A172" s="27" t="s">
        <v>42</v>
      </c>
      <c r="B172" s="27" t="s">
        <v>559</v>
      </c>
      <c r="C172" s="27" t="s">
        <v>560</v>
      </c>
      <c r="D172" s="27" t="s">
        <v>561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1.0</v>
      </c>
      <c r="K172" s="33" t="n">
        <f>13390</f>
        <v>13390.0</v>
      </c>
      <c r="L172" s="34" t="s">
        <v>101</v>
      </c>
      <c r="M172" s="33" t="n">
        <f>16300</f>
        <v>16300.0</v>
      </c>
      <c r="N172" s="34" t="s">
        <v>60</v>
      </c>
      <c r="O172" s="33" t="n">
        <f>13390</f>
        <v>13390.0</v>
      </c>
      <c r="P172" s="34" t="s">
        <v>101</v>
      </c>
      <c r="Q172" s="33" t="n">
        <f>14800</f>
        <v>14800.0</v>
      </c>
      <c r="R172" s="34" t="s">
        <v>50</v>
      </c>
      <c r="S172" s="35" t="n">
        <f>14900</f>
        <v>14900.0</v>
      </c>
      <c r="T172" s="32" t="n">
        <f>16</f>
        <v>16.0</v>
      </c>
      <c r="U172" s="32" t="str">
        <f>"－"</f>
        <v>－</v>
      </c>
      <c r="V172" s="32" t="n">
        <f>244350</f>
        <v>244350.0</v>
      </c>
      <c r="W172" s="32" t="str">
        <f>"－"</f>
        <v>－</v>
      </c>
      <c r="X172" s="36" t="n">
        <f>6</f>
        <v>6.0</v>
      </c>
    </row>
    <row r="173">
      <c r="A173" s="27" t="s">
        <v>42</v>
      </c>
      <c r="B173" s="27" t="s">
        <v>562</v>
      </c>
      <c r="C173" s="27" t="s">
        <v>563</v>
      </c>
      <c r="D173" s="27" t="s">
        <v>564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10.0</v>
      </c>
      <c r="K173" s="33" t="n">
        <f>50500</f>
        <v>50500.0</v>
      </c>
      <c r="L173" s="34" t="s">
        <v>48</v>
      </c>
      <c r="M173" s="33" t="n">
        <f>51600</f>
        <v>51600.0</v>
      </c>
      <c r="N173" s="34" t="s">
        <v>60</v>
      </c>
      <c r="O173" s="33" t="n">
        <f>50400</f>
        <v>50400.0</v>
      </c>
      <c r="P173" s="34" t="s">
        <v>48</v>
      </c>
      <c r="Q173" s="33" t="n">
        <f>50700</f>
        <v>50700.0</v>
      </c>
      <c r="R173" s="34" t="s">
        <v>50</v>
      </c>
      <c r="S173" s="35" t="n">
        <f>50700</f>
        <v>50700.0</v>
      </c>
      <c r="T173" s="32" t="n">
        <f>7910</f>
        <v>7910.0</v>
      </c>
      <c r="U173" s="32" t="n">
        <f>1000</f>
        <v>1000.0</v>
      </c>
      <c r="V173" s="32" t="n">
        <f>401775000</f>
        <v>4.01775E8</v>
      </c>
      <c r="W173" s="32" t="n">
        <f>50482000</f>
        <v>5.0482E7</v>
      </c>
      <c r="X173" s="36" t="n">
        <f>18</f>
        <v>18.0</v>
      </c>
    </row>
    <row r="174">
      <c r="A174" s="27" t="s">
        <v>42</v>
      </c>
      <c r="B174" s="27" t="s">
        <v>565</v>
      </c>
      <c r="C174" s="27" t="s">
        <v>566</v>
      </c>
      <c r="D174" s="27" t="s">
        <v>567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100.0</v>
      </c>
      <c r="K174" s="33" t="n">
        <f>158</f>
        <v>158.0</v>
      </c>
      <c r="L174" s="34" t="s">
        <v>48</v>
      </c>
      <c r="M174" s="33" t="n">
        <f>166</f>
        <v>166.0</v>
      </c>
      <c r="N174" s="34" t="s">
        <v>145</v>
      </c>
      <c r="O174" s="33" t="n">
        <f>150</f>
        <v>150.0</v>
      </c>
      <c r="P174" s="34" t="s">
        <v>50</v>
      </c>
      <c r="Q174" s="33" t="n">
        <f>150</f>
        <v>150.0</v>
      </c>
      <c r="R174" s="34" t="s">
        <v>50</v>
      </c>
      <c r="S174" s="35" t="n">
        <f>161.11</f>
        <v>161.11</v>
      </c>
      <c r="T174" s="32" t="n">
        <f>3104600</f>
        <v>3104600.0</v>
      </c>
      <c r="U174" s="32" t="n">
        <f>16600</f>
        <v>16600.0</v>
      </c>
      <c r="V174" s="32" t="n">
        <f>497919112</f>
        <v>4.97919112E8</v>
      </c>
      <c r="W174" s="32" t="n">
        <f>2649412</f>
        <v>2649412.0</v>
      </c>
      <c r="X174" s="36" t="n">
        <f>18</f>
        <v>18.0</v>
      </c>
    </row>
    <row r="175">
      <c r="A175" s="27" t="s">
        <v>42</v>
      </c>
      <c r="B175" s="27" t="s">
        <v>568</v>
      </c>
      <c r="C175" s="27" t="s">
        <v>569</v>
      </c>
      <c r="D175" s="27" t="s">
        <v>570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10.0</v>
      </c>
      <c r="K175" s="33" t="n">
        <f>27590</f>
        <v>27590.0</v>
      </c>
      <c r="L175" s="34" t="s">
        <v>48</v>
      </c>
      <c r="M175" s="33" t="n">
        <f>29340</f>
        <v>29340.0</v>
      </c>
      <c r="N175" s="34" t="s">
        <v>60</v>
      </c>
      <c r="O175" s="33" t="n">
        <f>24700</f>
        <v>24700.0</v>
      </c>
      <c r="P175" s="34" t="s">
        <v>50</v>
      </c>
      <c r="Q175" s="33" t="n">
        <f>24750</f>
        <v>24750.0</v>
      </c>
      <c r="R175" s="34" t="s">
        <v>50</v>
      </c>
      <c r="S175" s="35" t="n">
        <f>28201.11</f>
        <v>28201.11</v>
      </c>
      <c r="T175" s="32" t="n">
        <f>13810</f>
        <v>13810.0</v>
      </c>
      <c r="U175" s="32" t="str">
        <f>"－"</f>
        <v>－</v>
      </c>
      <c r="V175" s="32" t="n">
        <f>378689900</f>
        <v>3.786899E8</v>
      </c>
      <c r="W175" s="32" t="str">
        <f>"－"</f>
        <v>－</v>
      </c>
      <c r="X175" s="36" t="n">
        <f>18</f>
        <v>18.0</v>
      </c>
    </row>
    <row r="176">
      <c r="A176" s="27" t="s">
        <v>42</v>
      </c>
      <c r="B176" s="27" t="s">
        <v>571</v>
      </c>
      <c r="C176" s="27" t="s">
        <v>572</v>
      </c>
      <c r="D176" s="27" t="s">
        <v>573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10.0</v>
      </c>
      <c r="K176" s="33" t="n">
        <f>2626</f>
        <v>2626.0</v>
      </c>
      <c r="L176" s="34" t="s">
        <v>48</v>
      </c>
      <c r="M176" s="33" t="n">
        <f>2800</f>
        <v>2800.0</v>
      </c>
      <c r="N176" s="34" t="s">
        <v>60</v>
      </c>
      <c r="O176" s="33" t="n">
        <f>2381</f>
        <v>2381.0</v>
      </c>
      <c r="P176" s="34" t="s">
        <v>50</v>
      </c>
      <c r="Q176" s="33" t="n">
        <f>2393</f>
        <v>2393.0</v>
      </c>
      <c r="R176" s="34" t="s">
        <v>50</v>
      </c>
      <c r="S176" s="35" t="n">
        <f>2690.33</f>
        <v>2690.33</v>
      </c>
      <c r="T176" s="32" t="n">
        <f>356980</f>
        <v>356980.0</v>
      </c>
      <c r="U176" s="32" t="n">
        <f>207320</f>
        <v>207320.0</v>
      </c>
      <c r="V176" s="32" t="n">
        <f>961442470</f>
        <v>9.6144247E8</v>
      </c>
      <c r="W176" s="32" t="n">
        <f>566374260</f>
        <v>5.6637426E8</v>
      </c>
      <c r="X176" s="36" t="n">
        <f>18</f>
        <v>18.0</v>
      </c>
    </row>
    <row r="177">
      <c r="A177" s="27" t="s">
        <v>42</v>
      </c>
      <c r="B177" s="27" t="s">
        <v>574</v>
      </c>
      <c r="C177" s="27" t="s">
        <v>575</v>
      </c>
      <c r="D177" s="27" t="s">
        <v>576</v>
      </c>
      <c r="E177" s="28" t="s">
        <v>46</v>
      </c>
      <c r="F177" s="29" t="s">
        <v>46</v>
      </c>
      <c r="G177" s="30" t="s">
        <v>46</v>
      </c>
      <c r="H177" s="31"/>
      <c r="I177" s="31" t="s">
        <v>47</v>
      </c>
      <c r="J177" s="32" t="n">
        <v>10.0</v>
      </c>
      <c r="K177" s="33" t="n">
        <f>1410</f>
        <v>1410.0</v>
      </c>
      <c r="L177" s="34" t="s">
        <v>48</v>
      </c>
      <c r="M177" s="33" t="n">
        <f>1518</f>
        <v>1518.0</v>
      </c>
      <c r="N177" s="34" t="s">
        <v>164</v>
      </c>
      <c r="O177" s="33" t="n">
        <f>1348</f>
        <v>1348.0</v>
      </c>
      <c r="P177" s="34" t="s">
        <v>50</v>
      </c>
      <c r="Q177" s="33" t="n">
        <f>1363</f>
        <v>1363.0</v>
      </c>
      <c r="R177" s="34" t="s">
        <v>50</v>
      </c>
      <c r="S177" s="35" t="n">
        <f>1470.28</f>
        <v>1470.28</v>
      </c>
      <c r="T177" s="32" t="n">
        <f>108670</f>
        <v>108670.0</v>
      </c>
      <c r="U177" s="32" t="str">
        <f>"－"</f>
        <v>－</v>
      </c>
      <c r="V177" s="32" t="n">
        <f>158248480</f>
        <v>1.5824848E8</v>
      </c>
      <c r="W177" s="32" t="str">
        <f>"－"</f>
        <v>－</v>
      </c>
      <c r="X177" s="36" t="n">
        <f>18</f>
        <v>18.0</v>
      </c>
    </row>
    <row r="178">
      <c r="A178" s="27" t="s">
        <v>42</v>
      </c>
      <c r="B178" s="27" t="s">
        <v>577</v>
      </c>
      <c r="C178" s="27" t="s">
        <v>578</v>
      </c>
      <c r="D178" s="27" t="s">
        <v>579</v>
      </c>
      <c r="E178" s="28" t="s">
        <v>46</v>
      </c>
      <c r="F178" s="29" t="s">
        <v>46</v>
      </c>
      <c r="G178" s="30" t="s">
        <v>46</v>
      </c>
      <c r="H178" s="31"/>
      <c r="I178" s="31" t="s">
        <v>47</v>
      </c>
      <c r="J178" s="32" t="n">
        <v>100.0</v>
      </c>
      <c r="K178" s="33" t="n">
        <f>177</f>
        <v>177.0</v>
      </c>
      <c r="L178" s="34" t="s">
        <v>48</v>
      </c>
      <c r="M178" s="33" t="n">
        <f>192</f>
        <v>192.0</v>
      </c>
      <c r="N178" s="34" t="s">
        <v>164</v>
      </c>
      <c r="O178" s="33" t="n">
        <f>166</f>
        <v>166.0</v>
      </c>
      <c r="P178" s="34" t="s">
        <v>50</v>
      </c>
      <c r="Q178" s="33" t="n">
        <f>167</f>
        <v>167.0</v>
      </c>
      <c r="R178" s="34" t="s">
        <v>50</v>
      </c>
      <c r="S178" s="35" t="n">
        <f>181.22</f>
        <v>181.22</v>
      </c>
      <c r="T178" s="32" t="n">
        <f>233300</f>
        <v>233300.0</v>
      </c>
      <c r="U178" s="32" t="str">
        <f>"－"</f>
        <v>－</v>
      </c>
      <c r="V178" s="32" t="n">
        <f>42687900</f>
        <v>4.26879E7</v>
      </c>
      <c r="W178" s="32" t="str">
        <f>"－"</f>
        <v>－</v>
      </c>
      <c r="X178" s="36" t="n">
        <f>18</f>
        <v>18.0</v>
      </c>
    </row>
    <row r="179">
      <c r="A179" s="27" t="s">
        <v>42</v>
      </c>
      <c r="B179" s="27" t="s">
        <v>580</v>
      </c>
      <c r="C179" s="27" t="s">
        <v>581</v>
      </c>
      <c r="D179" s="27" t="s">
        <v>582</v>
      </c>
      <c r="E179" s="28" t="s">
        <v>46</v>
      </c>
      <c r="F179" s="29" t="s">
        <v>46</v>
      </c>
      <c r="G179" s="30" t="s">
        <v>46</v>
      </c>
      <c r="H179" s="31"/>
      <c r="I179" s="31" t="s">
        <v>47</v>
      </c>
      <c r="J179" s="32" t="n">
        <v>10.0</v>
      </c>
      <c r="K179" s="33" t="n">
        <f>4300</f>
        <v>4300.0</v>
      </c>
      <c r="L179" s="34" t="s">
        <v>145</v>
      </c>
      <c r="M179" s="33" t="n">
        <f>4435</f>
        <v>4435.0</v>
      </c>
      <c r="N179" s="34" t="s">
        <v>96</v>
      </c>
      <c r="O179" s="33" t="n">
        <f>4300</f>
        <v>4300.0</v>
      </c>
      <c r="P179" s="34" t="s">
        <v>145</v>
      </c>
      <c r="Q179" s="33" t="n">
        <f>4390</f>
        <v>4390.0</v>
      </c>
      <c r="R179" s="34" t="s">
        <v>50</v>
      </c>
      <c r="S179" s="35" t="n">
        <f>4344.44</f>
        <v>4344.44</v>
      </c>
      <c r="T179" s="32" t="n">
        <f>670</f>
        <v>670.0</v>
      </c>
      <c r="U179" s="32" t="str">
        <f>"－"</f>
        <v>－</v>
      </c>
      <c r="V179" s="32" t="n">
        <f>2918550</f>
        <v>2918550.0</v>
      </c>
      <c r="W179" s="32" t="str">
        <f>"－"</f>
        <v>－</v>
      </c>
      <c r="X179" s="36" t="n">
        <f>9</f>
        <v>9.0</v>
      </c>
    </row>
    <row r="180">
      <c r="A180" s="27" t="s">
        <v>42</v>
      </c>
      <c r="B180" s="27" t="s">
        <v>583</v>
      </c>
      <c r="C180" s="27" t="s">
        <v>584</v>
      </c>
      <c r="D180" s="27" t="s">
        <v>585</v>
      </c>
      <c r="E180" s="28" t="s">
        <v>46</v>
      </c>
      <c r="F180" s="29" t="s">
        <v>46</v>
      </c>
      <c r="G180" s="30" t="s">
        <v>46</v>
      </c>
      <c r="H180" s="31"/>
      <c r="I180" s="31" t="s">
        <v>47</v>
      </c>
      <c r="J180" s="32" t="n">
        <v>10.0</v>
      </c>
      <c r="K180" s="33" t="n">
        <f>835</f>
        <v>835.0</v>
      </c>
      <c r="L180" s="34" t="s">
        <v>48</v>
      </c>
      <c r="M180" s="33" t="n">
        <f>835</f>
        <v>835.0</v>
      </c>
      <c r="N180" s="34" t="s">
        <v>48</v>
      </c>
      <c r="O180" s="33" t="n">
        <f>835</f>
        <v>835.0</v>
      </c>
      <c r="P180" s="34" t="s">
        <v>48</v>
      </c>
      <c r="Q180" s="33" t="n">
        <f>835</f>
        <v>835.0</v>
      </c>
      <c r="R180" s="34" t="s">
        <v>48</v>
      </c>
      <c r="S180" s="35" t="n">
        <f>835</f>
        <v>835.0</v>
      </c>
      <c r="T180" s="32" t="n">
        <f>120</f>
        <v>120.0</v>
      </c>
      <c r="U180" s="32" t="str">
        <f>"－"</f>
        <v>－</v>
      </c>
      <c r="V180" s="32" t="n">
        <f>100200</f>
        <v>100200.0</v>
      </c>
      <c r="W180" s="32" t="str">
        <f>"－"</f>
        <v>－</v>
      </c>
      <c r="X180" s="36" t="n">
        <f>1</f>
        <v>1.0</v>
      </c>
    </row>
    <row r="181">
      <c r="A181" s="27" t="s">
        <v>42</v>
      </c>
      <c r="B181" s="27" t="s">
        <v>586</v>
      </c>
      <c r="C181" s="27" t="s">
        <v>587</v>
      </c>
      <c r="D181" s="27" t="s">
        <v>588</v>
      </c>
      <c r="E181" s="28" t="s">
        <v>46</v>
      </c>
      <c r="F181" s="29" t="s">
        <v>46</v>
      </c>
      <c r="G181" s="30" t="s">
        <v>46</v>
      </c>
      <c r="H181" s="31"/>
      <c r="I181" s="31" t="s">
        <v>47</v>
      </c>
      <c r="J181" s="32" t="n">
        <v>10.0</v>
      </c>
      <c r="K181" s="33" t="n">
        <f>349</f>
        <v>349.0</v>
      </c>
      <c r="L181" s="34" t="s">
        <v>48</v>
      </c>
      <c r="M181" s="33" t="n">
        <f>349</f>
        <v>349.0</v>
      </c>
      <c r="N181" s="34" t="s">
        <v>48</v>
      </c>
      <c r="O181" s="33" t="n">
        <f>311</f>
        <v>311.0</v>
      </c>
      <c r="P181" s="34" t="s">
        <v>278</v>
      </c>
      <c r="Q181" s="33" t="n">
        <f>311</f>
        <v>311.0</v>
      </c>
      <c r="R181" s="34" t="s">
        <v>300</v>
      </c>
      <c r="S181" s="35" t="n">
        <f>331.43</f>
        <v>331.43</v>
      </c>
      <c r="T181" s="32" t="n">
        <f>420</f>
        <v>420.0</v>
      </c>
      <c r="U181" s="32" t="str">
        <f>"－"</f>
        <v>－</v>
      </c>
      <c r="V181" s="32" t="n">
        <f>143300</f>
        <v>143300.0</v>
      </c>
      <c r="W181" s="32" t="str">
        <f>"－"</f>
        <v>－</v>
      </c>
      <c r="X181" s="36" t="n">
        <f>7</f>
        <v>7.0</v>
      </c>
    </row>
    <row r="182">
      <c r="A182" s="27" t="s">
        <v>42</v>
      </c>
      <c r="B182" s="27" t="s">
        <v>589</v>
      </c>
      <c r="C182" s="27" t="s">
        <v>590</v>
      </c>
      <c r="D182" s="27" t="s">
        <v>591</v>
      </c>
      <c r="E182" s="28" t="s">
        <v>46</v>
      </c>
      <c r="F182" s="29" t="s">
        <v>46</v>
      </c>
      <c r="G182" s="30" t="s">
        <v>46</v>
      </c>
      <c r="H182" s="31"/>
      <c r="I182" s="31" t="s">
        <v>47</v>
      </c>
      <c r="J182" s="32" t="n">
        <v>10.0</v>
      </c>
      <c r="K182" s="33" t="n">
        <f>1022</f>
        <v>1022.0</v>
      </c>
      <c r="L182" s="34" t="s">
        <v>101</v>
      </c>
      <c r="M182" s="33" t="n">
        <f>1215</f>
        <v>1215.0</v>
      </c>
      <c r="N182" s="34" t="s">
        <v>145</v>
      </c>
      <c r="O182" s="33" t="n">
        <f>1022</f>
        <v>1022.0</v>
      </c>
      <c r="P182" s="34" t="s">
        <v>101</v>
      </c>
      <c r="Q182" s="33" t="n">
        <f>1181</f>
        <v>1181.0</v>
      </c>
      <c r="R182" s="34" t="s">
        <v>300</v>
      </c>
      <c r="S182" s="35" t="n">
        <f>1154.75</f>
        <v>1154.75</v>
      </c>
      <c r="T182" s="32" t="n">
        <f>110</f>
        <v>110.0</v>
      </c>
      <c r="U182" s="32" t="str">
        <f>"－"</f>
        <v>－</v>
      </c>
      <c r="V182" s="32" t="n">
        <f>117790</f>
        <v>117790.0</v>
      </c>
      <c r="W182" s="32" t="str">
        <f>"－"</f>
        <v>－</v>
      </c>
      <c r="X182" s="36" t="n">
        <f>4</f>
        <v>4.0</v>
      </c>
    </row>
    <row r="183">
      <c r="A183" s="27" t="s">
        <v>42</v>
      </c>
      <c r="B183" s="27" t="s">
        <v>592</v>
      </c>
      <c r="C183" s="27" t="s">
        <v>593</v>
      </c>
      <c r="D183" s="27" t="s">
        <v>594</v>
      </c>
      <c r="E183" s="28" t="s">
        <v>46</v>
      </c>
      <c r="F183" s="29" t="s">
        <v>46</v>
      </c>
      <c r="G183" s="30" t="s">
        <v>46</v>
      </c>
      <c r="H183" s="31"/>
      <c r="I183" s="31" t="s">
        <v>47</v>
      </c>
      <c r="J183" s="32" t="n">
        <v>10.0</v>
      </c>
      <c r="K183" s="33" t="n">
        <f>406</f>
        <v>406.0</v>
      </c>
      <c r="L183" s="34" t="s">
        <v>48</v>
      </c>
      <c r="M183" s="33" t="n">
        <f>456</f>
        <v>456.0</v>
      </c>
      <c r="N183" s="34" t="s">
        <v>50</v>
      </c>
      <c r="O183" s="33" t="n">
        <f>401</f>
        <v>401.0</v>
      </c>
      <c r="P183" s="34" t="s">
        <v>101</v>
      </c>
      <c r="Q183" s="33" t="n">
        <f>430</f>
        <v>430.0</v>
      </c>
      <c r="R183" s="34" t="s">
        <v>50</v>
      </c>
      <c r="S183" s="35" t="n">
        <f>417</f>
        <v>417.0</v>
      </c>
      <c r="T183" s="32" t="n">
        <f>4710</f>
        <v>4710.0</v>
      </c>
      <c r="U183" s="32" t="str">
        <f>"－"</f>
        <v>－</v>
      </c>
      <c r="V183" s="32" t="n">
        <f>1993460</f>
        <v>1993460.0</v>
      </c>
      <c r="W183" s="32" t="str">
        <f>"－"</f>
        <v>－</v>
      </c>
      <c r="X183" s="36" t="n">
        <f>18</f>
        <v>18.0</v>
      </c>
    </row>
    <row r="184">
      <c r="A184" s="27" t="s">
        <v>42</v>
      </c>
      <c r="B184" s="27" t="s">
        <v>595</v>
      </c>
      <c r="C184" s="27" t="s">
        <v>596</v>
      </c>
      <c r="D184" s="27" t="s">
        <v>597</v>
      </c>
      <c r="E184" s="28" t="s">
        <v>46</v>
      </c>
      <c r="F184" s="29" t="s">
        <v>46</v>
      </c>
      <c r="G184" s="30" t="s">
        <v>46</v>
      </c>
      <c r="H184" s="31"/>
      <c r="I184" s="31" t="s">
        <v>47</v>
      </c>
      <c r="J184" s="32" t="n">
        <v>10.0</v>
      </c>
      <c r="K184" s="33" t="n">
        <f>315</f>
        <v>315.0</v>
      </c>
      <c r="L184" s="34" t="s">
        <v>48</v>
      </c>
      <c r="M184" s="33" t="n">
        <f>340</f>
        <v>340.0</v>
      </c>
      <c r="N184" s="34" t="s">
        <v>60</v>
      </c>
      <c r="O184" s="33" t="n">
        <f>313</f>
        <v>313.0</v>
      </c>
      <c r="P184" s="34" t="s">
        <v>50</v>
      </c>
      <c r="Q184" s="33" t="n">
        <f>313</f>
        <v>313.0</v>
      </c>
      <c r="R184" s="34" t="s">
        <v>50</v>
      </c>
      <c r="S184" s="35" t="n">
        <f>322.2</f>
        <v>322.2</v>
      </c>
      <c r="T184" s="32" t="n">
        <f>8720</f>
        <v>8720.0</v>
      </c>
      <c r="U184" s="32" t="str">
        <f>"－"</f>
        <v>－</v>
      </c>
      <c r="V184" s="32" t="n">
        <f>2811100</f>
        <v>2811100.0</v>
      </c>
      <c r="W184" s="32" t="str">
        <f>"－"</f>
        <v>－</v>
      </c>
      <c r="X184" s="36" t="n">
        <f>15</f>
        <v>15.0</v>
      </c>
    </row>
    <row r="185">
      <c r="A185" s="27" t="s">
        <v>42</v>
      </c>
      <c r="B185" s="27" t="s">
        <v>598</v>
      </c>
      <c r="C185" s="27" t="s">
        <v>599</v>
      </c>
      <c r="D185" s="27" t="s">
        <v>600</v>
      </c>
      <c r="E185" s="28" t="s">
        <v>46</v>
      </c>
      <c r="F185" s="29" t="s">
        <v>46</v>
      </c>
      <c r="G185" s="30" t="s">
        <v>46</v>
      </c>
      <c r="H185" s="31"/>
      <c r="I185" s="31" t="s">
        <v>47</v>
      </c>
      <c r="J185" s="32" t="n">
        <v>100.0</v>
      </c>
      <c r="K185" s="33" t="n">
        <f>2</f>
        <v>2.0</v>
      </c>
      <c r="L185" s="34" t="s">
        <v>48</v>
      </c>
      <c r="M185" s="33" t="n">
        <f>3</f>
        <v>3.0</v>
      </c>
      <c r="N185" s="34" t="s">
        <v>97</v>
      </c>
      <c r="O185" s="33" t="n">
        <f>1</f>
        <v>1.0</v>
      </c>
      <c r="P185" s="34" t="s">
        <v>48</v>
      </c>
      <c r="Q185" s="33" t="n">
        <f>2</f>
        <v>2.0</v>
      </c>
      <c r="R185" s="34" t="s">
        <v>50</v>
      </c>
      <c r="S185" s="35" t="n">
        <f>2</f>
        <v>2.0</v>
      </c>
      <c r="T185" s="32" t="n">
        <f>312526200</f>
        <v>3.125262E8</v>
      </c>
      <c r="U185" s="32" t="str">
        <f>"－"</f>
        <v>－</v>
      </c>
      <c r="V185" s="32" t="n">
        <f>632847600</f>
        <v>6.328476E8</v>
      </c>
      <c r="W185" s="32" t="str">
        <f>"－"</f>
        <v>－</v>
      </c>
      <c r="X185" s="36" t="n">
        <f>18</f>
        <v>18.0</v>
      </c>
    </row>
    <row r="186">
      <c r="A186" s="27" t="s">
        <v>42</v>
      </c>
      <c r="B186" s="27" t="s">
        <v>601</v>
      </c>
      <c r="C186" s="27" t="s">
        <v>602</v>
      </c>
      <c r="D186" s="27" t="s">
        <v>603</v>
      </c>
      <c r="E186" s="28" t="s">
        <v>46</v>
      </c>
      <c r="F186" s="29" t="s">
        <v>46</v>
      </c>
      <c r="G186" s="30" t="s">
        <v>46</v>
      </c>
      <c r="H186" s="31"/>
      <c r="I186" s="31" t="s">
        <v>47</v>
      </c>
      <c r="J186" s="32" t="n">
        <v>10.0</v>
      </c>
      <c r="K186" s="33" t="n">
        <f>849</f>
        <v>849.0</v>
      </c>
      <c r="L186" s="34" t="s">
        <v>48</v>
      </c>
      <c r="M186" s="33" t="n">
        <f>887</f>
        <v>887.0</v>
      </c>
      <c r="N186" s="34" t="s">
        <v>60</v>
      </c>
      <c r="O186" s="33" t="n">
        <f>777</f>
        <v>777.0</v>
      </c>
      <c r="P186" s="34" t="s">
        <v>50</v>
      </c>
      <c r="Q186" s="33" t="n">
        <f>777</f>
        <v>777.0</v>
      </c>
      <c r="R186" s="34" t="s">
        <v>50</v>
      </c>
      <c r="S186" s="35" t="n">
        <f>844.44</f>
        <v>844.44</v>
      </c>
      <c r="T186" s="32" t="n">
        <f>42200</f>
        <v>42200.0</v>
      </c>
      <c r="U186" s="32" t="str">
        <f>"－"</f>
        <v>－</v>
      </c>
      <c r="V186" s="32" t="n">
        <f>35201180</f>
        <v>3.520118E7</v>
      </c>
      <c r="W186" s="32" t="str">
        <f>"－"</f>
        <v>－</v>
      </c>
      <c r="X186" s="36" t="n">
        <f>18</f>
        <v>18.0</v>
      </c>
    </row>
    <row r="187">
      <c r="A187" s="27" t="s">
        <v>42</v>
      </c>
      <c r="B187" s="27" t="s">
        <v>604</v>
      </c>
      <c r="C187" s="27" t="s">
        <v>605</v>
      </c>
      <c r="D187" s="27" t="s">
        <v>606</v>
      </c>
      <c r="E187" s="28" t="s">
        <v>46</v>
      </c>
      <c r="F187" s="29" t="s">
        <v>46</v>
      </c>
      <c r="G187" s="30" t="s">
        <v>46</v>
      </c>
      <c r="H187" s="31"/>
      <c r="I187" s="31" t="s">
        <v>47</v>
      </c>
      <c r="J187" s="32" t="n">
        <v>1.0</v>
      </c>
      <c r="K187" s="33" t="n">
        <f>2758</f>
        <v>2758.0</v>
      </c>
      <c r="L187" s="34" t="s">
        <v>48</v>
      </c>
      <c r="M187" s="33" t="n">
        <f>2758</f>
        <v>2758.0</v>
      </c>
      <c r="N187" s="34" t="s">
        <v>48</v>
      </c>
      <c r="O187" s="33" t="n">
        <f>2250</f>
        <v>2250.0</v>
      </c>
      <c r="P187" s="34" t="s">
        <v>50</v>
      </c>
      <c r="Q187" s="33" t="n">
        <f>2398</f>
        <v>2398.0</v>
      </c>
      <c r="R187" s="34" t="s">
        <v>50</v>
      </c>
      <c r="S187" s="35" t="n">
        <f>2668.88</f>
        <v>2668.88</v>
      </c>
      <c r="T187" s="32" t="n">
        <f>58</f>
        <v>58.0</v>
      </c>
      <c r="U187" s="32" t="str">
        <f>"－"</f>
        <v>－</v>
      </c>
      <c r="V187" s="32" t="n">
        <f>147200</f>
        <v>147200.0</v>
      </c>
      <c r="W187" s="32" t="str">
        <f>"－"</f>
        <v>－</v>
      </c>
      <c r="X187" s="36" t="n">
        <f>8</f>
        <v>8.0</v>
      </c>
    </row>
    <row r="188">
      <c r="A188" s="27" t="s">
        <v>42</v>
      </c>
      <c r="B188" s="27" t="s">
        <v>607</v>
      </c>
      <c r="C188" s="27" t="s">
        <v>608</v>
      </c>
      <c r="D188" s="27" t="s">
        <v>609</v>
      </c>
      <c r="E188" s="28" t="s">
        <v>46</v>
      </c>
      <c r="F188" s="29" t="s">
        <v>46</v>
      </c>
      <c r="G188" s="30" t="s">
        <v>46</v>
      </c>
      <c r="H188" s="31"/>
      <c r="I188" s="31" t="s">
        <v>47</v>
      </c>
      <c r="J188" s="32" t="n">
        <v>100.0</v>
      </c>
      <c r="K188" s="33" t="n">
        <f>272</f>
        <v>272.0</v>
      </c>
      <c r="L188" s="34" t="s">
        <v>48</v>
      </c>
      <c r="M188" s="33" t="n">
        <f>290</f>
        <v>290.0</v>
      </c>
      <c r="N188" s="34" t="s">
        <v>60</v>
      </c>
      <c r="O188" s="33" t="n">
        <f>257</f>
        <v>257.0</v>
      </c>
      <c r="P188" s="34" t="s">
        <v>49</v>
      </c>
      <c r="Q188" s="33" t="n">
        <f>270</f>
        <v>270.0</v>
      </c>
      <c r="R188" s="34" t="s">
        <v>50</v>
      </c>
      <c r="S188" s="35" t="n">
        <f>271.86</f>
        <v>271.86</v>
      </c>
      <c r="T188" s="32" t="n">
        <f>4500</f>
        <v>4500.0</v>
      </c>
      <c r="U188" s="32" t="str">
        <f>"－"</f>
        <v>－</v>
      </c>
      <c r="V188" s="32" t="n">
        <f>1195300</f>
        <v>1195300.0</v>
      </c>
      <c r="W188" s="32" t="str">
        <f>"－"</f>
        <v>－</v>
      </c>
      <c r="X188" s="36" t="n">
        <f>7</f>
        <v>7.0</v>
      </c>
    </row>
    <row r="189">
      <c r="A189" s="27" t="s">
        <v>42</v>
      </c>
      <c r="B189" s="27" t="s">
        <v>610</v>
      </c>
      <c r="C189" s="27" t="s">
        <v>611</v>
      </c>
      <c r="D189" s="27" t="s">
        <v>612</v>
      </c>
      <c r="E189" s="28" t="s">
        <v>46</v>
      </c>
      <c r="F189" s="29" t="s">
        <v>46</v>
      </c>
      <c r="G189" s="30" t="s">
        <v>46</v>
      </c>
      <c r="H189" s="31"/>
      <c r="I189" s="31" t="s">
        <v>47</v>
      </c>
      <c r="J189" s="32" t="n">
        <v>10.0</v>
      </c>
      <c r="K189" s="33" t="n">
        <f>2699</f>
        <v>2699.0</v>
      </c>
      <c r="L189" s="34" t="s">
        <v>48</v>
      </c>
      <c r="M189" s="33" t="n">
        <f>2970</f>
        <v>2970.0</v>
      </c>
      <c r="N189" s="34" t="s">
        <v>96</v>
      </c>
      <c r="O189" s="33" t="n">
        <f>2636</f>
        <v>2636.0</v>
      </c>
      <c r="P189" s="34" t="s">
        <v>278</v>
      </c>
      <c r="Q189" s="33" t="n">
        <f>2660</f>
        <v>2660.0</v>
      </c>
      <c r="R189" s="34" t="s">
        <v>50</v>
      </c>
      <c r="S189" s="35" t="n">
        <f>2727.85</f>
        <v>2727.85</v>
      </c>
      <c r="T189" s="32" t="n">
        <f>980</f>
        <v>980.0</v>
      </c>
      <c r="U189" s="32" t="str">
        <f>"－"</f>
        <v>－</v>
      </c>
      <c r="V189" s="32" t="n">
        <f>2691060</f>
        <v>2691060.0</v>
      </c>
      <c r="W189" s="32" t="str">
        <f>"－"</f>
        <v>－</v>
      </c>
      <c r="X189" s="36" t="n">
        <f>13</f>
        <v>13.0</v>
      </c>
    </row>
    <row r="190">
      <c r="A190" s="27" t="s">
        <v>42</v>
      </c>
      <c r="B190" s="27" t="s">
        <v>613</v>
      </c>
      <c r="C190" s="27" t="s">
        <v>614</v>
      </c>
      <c r="D190" s="27" t="s">
        <v>615</v>
      </c>
      <c r="E190" s="28" t="s">
        <v>46</v>
      </c>
      <c r="F190" s="29" t="s">
        <v>46</v>
      </c>
      <c r="G190" s="30" t="s">
        <v>46</v>
      </c>
      <c r="H190" s="31"/>
      <c r="I190" s="31" t="s">
        <v>47</v>
      </c>
      <c r="J190" s="32" t="n">
        <v>10.0</v>
      </c>
      <c r="K190" s="33" t="n">
        <f>1390</f>
        <v>1390.0</v>
      </c>
      <c r="L190" s="34" t="s">
        <v>145</v>
      </c>
      <c r="M190" s="33" t="n">
        <f>1399</f>
        <v>1399.0</v>
      </c>
      <c r="N190" s="34" t="s">
        <v>443</v>
      </c>
      <c r="O190" s="33" t="n">
        <f>1371</f>
        <v>1371.0</v>
      </c>
      <c r="P190" s="34" t="s">
        <v>96</v>
      </c>
      <c r="Q190" s="33" t="n">
        <f>1371</f>
        <v>1371.0</v>
      </c>
      <c r="R190" s="34" t="s">
        <v>96</v>
      </c>
      <c r="S190" s="35" t="n">
        <f>1387.25</f>
        <v>1387.25</v>
      </c>
      <c r="T190" s="32" t="n">
        <f>190</f>
        <v>190.0</v>
      </c>
      <c r="U190" s="32" t="str">
        <f>"－"</f>
        <v>－</v>
      </c>
      <c r="V190" s="32" t="n">
        <f>264140</f>
        <v>264140.0</v>
      </c>
      <c r="W190" s="32" t="str">
        <f>"－"</f>
        <v>－</v>
      </c>
      <c r="X190" s="36" t="n">
        <f>4</f>
        <v>4.0</v>
      </c>
    </row>
    <row r="191">
      <c r="A191" s="27" t="s">
        <v>42</v>
      </c>
      <c r="B191" s="27" t="s">
        <v>616</v>
      </c>
      <c r="C191" s="27" t="s">
        <v>617</v>
      </c>
      <c r="D191" s="27" t="s">
        <v>618</v>
      </c>
      <c r="E191" s="28" t="s">
        <v>46</v>
      </c>
      <c r="F191" s="29" t="s">
        <v>46</v>
      </c>
      <c r="G191" s="30" t="s">
        <v>46</v>
      </c>
      <c r="H191" s="31"/>
      <c r="I191" s="31" t="s">
        <v>47</v>
      </c>
      <c r="J191" s="32" t="n">
        <v>100.0</v>
      </c>
      <c r="K191" s="33" t="n">
        <f>72</f>
        <v>72.0</v>
      </c>
      <c r="L191" s="34" t="s">
        <v>48</v>
      </c>
      <c r="M191" s="33" t="n">
        <f>73</f>
        <v>73.0</v>
      </c>
      <c r="N191" s="34" t="s">
        <v>114</v>
      </c>
      <c r="O191" s="33" t="n">
        <f>67</f>
        <v>67.0</v>
      </c>
      <c r="P191" s="34" t="s">
        <v>50</v>
      </c>
      <c r="Q191" s="33" t="n">
        <f>70</f>
        <v>70.0</v>
      </c>
      <c r="R191" s="34" t="s">
        <v>50</v>
      </c>
      <c r="S191" s="35" t="n">
        <f>70.81</f>
        <v>70.81</v>
      </c>
      <c r="T191" s="32" t="n">
        <f>318400</f>
        <v>318400.0</v>
      </c>
      <c r="U191" s="32" t="str">
        <f>"－"</f>
        <v>－</v>
      </c>
      <c r="V191" s="32" t="n">
        <f>22454300</f>
        <v>2.24543E7</v>
      </c>
      <c r="W191" s="32" t="str">
        <f>"－"</f>
        <v>－</v>
      </c>
      <c r="X191" s="36" t="n">
        <f>16</f>
        <v>16.0</v>
      </c>
    </row>
    <row r="192">
      <c r="A192" s="27" t="s">
        <v>42</v>
      </c>
      <c r="B192" s="27" t="s">
        <v>619</v>
      </c>
      <c r="C192" s="27" t="s">
        <v>620</v>
      </c>
      <c r="D192" s="27" t="s">
        <v>621</v>
      </c>
      <c r="E192" s="28" t="s">
        <v>46</v>
      </c>
      <c r="F192" s="29" t="s">
        <v>46</v>
      </c>
      <c r="G192" s="30" t="s">
        <v>46</v>
      </c>
      <c r="H192" s="31"/>
      <c r="I192" s="31" t="s">
        <v>47</v>
      </c>
      <c r="J192" s="32" t="n">
        <v>100.0</v>
      </c>
      <c r="K192" s="33" t="n">
        <f>80</f>
        <v>80.0</v>
      </c>
      <c r="L192" s="34" t="s">
        <v>48</v>
      </c>
      <c r="M192" s="33" t="n">
        <f>81</f>
        <v>81.0</v>
      </c>
      <c r="N192" s="34" t="s">
        <v>67</v>
      </c>
      <c r="O192" s="33" t="n">
        <f>77</f>
        <v>77.0</v>
      </c>
      <c r="P192" s="34" t="s">
        <v>443</v>
      </c>
      <c r="Q192" s="33" t="n">
        <f>77</f>
        <v>77.0</v>
      </c>
      <c r="R192" s="34" t="s">
        <v>50</v>
      </c>
      <c r="S192" s="35" t="n">
        <f>79.71</f>
        <v>79.71</v>
      </c>
      <c r="T192" s="32" t="n">
        <f>333300</f>
        <v>333300.0</v>
      </c>
      <c r="U192" s="32" t="str">
        <f>"－"</f>
        <v>－</v>
      </c>
      <c r="V192" s="32" t="n">
        <f>26284600</f>
        <v>2.62846E7</v>
      </c>
      <c r="W192" s="32" t="str">
        <f>"－"</f>
        <v>－</v>
      </c>
      <c r="X192" s="36" t="n">
        <f>17</f>
        <v>17.0</v>
      </c>
    </row>
    <row r="193">
      <c r="A193" s="27" t="s">
        <v>42</v>
      </c>
      <c r="B193" s="27" t="s">
        <v>622</v>
      </c>
      <c r="C193" s="27" t="s">
        <v>623</v>
      </c>
      <c r="D193" s="27" t="s">
        <v>624</v>
      </c>
      <c r="E193" s="28" t="s">
        <v>46</v>
      </c>
      <c r="F193" s="29" t="s">
        <v>46</v>
      </c>
      <c r="G193" s="30" t="s">
        <v>46</v>
      </c>
      <c r="H193" s="31"/>
      <c r="I193" s="31" t="s">
        <v>47</v>
      </c>
      <c r="J193" s="32" t="n">
        <v>10.0</v>
      </c>
      <c r="K193" s="33" t="n">
        <f>2099</f>
        <v>2099.0</v>
      </c>
      <c r="L193" s="34" t="s">
        <v>49</v>
      </c>
      <c r="M193" s="33" t="n">
        <f>2099</f>
        <v>2099.0</v>
      </c>
      <c r="N193" s="34" t="s">
        <v>49</v>
      </c>
      <c r="O193" s="33" t="n">
        <f>1820</f>
        <v>1820.0</v>
      </c>
      <c r="P193" s="34" t="s">
        <v>50</v>
      </c>
      <c r="Q193" s="33" t="n">
        <f>1820</f>
        <v>1820.0</v>
      </c>
      <c r="R193" s="34" t="s">
        <v>50</v>
      </c>
      <c r="S193" s="35" t="n">
        <f>2029.33</f>
        <v>2029.33</v>
      </c>
      <c r="T193" s="32" t="n">
        <f>250</f>
        <v>250.0</v>
      </c>
      <c r="U193" s="32" t="str">
        <f>"－"</f>
        <v>－</v>
      </c>
      <c r="V193" s="32" t="n">
        <f>487110</f>
        <v>487110.0</v>
      </c>
      <c r="W193" s="32" t="str">
        <f>"－"</f>
        <v>－</v>
      </c>
      <c r="X193" s="36" t="n">
        <f>6</f>
        <v>6.0</v>
      </c>
    </row>
    <row r="194">
      <c r="A194" s="27" t="s">
        <v>42</v>
      </c>
      <c r="B194" s="27" t="s">
        <v>625</v>
      </c>
      <c r="C194" s="27" t="s">
        <v>626</v>
      </c>
      <c r="D194" s="27" t="s">
        <v>627</v>
      </c>
      <c r="E194" s="28" t="s">
        <v>46</v>
      </c>
      <c r="F194" s="29" t="s">
        <v>46</v>
      </c>
      <c r="G194" s="30" t="s">
        <v>46</v>
      </c>
      <c r="H194" s="31"/>
      <c r="I194" s="31" t="s">
        <v>47</v>
      </c>
      <c r="J194" s="32" t="n">
        <v>10.0</v>
      </c>
      <c r="K194" s="33" t="n">
        <f>1710</f>
        <v>1710.0</v>
      </c>
      <c r="L194" s="34" t="s">
        <v>48</v>
      </c>
      <c r="M194" s="33" t="n">
        <f>1763</f>
        <v>1763.0</v>
      </c>
      <c r="N194" s="34" t="s">
        <v>49</v>
      </c>
      <c r="O194" s="33" t="n">
        <f>1537</f>
        <v>1537.0</v>
      </c>
      <c r="P194" s="34" t="s">
        <v>50</v>
      </c>
      <c r="Q194" s="33" t="n">
        <f>1543</f>
        <v>1543.0</v>
      </c>
      <c r="R194" s="34" t="s">
        <v>50</v>
      </c>
      <c r="S194" s="35" t="n">
        <f>1699.44</f>
        <v>1699.44</v>
      </c>
      <c r="T194" s="32" t="n">
        <f>99940</f>
        <v>99940.0</v>
      </c>
      <c r="U194" s="32" t="n">
        <f>10010</f>
        <v>10010.0</v>
      </c>
      <c r="V194" s="32" t="n">
        <f>167319110</f>
        <v>1.6731911E8</v>
      </c>
      <c r="W194" s="32" t="n">
        <f>17064300</f>
        <v>1.70643E7</v>
      </c>
      <c r="X194" s="36" t="n">
        <f>18</f>
        <v>18.0</v>
      </c>
    </row>
    <row r="195">
      <c r="A195" s="27" t="s">
        <v>42</v>
      </c>
      <c r="B195" s="27" t="s">
        <v>628</v>
      </c>
      <c r="C195" s="27" t="s">
        <v>629</v>
      </c>
      <c r="D195" s="27" t="s">
        <v>630</v>
      </c>
      <c r="E195" s="28" t="s">
        <v>46</v>
      </c>
      <c r="F195" s="29" t="s">
        <v>46</v>
      </c>
      <c r="G195" s="30" t="s">
        <v>46</v>
      </c>
      <c r="H195" s="31"/>
      <c r="I195" s="31" t="s">
        <v>47</v>
      </c>
      <c r="J195" s="32" t="n">
        <v>10.0</v>
      </c>
      <c r="K195" s="33" t="n">
        <f>339</f>
        <v>339.0</v>
      </c>
      <c r="L195" s="34" t="s">
        <v>48</v>
      </c>
      <c r="M195" s="33" t="n">
        <f>367</f>
        <v>367.0</v>
      </c>
      <c r="N195" s="34" t="s">
        <v>60</v>
      </c>
      <c r="O195" s="33" t="n">
        <f>302</f>
        <v>302.0</v>
      </c>
      <c r="P195" s="34" t="s">
        <v>50</v>
      </c>
      <c r="Q195" s="33" t="n">
        <f>305</f>
        <v>305.0</v>
      </c>
      <c r="R195" s="34" t="s">
        <v>50</v>
      </c>
      <c r="S195" s="35" t="n">
        <f>343.06</f>
        <v>343.06</v>
      </c>
      <c r="T195" s="32" t="n">
        <f>29571010</f>
        <v>2.957101E7</v>
      </c>
      <c r="U195" s="32" t="n">
        <f>9350980</f>
        <v>9350980.0</v>
      </c>
      <c r="V195" s="32" t="n">
        <f>10059392198</f>
        <v>1.0059392198E10</v>
      </c>
      <c r="W195" s="32" t="n">
        <f>3221806348</f>
        <v>3.221806348E9</v>
      </c>
      <c r="X195" s="36" t="n">
        <f>18</f>
        <v>18.0</v>
      </c>
    </row>
    <row r="196">
      <c r="A196" s="27" t="s">
        <v>42</v>
      </c>
      <c r="B196" s="27" t="s">
        <v>631</v>
      </c>
      <c r="C196" s="27" t="s">
        <v>632</v>
      </c>
      <c r="D196" s="27" t="s">
        <v>633</v>
      </c>
      <c r="E196" s="28" t="s">
        <v>46</v>
      </c>
      <c r="F196" s="29" t="s">
        <v>46</v>
      </c>
      <c r="G196" s="30" t="s">
        <v>46</v>
      </c>
      <c r="H196" s="31"/>
      <c r="I196" s="31" t="s">
        <v>634</v>
      </c>
      <c r="J196" s="32" t="n">
        <v>1.0</v>
      </c>
      <c r="K196" s="33" t="n">
        <f>11040</f>
        <v>11040.0</v>
      </c>
      <c r="L196" s="34" t="s">
        <v>48</v>
      </c>
      <c r="M196" s="33" t="n">
        <f>12500</f>
        <v>12500.0</v>
      </c>
      <c r="N196" s="34" t="s">
        <v>178</v>
      </c>
      <c r="O196" s="33" t="n">
        <f>10580</f>
        <v>10580.0</v>
      </c>
      <c r="P196" s="34" t="s">
        <v>50</v>
      </c>
      <c r="Q196" s="33" t="n">
        <f>10670</f>
        <v>10670.0</v>
      </c>
      <c r="R196" s="34" t="s">
        <v>50</v>
      </c>
      <c r="S196" s="35" t="n">
        <f>11612.22</f>
        <v>11612.22</v>
      </c>
      <c r="T196" s="32" t="n">
        <f>7851</f>
        <v>7851.0</v>
      </c>
      <c r="U196" s="32" t="str">
        <f>"－"</f>
        <v>－</v>
      </c>
      <c r="V196" s="32" t="n">
        <f>90563360</f>
        <v>9.056336E7</v>
      </c>
      <c r="W196" s="32" t="str">
        <f>"－"</f>
        <v>－</v>
      </c>
      <c r="X196" s="36" t="n">
        <f>18</f>
        <v>18.0</v>
      </c>
    </row>
    <row r="197">
      <c r="A197" s="27" t="s">
        <v>42</v>
      </c>
      <c r="B197" s="27" t="s">
        <v>635</v>
      </c>
      <c r="C197" s="27" t="s">
        <v>636</v>
      </c>
      <c r="D197" s="27" t="s">
        <v>637</v>
      </c>
      <c r="E197" s="28" t="s">
        <v>46</v>
      </c>
      <c r="F197" s="29" t="s">
        <v>46</v>
      </c>
      <c r="G197" s="30" t="s">
        <v>46</v>
      </c>
      <c r="H197" s="31"/>
      <c r="I197" s="31" t="s">
        <v>634</v>
      </c>
      <c r="J197" s="32" t="n">
        <v>1.0</v>
      </c>
      <c r="K197" s="33" t="n">
        <f>6680</f>
        <v>6680.0</v>
      </c>
      <c r="L197" s="34" t="s">
        <v>48</v>
      </c>
      <c r="M197" s="33" t="n">
        <f>6680</f>
        <v>6680.0</v>
      </c>
      <c r="N197" s="34" t="s">
        <v>48</v>
      </c>
      <c r="O197" s="33" t="n">
        <f>5990</f>
        <v>5990.0</v>
      </c>
      <c r="P197" s="34" t="s">
        <v>178</v>
      </c>
      <c r="Q197" s="33" t="n">
        <f>6420</f>
        <v>6420.0</v>
      </c>
      <c r="R197" s="34" t="s">
        <v>50</v>
      </c>
      <c r="S197" s="35" t="n">
        <f>6245.56</f>
        <v>6245.56</v>
      </c>
      <c r="T197" s="32" t="n">
        <f>15449</f>
        <v>15449.0</v>
      </c>
      <c r="U197" s="32" t="str">
        <f>"－"</f>
        <v>－</v>
      </c>
      <c r="V197" s="32" t="n">
        <f>97958910</f>
        <v>9.795891E7</v>
      </c>
      <c r="W197" s="32" t="str">
        <f>"－"</f>
        <v>－</v>
      </c>
      <c r="X197" s="36" t="n">
        <f>18</f>
        <v>18.0</v>
      </c>
    </row>
    <row r="198">
      <c r="A198" s="27" t="s">
        <v>42</v>
      </c>
      <c r="B198" s="27" t="s">
        <v>638</v>
      </c>
      <c r="C198" s="27" t="s">
        <v>639</v>
      </c>
      <c r="D198" s="27" t="s">
        <v>640</v>
      </c>
      <c r="E198" s="28" t="s">
        <v>46</v>
      </c>
      <c r="F198" s="29" t="s">
        <v>46</v>
      </c>
      <c r="G198" s="30" t="s">
        <v>46</v>
      </c>
      <c r="H198" s="31"/>
      <c r="I198" s="31" t="s">
        <v>634</v>
      </c>
      <c r="J198" s="32" t="n">
        <v>1.0</v>
      </c>
      <c r="K198" s="33" t="n">
        <f>9080</f>
        <v>9080.0</v>
      </c>
      <c r="L198" s="34" t="s">
        <v>48</v>
      </c>
      <c r="M198" s="33" t="n">
        <f>10920</f>
        <v>10920.0</v>
      </c>
      <c r="N198" s="34" t="s">
        <v>178</v>
      </c>
      <c r="O198" s="33" t="n">
        <f>8100</f>
        <v>8100.0</v>
      </c>
      <c r="P198" s="34" t="s">
        <v>50</v>
      </c>
      <c r="Q198" s="33" t="n">
        <f>8120</f>
        <v>8120.0</v>
      </c>
      <c r="R198" s="34" t="s">
        <v>50</v>
      </c>
      <c r="S198" s="35" t="n">
        <f>9927.22</f>
        <v>9927.22</v>
      </c>
      <c r="T198" s="32" t="n">
        <f>2625</f>
        <v>2625.0</v>
      </c>
      <c r="U198" s="32" t="str">
        <f>"－"</f>
        <v>－</v>
      </c>
      <c r="V198" s="32" t="n">
        <f>25177600</f>
        <v>2.51776E7</v>
      </c>
      <c r="W198" s="32" t="str">
        <f>"－"</f>
        <v>－</v>
      </c>
      <c r="X198" s="36" t="n">
        <f>18</f>
        <v>18.0</v>
      </c>
    </row>
    <row r="199">
      <c r="A199" s="27" t="s">
        <v>42</v>
      </c>
      <c r="B199" s="27" t="s">
        <v>641</v>
      </c>
      <c r="C199" s="27" t="s">
        <v>642</v>
      </c>
      <c r="D199" s="27" t="s">
        <v>643</v>
      </c>
      <c r="E199" s="28" t="s">
        <v>46</v>
      </c>
      <c r="F199" s="29" t="s">
        <v>46</v>
      </c>
      <c r="G199" s="30" t="s">
        <v>46</v>
      </c>
      <c r="H199" s="31"/>
      <c r="I199" s="31" t="s">
        <v>634</v>
      </c>
      <c r="J199" s="32" t="n">
        <v>1.0</v>
      </c>
      <c r="K199" s="33" t="n">
        <f>9550</f>
        <v>9550.0</v>
      </c>
      <c r="L199" s="34" t="s">
        <v>48</v>
      </c>
      <c r="M199" s="33" t="n">
        <f>9750</f>
        <v>9750.0</v>
      </c>
      <c r="N199" s="34" t="s">
        <v>50</v>
      </c>
      <c r="O199" s="33" t="n">
        <f>8900</f>
        <v>8900.0</v>
      </c>
      <c r="P199" s="34" t="s">
        <v>71</v>
      </c>
      <c r="Q199" s="33" t="n">
        <f>9720</f>
        <v>9720.0</v>
      </c>
      <c r="R199" s="34" t="s">
        <v>50</v>
      </c>
      <c r="S199" s="35" t="n">
        <f>9241.11</f>
        <v>9241.11</v>
      </c>
      <c r="T199" s="32" t="n">
        <f>30540</f>
        <v>30540.0</v>
      </c>
      <c r="U199" s="32" t="str">
        <f>"－"</f>
        <v>－</v>
      </c>
      <c r="V199" s="32" t="n">
        <f>286373900</f>
        <v>2.863739E8</v>
      </c>
      <c r="W199" s="32" t="str">
        <f>"－"</f>
        <v>－</v>
      </c>
      <c r="X199" s="36" t="n">
        <f>18</f>
        <v>18.0</v>
      </c>
    </row>
    <row r="200">
      <c r="A200" s="27" t="s">
        <v>42</v>
      </c>
      <c r="B200" s="27" t="s">
        <v>644</v>
      </c>
      <c r="C200" s="27" t="s">
        <v>645</v>
      </c>
      <c r="D200" s="27" t="s">
        <v>646</v>
      </c>
      <c r="E200" s="28" t="s">
        <v>46</v>
      </c>
      <c r="F200" s="29" t="s">
        <v>46</v>
      </c>
      <c r="G200" s="30" t="s">
        <v>46</v>
      </c>
      <c r="H200" s="31"/>
      <c r="I200" s="31" t="s">
        <v>634</v>
      </c>
      <c r="J200" s="32" t="n">
        <v>1.0</v>
      </c>
      <c r="K200" s="33" t="n">
        <f>560</f>
        <v>560.0</v>
      </c>
      <c r="L200" s="34" t="s">
        <v>48</v>
      </c>
      <c r="M200" s="33" t="n">
        <f>734</f>
        <v>734.0</v>
      </c>
      <c r="N200" s="34" t="s">
        <v>50</v>
      </c>
      <c r="O200" s="33" t="n">
        <f>472</f>
        <v>472.0</v>
      </c>
      <c r="P200" s="34" t="s">
        <v>164</v>
      </c>
      <c r="Q200" s="33" t="n">
        <f>734</f>
        <v>734.0</v>
      </c>
      <c r="R200" s="34" t="s">
        <v>50</v>
      </c>
      <c r="S200" s="35" t="n">
        <f>525.44</f>
        <v>525.44</v>
      </c>
      <c r="T200" s="32" t="n">
        <f>1579491</f>
        <v>1579491.0</v>
      </c>
      <c r="U200" s="32" t="str">
        <f>"－"</f>
        <v>－</v>
      </c>
      <c r="V200" s="32" t="n">
        <f>905584676</f>
        <v>9.05584676E8</v>
      </c>
      <c r="W200" s="32" t="str">
        <f>"－"</f>
        <v>－</v>
      </c>
      <c r="X200" s="36" t="n">
        <f>18</f>
        <v>18.0</v>
      </c>
    </row>
    <row r="201">
      <c r="A201" s="27" t="s">
        <v>42</v>
      </c>
      <c r="B201" s="27" t="s">
        <v>647</v>
      </c>
      <c r="C201" s="27" t="s">
        <v>648</v>
      </c>
      <c r="D201" s="27" t="s">
        <v>649</v>
      </c>
      <c r="E201" s="28" t="s">
        <v>46</v>
      </c>
      <c r="F201" s="29" t="s">
        <v>46</v>
      </c>
      <c r="G201" s="30" t="s">
        <v>46</v>
      </c>
      <c r="H201" s="31"/>
      <c r="I201" s="31" t="s">
        <v>634</v>
      </c>
      <c r="J201" s="32" t="n">
        <v>1.0</v>
      </c>
      <c r="K201" s="33" t="n">
        <f>14280</f>
        <v>14280.0</v>
      </c>
      <c r="L201" s="34" t="s">
        <v>48</v>
      </c>
      <c r="M201" s="33" t="n">
        <f>16300</f>
        <v>16300.0</v>
      </c>
      <c r="N201" s="34" t="s">
        <v>96</v>
      </c>
      <c r="O201" s="33" t="n">
        <f>13800</f>
        <v>13800.0</v>
      </c>
      <c r="P201" s="34" t="s">
        <v>97</v>
      </c>
      <c r="Q201" s="33" t="n">
        <f>15190</f>
        <v>15190.0</v>
      </c>
      <c r="R201" s="34" t="s">
        <v>50</v>
      </c>
      <c r="S201" s="35" t="n">
        <f>14770.56</f>
        <v>14770.56</v>
      </c>
      <c r="T201" s="32" t="n">
        <f>48503</f>
        <v>48503.0</v>
      </c>
      <c r="U201" s="32" t="str">
        <f>"－"</f>
        <v>－</v>
      </c>
      <c r="V201" s="32" t="n">
        <f>745249930</f>
        <v>7.4524993E8</v>
      </c>
      <c r="W201" s="32" t="str">
        <f>"－"</f>
        <v>－</v>
      </c>
      <c r="X201" s="36" t="n">
        <f>18</f>
        <v>18.0</v>
      </c>
    </row>
    <row r="202">
      <c r="A202" s="27" t="s">
        <v>42</v>
      </c>
      <c r="B202" s="27" t="s">
        <v>650</v>
      </c>
      <c r="C202" s="27" t="s">
        <v>651</v>
      </c>
      <c r="D202" s="27" t="s">
        <v>652</v>
      </c>
      <c r="E202" s="28" t="s">
        <v>46</v>
      </c>
      <c r="F202" s="29" t="s">
        <v>46</v>
      </c>
      <c r="G202" s="30" t="s">
        <v>46</v>
      </c>
      <c r="H202" s="31"/>
      <c r="I202" s="31" t="s">
        <v>634</v>
      </c>
      <c r="J202" s="32" t="n">
        <v>1.0</v>
      </c>
      <c r="K202" s="33" t="n">
        <f>6730</f>
        <v>6730.0</v>
      </c>
      <c r="L202" s="34" t="s">
        <v>48</v>
      </c>
      <c r="M202" s="33" t="n">
        <f>6830</f>
        <v>6830.0</v>
      </c>
      <c r="N202" s="34" t="s">
        <v>97</v>
      </c>
      <c r="O202" s="33" t="n">
        <f>6310</f>
        <v>6310.0</v>
      </c>
      <c r="P202" s="34" t="s">
        <v>96</v>
      </c>
      <c r="Q202" s="33" t="n">
        <f>6530</f>
        <v>6530.0</v>
      </c>
      <c r="R202" s="34" t="s">
        <v>50</v>
      </c>
      <c r="S202" s="35" t="n">
        <f>6600.56</f>
        <v>6600.56</v>
      </c>
      <c r="T202" s="32" t="n">
        <f>6933</f>
        <v>6933.0</v>
      </c>
      <c r="U202" s="32" t="str">
        <f>"－"</f>
        <v>－</v>
      </c>
      <c r="V202" s="32" t="n">
        <f>45066270</f>
        <v>4.506627E7</v>
      </c>
      <c r="W202" s="32" t="str">
        <f>"－"</f>
        <v>－</v>
      </c>
      <c r="X202" s="36" t="n">
        <f>18</f>
        <v>18.0</v>
      </c>
    </row>
    <row r="203">
      <c r="A203" s="27" t="s">
        <v>42</v>
      </c>
      <c r="B203" s="27" t="s">
        <v>653</v>
      </c>
      <c r="C203" s="27" t="s">
        <v>654</v>
      </c>
      <c r="D203" s="27" t="s">
        <v>655</v>
      </c>
      <c r="E203" s="28" t="s">
        <v>46</v>
      </c>
      <c r="F203" s="29" t="s">
        <v>46</v>
      </c>
      <c r="G203" s="30" t="s">
        <v>46</v>
      </c>
      <c r="H203" s="31"/>
      <c r="I203" s="31" t="s">
        <v>634</v>
      </c>
      <c r="J203" s="32" t="n">
        <v>1.0</v>
      </c>
      <c r="K203" s="33" t="n">
        <f>1138</f>
        <v>1138.0</v>
      </c>
      <c r="L203" s="34" t="s">
        <v>48</v>
      </c>
      <c r="M203" s="33" t="n">
        <f>1315</f>
        <v>1315.0</v>
      </c>
      <c r="N203" s="34" t="s">
        <v>164</v>
      </c>
      <c r="O203" s="33" t="n">
        <f>960</f>
        <v>960.0</v>
      </c>
      <c r="P203" s="34" t="s">
        <v>50</v>
      </c>
      <c r="Q203" s="33" t="n">
        <f>964</f>
        <v>964.0</v>
      </c>
      <c r="R203" s="34" t="s">
        <v>50</v>
      </c>
      <c r="S203" s="35" t="n">
        <f>1176.44</f>
        <v>1176.44</v>
      </c>
      <c r="T203" s="32" t="n">
        <f>13473128</f>
        <v>1.3473128E7</v>
      </c>
      <c r="U203" s="32" t="n">
        <f>1367</f>
        <v>1367.0</v>
      </c>
      <c r="V203" s="32" t="n">
        <f>15338998850</f>
        <v>1.533899885E10</v>
      </c>
      <c r="W203" s="32" t="n">
        <f>1692399</f>
        <v>1692399.0</v>
      </c>
      <c r="X203" s="36" t="n">
        <f>18</f>
        <v>18.0</v>
      </c>
    </row>
    <row r="204">
      <c r="A204" s="27" t="s">
        <v>42</v>
      </c>
      <c r="B204" s="27" t="s">
        <v>656</v>
      </c>
      <c r="C204" s="27" t="s">
        <v>657</v>
      </c>
      <c r="D204" s="27" t="s">
        <v>658</v>
      </c>
      <c r="E204" s="28" t="s">
        <v>46</v>
      </c>
      <c r="F204" s="29" t="s">
        <v>46</v>
      </c>
      <c r="G204" s="30" t="s">
        <v>46</v>
      </c>
      <c r="H204" s="31"/>
      <c r="I204" s="31" t="s">
        <v>634</v>
      </c>
      <c r="J204" s="32" t="n">
        <v>1.0</v>
      </c>
      <c r="K204" s="33" t="n">
        <f>7300</f>
        <v>7300.0</v>
      </c>
      <c r="L204" s="34" t="s">
        <v>48</v>
      </c>
      <c r="M204" s="33" t="n">
        <f>7900</f>
        <v>7900.0</v>
      </c>
      <c r="N204" s="34" t="s">
        <v>50</v>
      </c>
      <c r="O204" s="33" t="n">
        <f>6690</f>
        <v>6690.0</v>
      </c>
      <c r="P204" s="34" t="s">
        <v>164</v>
      </c>
      <c r="Q204" s="33" t="n">
        <f>7860</f>
        <v>7860.0</v>
      </c>
      <c r="R204" s="34" t="s">
        <v>50</v>
      </c>
      <c r="S204" s="35" t="n">
        <f>7148.33</f>
        <v>7148.33</v>
      </c>
      <c r="T204" s="32" t="n">
        <f>231023</f>
        <v>231023.0</v>
      </c>
      <c r="U204" s="32" t="str">
        <f>"－"</f>
        <v>－</v>
      </c>
      <c r="V204" s="32" t="n">
        <f>1674240650</f>
        <v>1.67424065E9</v>
      </c>
      <c r="W204" s="32" t="str">
        <f>"－"</f>
        <v>－</v>
      </c>
      <c r="X204" s="36" t="n">
        <f>18</f>
        <v>18.0</v>
      </c>
    </row>
    <row r="205">
      <c r="A205" s="27" t="s">
        <v>42</v>
      </c>
      <c r="B205" s="27" t="s">
        <v>659</v>
      </c>
      <c r="C205" s="27" t="s">
        <v>660</v>
      </c>
      <c r="D205" s="27" t="s">
        <v>661</v>
      </c>
      <c r="E205" s="28" t="s">
        <v>46</v>
      </c>
      <c r="F205" s="29" t="s">
        <v>46</v>
      </c>
      <c r="G205" s="30" t="s">
        <v>46</v>
      </c>
      <c r="H205" s="31"/>
      <c r="I205" s="31" t="s">
        <v>634</v>
      </c>
      <c r="J205" s="32" t="n">
        <v>1.0</v>
      </c>
      <c r="K205" s="33" t="n">
        <f>24900</f>
        <v>24900.0</v>
      </c>
      <c r="L205" s="34" t="s">
        <v>48</v>
      </c>
      <c r="M205" s="33" t="n">
        <f>26900</f>
        <v>26900.0</v>
      </c>
      <c r="N205" s="34" t="s">
        <v>178</v>
      </c>
      <c r="O205" s="33" t="n">
        <f>19700</f>
        <v>19700.0</v>
      </c>
      <c r="P205" s="34" t="s">
        <v>50</v>
      </c>
      <c r="Q205" s="33" t="n">
        <f>19840</f>
        <v>19840.0</v>
      </c>
      <c r="R205" s="34" t="s">
        <v>50</v>
      </c>
      <c r="S205" s="35" t="n">
        <f>25397.22</f>
        <v>25397.22</v>
      </c>
      <c r="T205" s="32" t="n">
        <f>277384</f>
        <v>277384.0</v>
      </c>
      <c r="U205" s="32" t="n">
        <f>4467</f>
        <v>4467.0</v>
      </c>
      <c r="V205" s="32" t="n">
        <f>6503849160</f>
        <v>6.50384916E9</v>
      </c>
      <c r="W205" s="32" t="n">
        <f>104742540</f>
        <v>1.0474254E8</v>
      </c>
      <c r="X205" s="36" t="n">
        <f>18</f>
        <v>18.0</v>
      </c>
    </row>
    <row r="206">
      <c r="A206" s="27" t="s">
        <v>42</v>
      </c>
      <c r="B206" s="27" t="s">
        <v>662</v>
      </c>
      <c r="C206" s="27" t="s">
        <v>663</v>
      </c>
      <c r="D206" s="27" t="s">
        <v>664</v>
      </c>
      <c r="E206" s="28" t="s">
        <v>46</v>
      </c>
      <c r="F206" s="29" t="s">
        <v>46</v>
      </c>
      <c r="G206" s="30" t="s">
        <v>46</v>
      </c>
      <c r="H206" s="31"/>
      <c r="I206" s="31" t="s">
        <v>634</v>
      </c>
      <c r="J206" s="32" t="n">
        <v>1.0</v>
      </c>
      <c r="K206" s="33" t="n">
        <f>4345</f>
        <v>4345.0</v>
      </c>
      <c r="L206" s="34" t="s">
        <v>48</v>
      </c>
      <c r="M206" s="33" t="n">
        <f>4845</f>
        <v>4845.0</v>
      </c>
      <c r="N206" s="34" t="s">
        <v>50</v>
      </c>
      <c r="O206" s="33" t="n">
        <f>4160</f>
        <v>4160.0</v>
      </c>
      <c r="P206" s="34" t="s">
        <v>49</v>
      </c>
      <c r="Q206" s="33" t="n">
        <f>4795</f>
        <v>4795.0</v>
      </c>
      <c r="R206" s="34" t="s">
        <v>50</v>
      </c>
      <c r="S206" s="35" t="n">
        <f>4281.67</f>
        <v>4281.67</v>
      </c>
      <c r="T206" s="32" t="n">
        <f>414670</f>
        <v>414670.0</v>
      </c>
      <c r="U206" s="32" t="str">
        <f>"－"</f>
        <v>－</v>
      </c>
      <c r="V206" s="32" t="n">
        <f>1845733875</f>
        <v>1.845733875E9</v>
      </c>
      <c r="W206" s="32" t="str">
        <f>"－"</f>
        <v>－</v>
      </c>
      <c r="X206" s="36" t="n">
        <f>18</f>
        <v>18.0</v>
      </c>
    </row>
    <row r="207">
      <c r="A207" s="27" t="s">
        <v>42</v>
      </c>
      <c r="B207" s="27" t="s">
        <v>665</v>
      </c>
      <c r="C207" s="27" t="s">
        <v>666</v>
      </c>
      <c r="D207" s="27" t="s">
        <v>667</v>
      </c>
      <c r="E207" s="28" t="s">
        <v>46</v>
      </c>
      <c r="F207" s="29" t="s">
        <v>46</v>
      </c>
      <c r="G207" s="30" t="s">
        <v>46</v>
      </c>
      <c r="H207" s="31"/>
      <c r="I207" s="31" t="s">
        <v>634</v>
      </c>
      <c r="J207" s="32" t="n">
        <v>1.0</v>
      </c>
      <c r="K207" s="33" t="n">
        <f>8760</f>
        <v>8760.0</v>
      </c>
      <c r="L207" s="34" t="s">
        <v>48</v>
      </c>
      <c r="M207" s="33" t="n">
        <f>9230</f>
        <v>9230.0</v>
      </c>
      <c r="N207" s="34" t="s">
        <v>97</v>
      </c>
      <c r="O207" s="33" t="n">
        <f>7590</f>
        <v>7590.0</v>
      </c>
      <c r="P207" s="34" t="s">
        <v>50</v>
      </c>
      <c r="Q207" s="33" t="n">
        <f>7680</f>
        <v>7680.0</v>
      </c>
      <c r="R207" s="34" t="s">
        <v>50</v>
      </c>
      <c r="S207" s="35" t="n">
        <f>8822.22</f>
        <v>8822.22</v>
      </c>
      <c r="T207" s="32" t="n">
        <f>156690</f>
        <v>156690.0</v>
      </c>
      <c r="U207" s="32" t="n">
        <f>24102</f>
        <v>24102.0</v>
      </c>
      <c r="V207" s="32" t="n">
        <f>1370464910</f>
        <v>1.37046491E9</v>
      </c>
      <c r="W207" s="32" t="n">
        <f>211479810</f>
        <v>2.1147981E8</v>
      </c>
      <c r="X207" s="36" t="n">
        <f>18</f>
        <v>18.0</v>
      </c>
    </row>
    <row r="208">
      <c r="A208" s="27" t="s">
        <v>42</v>
      </c>
      <c r="B208" s="27" t="s">
        <v>668</v>
      </c>
      <c r="C208" s="27" t="s">
        <v>669</v>
      </c>
      <c r="D208" s="27" t="s">
        <v>670</v>
      </c>
      <c r="E208" s="28" t="s">
        <v>46</v>
      </c>
      <c r="F208" s="29" t="s">
        <v>46</v>
      </c>
      <c r="G208" s="30" t="s">
        <v>46</v>
      </c>
      <c r="H208" s="31"/>
      <c r="I208" s="31" t="s">
        <v>634</v>
      </c>
      <c r="J208" s="32" t="n">
        <v>1.0</v>
      </c>
      <c r="K208" s="33" t="n">
        <f>12050</f>
        <v>12050.0</v>
      </c>
      <c r="L208" s="34" t="s">
        <v>48</v>
      </c>
      <c r="M208" s="33" t="n">
        <f>12500</f>
        <v>12500.0</v>
      </c>
      <c r="N208" s="34" t="s">
        <v>145</v>
      </c>
      <c r="O208" s="33" t="n">
        <f>11500</f>
        <v>11500.0</v>
      </c>
      <c r="P208" s="34" t="s">
        <v>50</v>
      </c>
      <c r="Q208" s="33" t="n">
        <f>11590</f>
        <v>11590.0</v>
      </c>
      <c r="R208" s="34" t="s">
        <v>50</v>
      </c>
      <c r="S208" s="35" t="n">
        <f>12124.38</f>
        <v>12124.38</v>
      </c>
      <c r="T208" s="32" t="n">
        <f>2759</f>
        <v>2759.0</v>
      </c>
      <c r="U208" s="32" t="str">
        <f>"－"</f>
        <v>－</v>
      </c>
      <c r="V208" s="32" t="n">
        <f>32777240</f>
        <v>3.277724E7</v>
      </c>
      <c r="W208" s="32" t="str">
        <f>"－"</f>
        <v>－</v>
      </c>
      <c r="X208" s="36" t="n">
        <f>16</f>
        <v>16.0</v>
      </c>
    </row>
    <row r="209">
      <c r="A209" s="27" t="s">
        <v>42</v>
      </c>
      <c r="B209" s="27" t="s">
        <v>671</v>
      </c>
      <c r="C209" s="27" t="s">
        <v>672</v>
      </c>
      <c r="D209" s="27" t="s">
        <v>673</v>
      </c>
      <c r="E209" s="28" t="s">
        <v>46</v>
      </c>
      <c r="F209" s="29" t="s">
        <v>46</v>
      </c>
      <c r="G209" s="30" t="s">
        <v>46</v>
      </c>
      <c r="H209" s="31"/>
      <c r="I209" s="31" t="s">
        <v>634</v>
      </c>
      <c r="J209" s="32" t="n">
        <v>1.0</v>
      </c>
      <c r="K209" s="33" t="n">
        <f>14760</f>
        <v>14760.0</v>
      </c>
      <c r="L209" s="34" t="s">
        <v>48</v>
      </c>
      <c r="M209" s="33" t="n">
        <f>15600</f>
        <v>15600.0</v>
      </c>
      <c r="N209" s="34" t="s">
        <v>60</v>
      </c>
      <c r="O209" s="33" t="n">
        <f>13290</f>
        <v>13290.0</v>
      </c>
      <c r="P209" s="34" t="s">
        <v>50</v>
      </c>
      <c r="Q209" s="33" t="n">
        <f>13680</f>
        <v>13680.0</v>
      </c>
      <c r="R209" s="34" t="s">
        <v>50</v>
      </c>
      <c r="S209" s="35" t="n">
        <f>15058.33</f>
        <v>15058.33</v>
      </c>
      <c r="T209" s="32" t="n">
        <f>37207</f>
        <v>37207.0</v>
      </c>
      <c r="U209" s="32" t="n">
        <f>13500</f>
        <v>13500.0</v>
      </c>
      <c r="V209" s="32" t="n">
        <f>550216500</f>
        <v>5.502165E8</v>
      </c>
      <c r="W209" s="32" t="n">
        <f>198990000</f>
        <v>1.9899E8</v>
      </c>
      <c r="X209" s="36" t="n">
        <f>18</f>
        <v>18.0</v>
      </c>
    </row>
    <row r="210">
      <c r="A210" s="27" t="s">
        <v>42</v>
      </c>
      <c r="B210" s="27" t="s">
        <v>674</v>
      </c>
      <c r="C210" s="27" t="s">
        <v>675</v>
      </c>
      <c r="D210" s="27" t="s">
        <v>676</v>
      </c>
      <c r="E210" s="28" t="s">
        <v>46</v>
      </c>
      <c r="F210" s="29" t="s">
        <v>46</v>
      </c>
      <c r="G210" s="30" t="s">
        <v>46</v>
      </c>
      <c r="H210" s="31"/>
      <c r="I210" s="31" t="s">
        <v>634</v>
      </c>
      <c r="J210" s="32" t="n">
        <v>1.0</v>
      </c>
      <c r="K210" s="33" t="n">
        <f>14000</f>
        <v>14000.0</v>
      </c>
      <c r="L210" s="34" t="s">
        <v>48</v>
      </c>
      <c r="M210" s="33" t="n">
        <f>14500</f>
        <v>14500.0</v>
      </c>
      <c r="N210" s="34" t="s">
        <v>164</v>
      </c>
      <c r="O210" s="33" t="n">
        <f>13200</f>
        <v>13200.0</v>
      </c>
      <c r="P210" s="34" t="s">
        <v>50</v>
      </c>
      <c r="Q210" s="33" t="n">
        <f>13290</f>
        <v>13290.0</v>
      </c>
      <c r="R210" s="34" t="s">
        <v>50</v>
      </c>
      <c r="S210" s="35" t="n">
        <f>14027.06</f>
        <v>14027.06</v>
      </c>
      <c r="T210" s="32" t="n">
        <f>574</f>
        <v>574.0</v>
      </c>
      <c r="U210" s="32" t="str">
        <f>"－"</f>
        <v>－</v>
      </c>
      <c r="V210" s="32" t="n">
        <f>7996470</f>
        <v>7996470.0</v>
      </c>
      <c r="W210" s="32" t="str">
        <f>"－"</f>
        <v>－</v>
      </c>
      <c r="X210" s="36" t="n">
        <f>17</f>
        <v>17.0</v>
      </c>
    </row>
    <row r="211">
      <c r="A211" s="27" t="s">
        <v>42</v>
      </c>
      <c r="B211" s="27" t="s">
        <v>677</v>
      </c>
      <c r="C211" s="27" t="s">
        <v>678</v>
      </c>
      <c r="D211" s="27" t="s">
        <v>679</v>
      </c>
      <c r="E211" s="28" t="s">
        <v>46</v>
      </c>
      <c r="F211" s="29" t="s">
        <v>46</v>
      </c>
      <c r="G211" s="30" t="s">
        <v>46</v>
      </c>
      <c r="H211" s="31"/>
      <c r="I211" s="31" t="s">
        <v>634</v>
      </c>
      <c r="J211" s="32" t="n">
        <v>1.0</v>
      </c>
      <c r="K211" s="33" t="n">
        <f>10070</f>
        <v>10070.0</v>
      </c>
      <c r="L211" s="34" t="s">
        <v>48</v>
      </c>
      <c r="M211" s="33" t="n">
        <f>10860</f>
        <v>10860.0</v>
      </c>
      <c r="N211" s="34" t="s">
        <v>71</v>
      </c>
      <c r="O211" s="33" t="n">
        <f>9100</f>
        <v>9100.0</v>
      </c>
      <c r="P211" s="34" t="s">
        <v>50</v>
      </c>
      <c r="Q211" s="33" t="n">
        <f>9110</f>
        <v>9110.0</v>
      </c>
      <c r="R211" s="34" t="s">
        <v>50</v>
      </c>
      <c r="S211" s="35" t="n">
        <f>10316.67</f>
        <v>10316.67</v>
      </c>
      <c r="T211" s="32" t="n">
        <f>14508</f>
        <v>14508.0</v>
      </c>
      <c r="U211" s="32" t="n">
        <f>25</f>
        <v>25.0</v>
      </c>
      <c r="V211" s="32" t="n">
        <f>147924450</f>
        <v>1.4792445E8</v>
      </c>
      <c r="W211" s="32" t="n">
        <f>246250</f>
        <v>246250.0</v>
      </c>
      <c r="X211" s="36" t="n">
        <f>18</f>
        <v>18.0</v>
      </c>
    </row>
    <row r="212">
      <c r="A212" s="27" t="s">
        <v>42</v>
      </c>
      <c r="B212" s="27" t="s">
        <v>680</v>
      </c>
      <c r="C212" s="27" t="s">
        <v>681</v>
      </c>
      <c r="D212" s="27" t="s">
        <v>682</v>
      </c>
      <c r="E212" s="28" t="s">
        <v>46</v>
      </c>
      <c r="F212" s="29" t="s">
        <v>46</v>
      </c>
      <c r="G212" s="30" t="s">
        <v>46</v>
      </c>
      <c r="H212" s="31"/>
      <c r="I212" s="31" t="s">
        <v>634</v>
      </c>
      <c r="J212" s="32" t="n">
        <v>1.0</v>
      </c>
      <c r="K212" s="33" t="n">
        <f>6250</f>
        <v>6250.0</v>
      </c>
      <c r="L212" s="34" t="s">
        <v>48</v>
      </c>
      <c r="M212" s="33" t="n">
        <f>6780</f>
        <v>6780.0</v>
      </c>
      <c r="N212" s="34" t="s">
        <v>50</v>
      </c>
      <c r="O212" s="33" t="n">
        <f>6250</f>
        <v>6250.0</v>
      </c>
      <c r="P212" s="34" t="s">
        <v>48</v>
      </c>
      <c r="Q212" s="33" t="n">
        <f>6780</f>
        <v>6780.0</v>
      </c>
      <c r="R212" s="34" t="s">
        <v>50</v>
      </c>
      <c r="S212" s="35" t="n">
        <f>6495.38</f>
        <v>6495.38</v>
      </c>
      <c r="T212" s="32" t="n">
        <f>3964</f>
        <v>3964.0</v>
      </c>
      <c r="U212" s="32" t="str">
        <f>"－"</f>
        <v>－</v>
      </c>
      <c r="V212" s="32" t="n">
        <f>25585300</f>
        <v>2.55853E7</v>
      </c>
      <c r="W212" s="32" t="str">
        <f>"－"</f>
        <v>－</v>
      </c>
      <c r="X212" s="36" t="n">
        <f>13</f>
        <v>13.0</v>
      </c>
    </row>
    <row r="213">
      <c r="A213" s="27" t="s">
        <v>42</v>
      </c>
      <c r="B213" s="27" t="s">
        <v>683</v>
      </c>
      <c r="C213" s="27" t="s">
        <v>684</v>
      </c>
      <c r="D213" s="27" t="s">
        <v>685</v>
      </c>
      <c r="E213" s="28" t="s">
        <v>46</v>
      </c>
      <c r="F213" s="29" t="s">
        <v>46</v>
      </c>
      <c r="G213" s="30" t="s">
        <v>46</v>
      </c>
      <c r="H213" s="31"/>
      <c r="I213" s="31" t="s">
        <v>634</v>
      </c>
      <c r="J213" s="32" t="n">
        <v>1.0</v>
      </c>
      <c r="K213" s="33" t="n">
        <f>9950</f>
        <v>9950.0</v>
      </c>
      <c r="L213" s="34" t="s">
        <v>48</v>
      </c>
      <c r="M213" s="33" t="n">
        <f>10670</f>
        <v>10670.0</v>
      </c>
      <c r="N213" s="34" t="s">
        <v>145</v>
      </c>
      <c r="O213" s="33" t="n">
        <f>9130</f>
        <v>9130.0</v>
      </c>
      <c r="P213" s="34" t="s">
        <v>50</v>
      </c>
      <c r="Q213" s="33" t="n">
        <f>9160</f>
        <v>9160.0</v>
      </c>
      <c r="R213" s="34" t="s">
        <v>50</v>
      </c>
      <c r="S213" s="35" t="n">
        <f>10128.67</f>
        <v>10128.67</v>
      </c>
      <c r="T213" s="32" t="n">
        <f>9632</f>
        <v>9632.0</v>
      </c>
      <c r="U213" s="32" t="str">
        <f>"－"</f>
        <v>－</v>
      </c>
      <c r="V213" s="32" t="n">
        <f>99076260</f>
        <v>9.907626E7</v>
      </c>
      <c r="W213" s="32" t="str">
        <f>"－"</f>
        <v>－</v>
      </c>
      <c r="X213" s="36" t="n">
        <f>15</f>
        <v>15.0</v>
      </c>
    </row>
    <row r="214">
      <c r="A214" s="27" t="s">
        <v>42</v>
      </c>
      <c r="B214" s="27" t="s">
        <v>686</v>
      </c>
      <c r="C214" s="27" t="s">
        <v>687</v>
      </c>
      <c r="D214" s="27" t="s">
        <v>688</v>
      </c>
      <c r="E214" s="28" t="s">
        <v>46</v>
      </c>
      <c r="F214" s="29" t="s">
        <v>46</v>
      </c>
      <c r="G214" s="30" t="s">
        <v>46</v>
      </c>
      <c r="H214" s="31"/>
      <c r="I214" s="31" t="s">
        <v>634</v>
      </c>
      <c r="J214" s="32" t="n">
        <v>1.0</v>
      </c>
      <c r="K214" s="33" t="n">
        <f>10410</f>
        <v>10410.0</v>
      </c>
      <c r="L214" s="34" t="s">
        <v>48</v>
      </c>
      <c r="M214" s="33" t="n">
        <f>10910</f>
        <v>10910.0</v>
      </c>
      <c r="N214" s="34" t="s">
        <v>145</v>
      </c>
      <c r="O214" s="33" t="n">
        <f>9280</f>
        <v>9280.0</v>
      </c>
      <c r="P214" s="34" t="s">
        <v>50</v>
      </c>
      <c r="Q214" s="33" t="n">
        <f>9280</f>
        <v>9280.0</v>
      </c>
      <c r="R214" s="34" t="s">
        <v>50</v>
      </c>
      <c r="S214" s="35" t="n">
        <f>10263.85</f>
        <v>10263.85</v>
      </c>
      <c r="T214" s="32" t="n">
        <f>2314</f>
        <v>2314.0</v>
      </c>
      <c r="U214" s="32" t="str">
        <f>"－"</f>
        <v>－</v>
      </c>
      <c r="V214" s="32" t="n">
        <f>24742600</f>
        <v>2.47426E7</v>
      </c>
      <c r="W214" s="32" t="str">
        <f>"－"</f>
        <v>－</v>
      </c>
      <c r="X214" s="36" t="n">
        <f>13</f>
        <v>13.0</v>
      </c>
    </row>
    <row r="215">
      <c r="A215" s="27" t="s">
        <v>42</v>
      </c>
      <c r="B215" s="27" t="s">
        <v>689</v>
      </c>
      <c r="C215" s="27" t="s">
        <v>690</v>
      </c>
      <c r="D215" s="27" t="s">
        <v>691</v>
      </c>
      <c r="E215" s="28" t="s">
        <v>46</v>
      </c>
      <c r="F215" s="29" t="s">
        <v>46</v>
      </c>
      <c r="G215" s="30" t="s">
        <v>46</v>
      </c>
      <c r="H215" s="31"/>
      <c r="I215" s="31" t="s">
        <v>634</v>
      </c>
      <c r="J215" s="32" t="n">
        <v>1.0</v>
      </c>
      <c r="K215" s="33" t="n">
        <f>11600</f>
        <v>11600.0</v>
      </c>
      <c r="L215" s="34" t="s">
        <v>101</v>
      </c>
      <c r="M215" s="33" t="n">
        <f>12100</f>
        <v>12100.0</v>
      </c>
      <c r="N215" s="34" t="s">
        <v>49</v>
      </c>
      <c r="O215" s="33" t="n">
        <f>10610</f>
        <v>10610.0</v>
      </c>
      <c r="P215" s="34" t="s">
        <v>50</v>
      </c>
      <c r="Q215" s="33" t="n">
        <f>10610</f>
        <v>10610.0</v>
      </c>
      <c r="R215" s="34" t="s">
        <v>50</v>
      </c>
      <c r="S215" s="35" t="n">
        <f>11611.25</f>
        <v>11611.25</v>
      </c>
      <c r="T215" s="32" t="n">
        <f>584</f>
        <v>584.0</v>
      </c>
      <c r="U215" s="32" t="str">
        <f>"－"</f>
        <v>－</v>
      </c>
      <c r="V215" s="32" t="n">
        <f>6809470</f>
        <v>6809470.0</v>
      </c>
      <c r="W215" s="32" t="str">
        <f>"－"</f>
        <v>－</v>
      </c>
      <c r="X215" s="36" t="n">
        <f>8</f>
        <v>8.0</v>
      </c>
    </row>
    <row r="216">
      <c r="A216" s="27" t="s">
        <v>42</v>
      </c>
      <c r="B216" s="27" t="s">
        <v>692</v>
      </c>
      <c r="C216" s="27" t="s">
        <v>693</v>
      </c>
      <c r="D216" s="27" t="s">
        <v>694</v>
      </c>
      <c r="E216" s="28" t="s">
        <v>46</v>
      </c>
      <c r="F216" s="29" t="s">
        <v>46</v>
      </c>
      <c r="G216" s="30" t="s">
        <v>46</v>
      </c>
      <c r="H216" s="31"/>
      <c r="I216" s="31" t="s">
        <v>634</v>
      </c>
      <c r="J216" s="32" t="n">
        <v>1.0</v>
      </c>
      <c r="K216" s="33" t="n">
        <f>13840</f>
        <v>13840.0</v>
      </c>
      <c r="L216" s="34" t="s">
        <v>101</v>
      </c>
      <c r="M216" s="33" t="n">
        <f>14630</f>
        <v>14630.0</v>
      </c>
      <c r="N216" s="34" t="s">
        <v>60</v>
      </c>
      <c r="O216" s="33" t="n">
        <f>13270</f>
        <v>13270.0</v>
      </c>
      <c r="P216" s="34" t="s">
        <v>50</v>
      </c>
      <c r="Q216" s="33" t="n">
        <f>13270</f>
        <v>13270.0</v>
      </c>
      <c r="R216" s="34" t="s">
        <v>50</v>
      </c>
      <c r="S216" s="35" t="n">
        <f>14037.14</f>
        <v>14037.14</v>
      </c>
      <c r="T216" s="32" t="n">
        <f>6162</f>
        <v>6162.0</v>
      </c>
      <c r="U216" s="32" t="str">
        <f>"－"</f>
        <v>－</v>
      </c>
      <c r="V216" s="32" t="n">
        <f>88685800</f>
        <v>8.86858E7</v>
      </c>
      <c r="W216" s="32" t="str">
        <f>"－"</f>
        <v>－</v>
      </c>
      <c r="X216" s="36" t="n">
        <f>7</f>
        <v>7.0</v>
      </c>
    </row>
    <row r="217">
      <c r="A217" s="27" t="s">
        <v>42</v>
      </c>
      <c r="B217" s="27" t="s">
        <v>695</v>
      </c>
      <c r="C217" s="27" t="s">
        <v>696</v>
      </c>
      <c r="D217" s="27" t="s">
        <v>697</v>
      </c>
      <c r="E217" s="28" t="s">
        <v>46</v>
      </c>
      <c r="F217" s="29" t="s">
        <v>46</v>
      </c>
      <c r="G217" s="30" t="s">
        <v>46</v>
      </c>
      <c r="H217" s="31"/>
      <c r="I217" s="31" t="s">
        <v>634</v>
      </c>
      <c r="J217" s="32" t="n">
        <v>1.0</v>
      </c>
      <c r="K217" s="33" t="n">
        <f>10620</f>
        <v>10620.0</v>
      </c>
      <c r="L217" s="34" t="s">
        <v>48</v>
      </c>
      <c r="M217" s="33" t="n">
        <f>11190</f>
        <v>11190.0</v>
      </c>
      <c r="N217" s="34" t="s">
        <v>49</v>
      </c>
      <c r="O217" s="33" t="n">
        <f>9630</f>
        <v>9630.0</v>
      </c>
      <c r="P217" s="34" t="s">
        <v>50</v>
      </c>
      <c r="Q217" s="33" t="n">
        <f>9630</f>
        <v>9630.0</v>
      </c>
      <c r="R217" s="34" t="s">
        <v>50</v>
      </c>
      <c r="S217" s="35" t="n">
        <f>10711.43</f>
        <v>10711.43</v>
      </c>
      <c r="T217" s="32" t="n">
        <f>5098</f>
        <v>5098.0</v>
      </c>
      <c r="U217" s="32" t="str">
        <f>"－"</f>
        <v>－</v>
      </c>
      <c r="V217" s="32" t="n">
        <f>54001920</f>
        <v>5.400192E7</v>
      </c>
      <c r="W217" s="32" t="str">
        <f>"－"</f>
        <v>－</v>
      </c>
      <c r="X217" s="36" t="n">
        <f>14</f>
        <v>14.0</v>
      </c>
    </row>
    <row r="218">
      <c r="A218" s="27" t="s">
        <v>42</v>
      </c>
      <c r="B218" s="27" t="s">
        <v>698</v>
      </c>
      <c r="C218" s="27" t="s">
        <v>699</v>
      </c>
      <c r="D218" s="27" t="s">
        <v>700</v>
      </c>
      <c r="E218" s="28" t="s">
        <v>46</v>
      </c>
      <c r="F218" s="29" t="s">
        <v>46</v>
      </c>
      <c r="G218" s="30" t="s">
        <v>46</v>
      </c>
      <c r="H218" s="31"/>
      <c r="I218" s="31" t="s">
        <v>634</v>
      </c>
      <c r="J218" s="32" t="n">
        <v>1.0</v>
      </c>
      <c r="K218" s="33" t="n">
        <f>9640</f>
        <v>9640.0</v>
      </c>
      <c r="L218" s="34" t="s">
        <v>48</v>
      </c>
      <c r="M218" s="33" t="n">
        <f>10200</f>
        <v>10200.0</v>
      </c>
      <c r="N218" s="34" t="s">
        <v>145</v>
      </c>
      <c r="O218" s="33" t="n">
        <f>8780</f>
        <v>8780.0</v>
      </c>
      <c r="P218" s="34" t="s">
        <v>50</v>
      </c>
      <c r="Q218" s="33" t="n">
        <f>8780</f>
        <v>8780.0</v>
      </c>
      <c r="R218" s="34" t="s">
        <v>50</v>
      </c>
      <c r="S218" s="35" t="n">
        <f>9773.75</f>
        <v>9773.75</v>
      </c>
      <c r="T218" s="32" t="n">
        <f>31594</f>
        <v>31594.0</v>
      </c>
      <c r="U218" s="32" t="n">
        <f>23000</f>
        <v>23000.0</v>
      </c>
      <c r="V218" s="32" t="n">
        <f>313914470</f>
        <v>3.1391447E8</v>
      </c>
      <c r="W218" s="32" t="n">
        <f>227240000</f>
        <v>2.2724E8</v>
      </c>
      <c r="X218" s="36" t="n">
        <f>8</f>
        <v>8.0</v>
      </c>
    </row>
    <row r="219">
      <c r="A219" s="27" t="s">
        <v>42</v>
      </c>
      <c r="B219" s="27" t="s">
        <v>701</v>
      </c>
      <c r="C219" s="27" t="s">
        <v>702</v>
      </c>
      <c r="D219" s="27" t="s">
        <v>703</v>
      </c>
      <c r="E219" s="28" t="s">
        <v>46</v>
      </c>
      <c r="F219" s="29" t="s">
        <v>46</v>
      </c>
      <c r="G219" s="30" t="s">
        <v>46</v>
      </c>
      <c r="H219" s="31"/>
      <c r="I219" s="31" t="s">
        <v>634</v>
      </c>
      <c r="J219" s="32" t="n">
        <v>1.0</v>
      </c>
      <c r="K219" s="33" t="n">
        <f>12080</f>
        <v>12080.0</v>
      </c>
      <c r="L219" s="34" t="s">
        <v>97</v>
      </c>
      <c r="M219" s="33" t="n">
        <f>12250</f>
        <v>12250.0</v>
      </c>
      <c r="N219" s="34" t="s">
        <v>145</v>
      </c>
      <c r="O219" s="33" t="n">
        <f>10480</f>
        <v>10480.0</v>
      </c>
      <c r="P219" s="34" t="s">
        <v>50</v>
      </c>
      <c r="Q219" s="33" t="n">
        <f>10480</f>
        <v>10480.0</v>
      </c>
      <c r="R219" s="34" t="s">
        <v>50</v>
      </c>
      <c r="S219" s="35" t="n">
        <f>11502.86</f>
        <v>11502.86</v>
      </c>
      <c r="T219" s="32" t="n">
        <f>61</f>
        <v>61.0</v>
      </c>
      <c r="U219" s="32" t="str">
        <f>"－"</f>
        <v>－</v>
      </c>
      <c r="V219" s="32" t="n">
        <f>709750</f>
        <v>709750.0</v>
      </c>
      <c r="W219" s="32" t="str">
        <f>"－"</f>
        <v>－</v>
      </c>
      <c r="X219" s="36" t="n">
        <f>7</f>
        <v>7.0</v>
      </c>
    </row>
    <row r="220">
      <c r="A220" s="27" t="s">
        <v>42</v>
      </c>
      <c r="B220" s="27" t="s">
        <v>704</v>
      </c>
      <c r="C220" s="27" t="s">
        <v>705</v>
      </c>
      <c r="D220" s="27" t="s">
        <v>706</v>
      </c>
      <c r="E220" s="28" t="s">
        <v>46</v>
      </c>
      <c r="F220" s="29" t="s">
        <v>46</v>
      </c>
      <c r="G220" s="30" t="s">
        <v>46</v>
      </c>
      <c r="H220" s="31"/>
      <c r="I220" s="31" t="s">
        <v>47</v>
      </c>
      <c r="J220" s="32" t="n">
        <v>10.0</v>
      </c>
      <c r="K220" s="33" t="n">
        <f>1013</f>
        <v>1013.0</v>
      </c>
      <c r="L220" s="34" t="s">
        <v>48</v>
      </c>
      <c r="M220" s="33" t="n">
        <f>1023</f>
        <v>1023.0</v>
      </c>
      <c r="N220" s="34" t="s">
        <v>50</v>
      </c>
      <c r="O220" s="33" t="n">
        <f>1009</f>
        <v>1009.0</v>
      </c>
      <c r="P220" s="34" t="s">
        <v>49</v>
      </c>
      <c r="Q220" s="33" t="n">
        <f>1021</f>
        <v>1021.0</v>
      </c>
      <c r="R220" s="34" t="s">
        <v>50</v>
      </c>
      <c r="S220" s="35" t="n">
        <f>1015.67</f>
        <v>1015.67</v>
      </c>
      <c r="T220" s="32" t="n">
        <f>64030</f>
        <v>64030.0</v>
      </c>
      <c r="U220" s="32" t="str">
        <f>"－"</f>
        <v>－</v>
      </c>
      <c r="V220" s="32" t="n">
        <f>65068270</f>
        <v>6.506827E7</v>
      </c>
      <c r="W220" s="32" t="str">
        <f>"－"</f>
        <v>－</v>
      </c>
      <c r="X220" s="36" t="n">
        <f>18</f>
        <v>18.0</v>
      </c>
    </row>
    <row r="221">
      <c r="A221" s="27" t="s">
        <v>42</v>
      </c>
      <c r="B221" s="27" t="s">
        <v>707</v>
      </c>
      <c r="C221" s="27" t="s">
        <v>708</v>
      </c>
      <c r="D221" s="27" t="s">
        <v>709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10.0</v>
      </c>
      <c r="K221" s="33" t="n">
        <f>989</f>
        <v>989.0</v>
      </c>
      <c r="L221" s="34" t="s">
        <v>48</v>
      </c>
      <c r="M221" s="33" t="n">
        <f>1020</f>
        <v>1020.0</v>
      </c>
      <c r="N221" s="34" t="s">
        <v>96</v>
      </c>
      <c r="O221" s="33" t="n">
        <f>983</f>
        <v>983.0</v>
      </c>
      <c r="P221" s="34" t="s">
        <v>48</v>
      </c>
      <c r="Q221" s="33" t="n">
        <f>995</f>
        <v>995.0</v>
      </c>
      <c r="R221" s="34" t="s">
        <v>50</v>
      </c>
      <c r="S221" s="35" t="n">
        <f>992.78</f>
        <v>992.78</v>
      </c>
      <c r="T221" s="32" t="n">
        <f>1715260</f>
        <v>1715260.0</v>
      </c>
      <c r="U221" s="32" t="n">
        <f>1494120</f>
        <v>1494120.0</v>
      </c>
      <c r="V221" s="32" t="n">
        <f>1708794137</f>
        <v>1.708794137E9</v>
      </c>
      <c r="W221" s="32" t="n">
        <f>1489917757</f>
        <v>1.489917757E9</v>
      </c>
      <c r="X221" s="36" t="n">
        <f>18</f>
        <v>18.0</v>
      </c>
    </row>
    <row r="222">
      <c r="A222" s="27" t="s">
        <v>42</v>
      </c>
      <c r="B222" s="27" t="s">
        <v>710</v>
      </c>
      <c r="C222" s="27" t="s">
        <v>711</v>
      </c>
      <c r="D222" s="27" t="s">
        <v>712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10.0</v>
      </c>
      <c r="K222" s="33" t="n">
        <f>1032</f>
        <v>1032.0</v>
      </c>
      <c r="L222" s="34" t="s">
        <v>48</v>
      </c>
      <c r="M222" s="33" t="n">
        <f>1050</f>
        <v>1050.0</v>
      </c>
      <c r="N222" s="34" t="s">
        <v>50</v>
      </c>
      <c r="O222" s="33" t="n">
        <f>1027</f>
        <v>1027.0</v>
      </c>
      <c r="P222" s="34" t="s">
        <v>49</v>
      </c>
      <c r="Q222" s="33" t="n">
        <f>1050</f>
        <v>1050.0</v>
      </c>
      <c r="R222" s="34" t="s">
        <v>50</v>
      </c>
      <c r="S222" s="35" t="n">
        <f>1035.78</f>
        <v>1035.78</v>
      </c>
      <c r="T222" s="32" t="n">
        <f>246580</f>
        <v>246580.0</v>
      </c>
      <c r="U222" s="32" t="n">
        <f>195000</f>
        <v>195000.0</v>
      </c>
      <c r="V222" s="32" t="n">
        <f>254883900</f>
        <v>2.548839E8</v>
      </c>
      <c r="W222" s="32" t="n">
        <f>201528500</f>
        <v>2.015285E8</v>
      </c>
      <c r="X222" s="36" t="n">
        <f>18</f>
        <v>18.0</v>
      </c>
    </row>
    <row r="223">
      <c r="A223" s="27" t="s">
        <v>42</v>
      </c>
      <c r="B223" s="27" t="s">
        <v>713</v>
      </c>
      <c r="C223" s="27" t="s">
        <v>714</v>
      </c>
      <c r="D223" s="27" t="s">
        <v>715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10.0</v>
      </c>
      <c r="K223" s="33" t="n">
        <f>1124</f>
        <v>1124.0</v>
      </c>
      <c r="L223" s="34" t="s">
        <v>48</v>
      </c>
      <c r="M223" s="33" t="n">
        <f>1208</f>
        <v>1208.0</v>
      </c>
      <c r="N223" s="34" t="s">
        <v>164</v>
      </c>
      <c r="O223" s="33" t="n">
        <f>1031</f>
        <v>1031.0</v>
      </c>
      <c r="P223" s="34" t="s">
        <v>50</v>
      </c>
      <c r="Q223" s="33" t="n">
        <f>1031</f>
        <v>1031.0</v>
      </c>
      <c r="R223" s="34" t="s">
        <v>50</v>
      </c>
      <c r="S223" s="35" t="n">
        <f>1162.5</f>
        <v>1162.5</v>
      </c>
      <c r="T223" s="32" t="n">
        <f>1530570</f>
        <v>1530570.0</v>
      </c>
      <c r="U223" s="32" t="n">
        <f>1286000</f>
        <v>1286000.0</v>
      </c>
      <c r="V223" s="32" t="n">
        <f>1788447270</f>
        <v>1.78844727E9</v>
      </c>
      <c r="W223" s="32" t="n">
        <f>1509114940</f>
        <v>1.50911494E9</v>
      </c>
      <c r="X223" s="36" t="n">
        <f>18</f>
        <v>18.0</v>
      </c>
    </row>
    <row r="224">
      <c r="A224" s="27" t="s">
        <v>42</v>
      </c>
      <c r="B224" s="27" t="s">
        <v>716</v>
      </c>
      <c r="C224" s="27" t="s">
        <v>717</v>
      </c>
      <c r="D224" s="27" t="s">
        <v>718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10.0</v>
      </c>
      <c r="K224" s="33" t="n">
        <f>1149</f>
        <v>1149.0</v>
      </c>
      <c r="L224" s="34" t="s">
        <v>48</v>
      </c>
      <c r="M224" s="33" t="n">
        <f>1212</f>
        <v>1212.0</v>
      </c>
      <c r="N224" s="34" t="s">
        <v>164</v>
      </c>
      <c r="O224" s="33" t="n">
        <f>1048</f>
        <v>1048.0</v>
      </c>
      <c r="P224" s="34" t="s">
        <v>50</v>
      </c>
      <c r="Q224" s="33" t="n">
        <f>1048</f>
        <v>1048.0</v>
      </c>
      <c r="R224" s="34" t="s">
        <v>50</v>
      </c>
      <c r="S224" s="35" t="n">
        <f>1171.35</f>
        <v>1171.35</v>
      </c>
      <c r="T224" s="32" t="n">
        <f>1298750</f>
        <v>1298750.0</v>
      </c>
      <c r="U224" s="32" t="n">
        <f>1125000</f>
        <v>1125000.0</v>
      </c>
      <c r="V224" s="32" t="n">
        <f>1507199730</f>
        <v>1.50719973E9</v>
      </c>
      <c r="W224" s="32" t="n">
        <f>1305150500</f>
        <v>1.3051505E9</v>
      </c>
      <c r="X224" s="36" t="n">
        <f>17</f>
        <v>17.0</v>
      </c>
    </row>
    <row r="225">
      <c r="A225" s="27" t="s">
        <v>42</v>
      </c>
      <c r="B225" s="27" t="s">
        <v>719</v>
      </c>
      <c r="C225" s="27" t="s">
        <v>720</v>
      </c>
      <c r="D225" s="27" t="s">
        <v>721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10.0</v>
      </c>
      <c r="K225" s="33" t="n">
        <f>1076</f>
        <v>1076.0</v>
      </c>
      <c r="L225" s="34" t="s">
        <v>48</v>
      </c>
      <c r="M225" s="33" t="n">
        <f>1156</f>
        <v>1156.0</v>
      </c>
      <c r="N225" s="34" t="s">
        <v>60</v>
      </c>
      <c r="O225" s="33" t="n">
        <f>1024</f>
        <v>1024.0</v>
      </c>
      <c r="P225" s="34" t="s">
        <v>50</v>
      </c>
      <c r="Q225" s="33" t="n">
        <f>1032</f>
        <v>1032.0</v>
      </c>
      <c r="R225" s="34" t="s">
        <v>50</v>
      </c>
      <c r="S225" s="35" t="n">
        <f>1110.72</f>
        <v>1110.72</v>
      </c>
      <c r="T225" s="32" t="n">
        <f>385710</f>
        <v>385710.0</v>
      </c>
      <c r="U225" s="32" t="n">
        <f>72630</f>
        <v>72630.0</v>
      </c>
      <c r="V225" s="32" t="n">
        <f>426023817</f>
        <v>4.26023817E8</v>
      </c>
      <c r="W225" s="32" t="n">
        <f>81934137</f>
        <v>8.1934137E7</v>
      </c>
      <c r="X225" s="36" t="n">
        <f>18</f>
        <v>18.0</v>
      </c>
    </row>
    <row r="226">
      <c r="A226" s="27" t="s">
        <v>42</v>
      </c>
      <c r="B226" s="27" t="s">
        <v>722</v>
      </c>
      <c r="C226" s="27" t="s">
        <v>723</v>
      </c>
      <c r="D226" s="27" t="s">
        <v>724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10.0</v>
      </c>
      <c r="K226" s="33" t="n">
        <f>613</f>
        <v>613.0</v>
      </c>
      <c r="L226" s="34" t="s">
        <v>48</v>
      </c>
      <c r="M226" s="33" t="n">
        <f>661</f>
        <v>661.0</v>
      </c>
      <c r="N226" s="34" t="s">
        <v>178</v>
      </c>
      <c r="O226" s="33" t="n">
        <f>535</f>
        <v>535.0</v>
      </c>
      <c r="P226" s="34" t="s">
        <v>50</v>
      </c>
      <c r="Q226" s="33" t="n">
        <f>537</f>
        <v>537.0</v>
      </c>
      <c r="R226" s="34" t="s">
        <v>50</v>
      </c>
      <c r="S226" s="35" t="n">
        <f>625.17</f>
        <v>625.17</v>
      </c>
      <c r="T226" s="32" t="n">
        <f>1995730</f>
        <v>1995730.0</v>
      </c>
      <c r="U226" s="32" t="n">
        <f>171760</f>
        <v>171760.0</v>
      </c>
      <c r="V226" s="32" t="n">
        <f>1204719928</f>
        <v>1.204719928E9</v>
      </c>
      <c r="W226" s="32" t="n">
        <f>109787608</f>
        <v>1.09787608E8</v>
      </c>
      <c r="X226" s="36" t="n">
        <f>18</f>
        <v>18.0</v>
      </c>
    </row>
    <row r="227">
      <c r="A227" s="27" t="s">
        <v>42</v>
      </c>
      <c r="B227" s="27" t="s">
        <v>725</v>
      </c>
      <c r="C227" s="27" t="s">
        <v>726</v>
      </c>
      <c r="D227" s="27" t="s">
        <v>727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10.0</v>
      </c>
      <c r="K227" s="33" t="n">
        <f>1298</f>
        <v>1298.0</v>
      </c>
      <c r="L227" s="34" t="s">
        <v>48</v>
      </c>
      <c r="M227" s="33" t="n">
        <f>1310</f>
        <v>1310.0</v>
      </c>
      <c r="N227" s="34" t="s">
        <v>114</v>
      </c>
      <c r="O227" s="33" t="n">
        <f>1185</f>
        <v>1185.0</v>
      </c>
      <c r="P227" s="34" t="s">
        <v>50</v>
      </c>
      <c r="Q227" s="33" t="n">
        <f>1185</f>
        <v>1185.0</v>
      </c>
      <c r="R227" s="34" t="s">
        <v>50</v>
      </c>
      <c r="S227" s="35" t="n">
        <f>1286.94</f>
        <v>1286.94</v>
      </c>
      <c r="T227" s="32" t="n">
        <f>4274610</f>
        <v>4274610.0</v>
      </c>
      <c r="U227" s="32" t="n">
        <f>4174900</f>
        <v>4174900.0</v>
      </c>
      <c r="V227" s="32" t="n">
        <f>5554409965</f>
        <v>5.554409965E9</v>
      </c>
      <c r="W227" s="32" t="n">
        <f>5429560815</f>
        <v>5.429560815E9</v>
      </c>
      <c r="X227" s="36" t="n">
        <f>17</f>
        <v>17.0</v>
      </c>
    </row>
    <row r="228">
      <c r="A228" s="27" t="s">
        <v>42</v>
      </c>
      <c r="B228" s="27" t="s">
        <v>728</v>
      </c>
      <c r="C228" s="27" t="s">
        <v>729</v>
      </c>
      <c r="D228" s="27" t="s">
        <v>730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1.0</v>
      </c>
      <c r="K228" s="33" t="n">
        <f>966</f>
        <v>966.0</v>
      </c>
      <c r="L228" s="34" t="s">
        <v>48</v>
      </c>
      <c r="M228" s="33" t="n">
        <f>1010</f>
        <v>1010.0</v>
      </c>
      <c r="N228" s="34" t="s">
        <v>145</v>
      </c>
      <c r="O228" s="33" t="n">
        <f>875</f>
        <v>875.0</v>
      </c>
      <c r="P228" s="34" t="s">
        <v>50</v>
      </c>
      <c r="Q228" s="33" t="n">
        <f>876</f>
        <v>876.0</v>
      </c>
      <c r="R228" s="34" t="s">
        <v>50</v>
      </c>
      <c r="S228" s="35" t="n">
        <f>969.06</f>
        <v>969.06</v>
      </c>
      <c r="T228" s="32" t="n">
        <f>130585</f>
        <v>130585.0</v>
      </c>
      <c r="U228" s="32" t="str">
        <f>"－"</f>
        <v>－</v>
      </c>
      <c r="V228" s="32" t="n">
        <f>128184206</f>
        <v>1.28184206E8</v>
      </c>
      <c r="W228" s="32" t="str">
        <f>"－"</f>
        <v>－</v>
      </c>
      <c r="X228" s="36" t="n">
        <f>18</f>
        <v>18.0</v>
      </c>
    </row>
    <row r="229">
      <c r="A229" s="27" t="s">
        <v>42</v>
      </c>
      <c r="B229" s="27" t="s">
        <v>731</v>
      </c>
      <c r="C229" s="27" t="s">
        <v>732</v>
      </c>
      <c r="D229" s="27" t="s">
        <v>733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10.0</v>
      </c>
      <c r="K229" s="33" t="n">
        <f>1076</f>
        <v>1076.0</v>
      </c>
      <c r="L229" s="34" t="s">
        <v>48</v>
      </c>
      <c r="M229" s="33" t="n">
        <f>1143</f>
        <v>1143.0</v>
      </c>
      <c r="N229" s="34" t="s">
        <v>174</v>
      </c>
      <c r="O229" s="33" t="n">
        <f>1070</f>
        <v>1070.0</v>
      </c>
      <c r="P229" s="34" t="s">
        <v>48</v>
      </c>
      <c r="Q229" s="33" t="n">
        <f>1081</f>
        <v>1081.0</v>
      </c>
      <c r="R229" s="34" t="s">
        <v>50</v>
      </c>
      <c r="S229" s="35" t="n">
        <f>1097.78</f>
        <v>1097.78</v>
      </c>
      <c r="T229" s="32" t="n">
        <f>155590</f>
        <v>155590.0</v>
      </c>
      <c r="U229" s="32" t="str">
        <f>"－"</f>
        <v>－</v>
      </c>
      <c r="V229" s="32" t="n">
        <f>172161380</f>
        <v>1.7216138E8</v>
      </c>
      <c r="W229" s="32" t="str">
        <f>"－"</f>
        <v>－</v>
      </c>
      <c r="X229" s="36" t="n">
        <f>18</f>
        <v>18.0</v>
      </c>
    </row>
    <row r="230">
      <c r="A230" s="27" t="s">
        <v>42</v>
      </c>
      <c r="B230" s="27" t="s">
        <v>734</v>
      </c>
      <c r="C230" s="27" t="s">
        <v>735</v>
      </c>
      <c r="D230" s="27" t="s">
        <v>736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10.0</v>
      </c>
      <c r="K230" s="33" t="n">
        <f>999</f>
        <v>999.0</v>
      </c>
      <c r="L230" s="34" t="s">
        <v>48</v>
      </c>
      <c r="M230" s="33" t="n">
        <f>1058</f>
        <v>1058.0</v>
      </c>
      <c r="N230" s="34" t="s">
        <v>164</v>
      </c>
      <c r="O230" s="33" t="n">
        <f>934</f>
        <v>934.0</v>
      </c>
      <c r="P230" s="34" t="s">
        <v>50</v>
      </c>
      <c r="Q230" s="33" t="n">
        <f>934</f>
        <v>934.0</v>
      </c>
      <c r="R230" s="34" t="s">
        <v>50</v>
      </c>
      <c r="S230" s="35" t="n">
        <f>1021.44</f>
        <v>1021.44</v>
      </c>
      <c r="T230" s="32" t="n">
        <f>504700</f>
        <v>504700.0</v>
      </c>
      <c r="U230" s="32" t="n">
        <f>60</f>
        <v>60.0</v>
      </c>
      <c r="V230" s="32" t="n">
        <f>518542880</f>
        <v>5.1854288E8</v>
      </c>
      <c r="W230" s="32" t="n">
        <f>62640</f>
        <v>62640.0</v>
      </c>
      <c r="X230" s="36" t="n">
        <f>18</f>
        <v>18.0</v>
      </c>
    </row>
    <row r="231">
      <c r="A231" s="27" t="s">
        <v>42</v>
      </c>
      <c r="B231" s="27" t="s">
        <v>737</v>
      </c>
      <c r="C231" s="27" t="s">
        <v>738</v>
      </c>
      <c r="D231" s="27" t="s">
        <v>739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10.0</v>
      </c>
      <c r="K231" s="33" t="n">
        <f>1123</f>
        <v>1123.0</v>
      </c>
      <c r="L231" s="34" t="s">
        <v>48</v>
      </c>
      <c r="M231" s="33" t="n">
        <f>1181</f>
        <v>1181.0</v>
      </c>
      <c r="N231" s="34" t="s">
        <v>164</v>
      </c>
      <c r="O231" s="33" t="n">
        <f>1010</f>
        <v>1010.0</v>
      </c>
      <c r="P231" s="34" t="s">
        <v>50</v>
      </c>
      <c r="Q231" s="33" t="n">
        <f>1010</f>
        <v>1010.0</v>
      </c>
      <c r="R231" s="34" t="s">
        <v>50</v>
      </c>
      <c r="S231" s="35" t="n">
        <f>1142.94</f>
        <v>1142.94</v>
      </c>
      <c r="T231" s="32" t="n">
        <f>9669160</f>
        <v>9669160.0</v>
      </c>
      <c r="U231" s="32" t="n">
        <f>3514400</f>
        <v>3514400.0</v>
      </c>
      <c r="V231" s="32" t="n">
        <f>10692066600</f>
        <v>1.06920666E10</v>
      </c>
      <c r="W231" s="32" t="n">
        <f>3854320370</f>
        <v>3.85432037E9</v>
      </c>
      <c r="X231" s="36" t="n">
        <f>18</f>
        <v>18.0</v>
      </c>
    </row>
    <row r="232">
      <c r="A232" s="27" t="s">
        <v>42</v>
      </c>
      <c r="B232" s="27" t="s">
        <v>740</v>
      </c>
      <c r="C232" s="27" t="s">
        <v>741</v>
      </c>
      <c r="D232" s="27" t="s">
        <v>742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1.0</v>
      </c>
      <c r="K232" s="33" t="n">
        <f>2430</f>
        <v>2430.0</v>
      </c>
      <c r="L232" s="34" t="s">
        <v>48</v>
      </c>
      <c r="M232" s="33" t="n">
        <f>2647</f>
        <v>2647.0</v>
      </c>
      <c r="N232" s="34" t="s">
        <v>49</v>
      </c>
      <c r="O232" s="33" t="n">
        <f>2200</f>
        <v>2200.0</v>
      </c>
      <c r="P232" s="34" t="s">
        <v>50</v>
      </c>
      <c r="Q232" s="33" t="n">
        <f>2200</f>
        <v>2200.0</v>
      </c>
      <c r="R232" s="34" t="s">
        <v>50</v>
      </c>
      <c r="S232" s="35" t="n">
        <f>2493.39</f>
        <v>2493.39</v>
      </c>
      <c r="T232" s="32" t="n">
        <f>186361</f>
        <v>186361.0</v>
      </c>
      <c r="U232" s="32" t="n">
        <f>147000</f>
        <v>147000.0</v>
      </c>
      <c r="V232" s="32" t="n">
        <f>458496267</f>
        <v>4.58496267E8</v>
      </c>
      <c r="W232" s="32" t="n">
        <f>361860000</f>
        <v>3.6186E8</v>
      </c>
      <c r="X232" s="36" t="n">
        <f>18</f>
        <v>18.0</v>
      </c>
    </row>
    <row r="233">
      <c r="A233" s="27" t="s">
        <v>42</v>
      </c>
      <c r="B233" s="27" t="s">
        <v>743</v>
      </c>
      <c r="C233" s="27" t="s">
        <v>744</v>
      </c>
      <c r="D233" s="27" t="s">
        <v>745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10.0</v>
      </c>
      <c r="K233" s="33" t="n">
        <f>1492</f>
        <v>1492.0</v>
      </c>
      <c r="L233" s="34" t="s">
        <v>101</v>
      </c>
      <c r="M233" s="33" t="n">
        <f>1504</f>
        <v>1504.0</v>
      </c>
      <c r="N233" s="34" t="s">
        <v>443</v>
      </c>
      <c r="O233" s="33" t="n">
        <f>1353</f>
        <v>1353.0</v>
      </c>
      <c r="P233" s="34" t="s">
        <v>50</v>
      </c>
      <c r="Q233" s="33" t="n">
        <f>1353</f>
        <v>1353.0</v>
      </c>
      <c r="R233" s="34" t="s">
        <v>50</v>
      </c>
      <c r="S233" s="35" t="n">
        <f>1438</f>
        <v>1438.0</v>
      </c>
      <c r="T233" s="32" t="n">
        <f>1080</f>
        <v>1080.0</v>
      </c>
      <c r="U233" s="32" t="str">
        <f>"－"</f>
        <v>－</v>
      </c>
      <c r="V233" s="32" t="n">
        <f>1563480</f>
        <v>1563480.0</v>
      </c>
      <c r="W233" s="32" t="str">
        <f>"－"</f>
        <v>－</v>
      </c>
      <c r="X233" s="36" t="n">
        <f>6</f>
        <v>6.0</v>
      </c>
    </row>
    <row r="234">
      <c r="A234" s="27" t="s">
        <v>42</v>
      </c>
      <c r="B234" s="27" t="s">
        <v>746</v>
      </c>
      <c r="C234" s="27" t="s">
        <v>747</v>
      </c>
      <c r="D234" s="27" t="s">
        <v>748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10.0</v>
      </c>
      <c r="K234" s="33" t="n">
        <f>1740</f>
        <v>1740.0</v>
      </c>
      <c r="L234" s="34" t="s">
        <v>67</v>
      </c>
      <c r="M234" s="33" t="n">
        <f>1740</f>
        <v>1740.0</v>
      </c>
      <c r="N234" s="34" t="s">
        <v>67</v>
      </c>
      <c r="O234" s="33" t="n">
        <f>1527</f>
        <v>1527.0</v>
      </c>
      <c r="P234" s="34" t="s">
        <v>50</v>
      </c>
      <c r="Q234" s="33" t="n">
        <f>1527</f>
        <v>1527.0</v>
      </c>
      <c r="R234" s="34" t="s">
        <v>50</v>
      </c>
      <c r="S234" s="35" t="n">
        <f>1656.6</f>
        <v>1656.6</v>
      </c>
      <c r="T234" s="32" t="n">
        <f>102700</f>
        <v>102700.0</v>
      </c>
      <c r="U234" s="32" t="n">
        <f>100000</f>
        <v>100000.0</v>
      </c>
      <c r="V234" s="32" t="n">
        <f>172315350</f>
        <v>1.7231535E8</v>
      </c>
      <c r="W234" s="32" t="n">
        <f>167690000</f>
        <v>1.6769E8</v>
      </c>
      <c r="X234" s="36" t="n">
        <f>5</f>
        <v>5.0</v>
      </c>
    </row>
    <row r="235">
      <c r="A235" s="27" t="s">
        <v>42</v>
      </c>
      <c r="B235" s="27" t="s">
        <v>749</v>
      </c>
      <c r="C235" s="27" t="s">
        <v>750</v>
      </c>
      <c r="D235" s="27" t="s">
        <v>751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1.0</v>
      </c>
      <c r="K235" s="33" t="n">
        <f>23940</f>
        <v>23940.0</v>
      </c>
      <c r="L235" s="34" t="s">
        <v>352</v>
      </c>
      <c r="M235" s="33" t="n">
        <f>23940</f>
        <v>23940.0</v>
      </c>
      <c r="N235" s="34" t="s">
        <v>352</v>
      </c>
      <c r="O235" s="33" t="n">
        <f>21140</f>
        <v>21140.0</v>
      </c>
      <c r="P235" s="34" t="s">
        <v>50</v>
      </c>
      <c r="Q235" s="33" t="n">
        <f>21140</f>
        <v>21140.0</v>
      </c>
      <c r="R235" s="34" t="s">
        <v>50</v>
      </c>
      <c r="S235" s="35" t="n">
        <f>22774.29</f>
        <v>22774.29</v>
      </c>
      <c r="T235" s="32" t="n">
        <f>11286</f>
        <v>11286.0</v>
      </c>
      <c r="U235" s="32" t="n">
        <f>10000</f>
        <v>10000.0</v>
      </c>
      <c r="V235" s="32" t="n">
        <f>264159360</f>
        <v>2.6415936E8</v>
      </c>
      <c r="W235" s="32" t="n">
        <f>235890000</f>
        <v>2.3589E8</v>
      </c>
      <c r="X235" s="36" t="n">
        <f>7</f>
        <v>7.0</v>
      </c>
    </row>
    <row r="236">
      <c r="A236" s="27" t="s">
        <v>42</v>
      </c>
      <c r="B236" s="27" t="s">
        <v>752</v>
      </c>
      <c r="C236" s="27" t="s">
        <v>753</v>
      </c>
      <c r="D236" s="27" t="s">
        <v>754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1.0</v>
      </c>
      <c r="K236" s="33" t="n">
        <f>15090</f>
        <v>15090.0</v>
      </c>
      <c r="L236" s="34" t="s">
        <v>48</v>
      </c>
      <c r="M236" s="33" t="n">
        <f>15720</f>
        <v>15720.0</v>
      </c>
      <c r="N236" s="34" t="s">
        <v>49</v>
      </c>
      <c r="O236" s="33" t="n">
        <f>13510</f>
        <v>13510.0</v>
      </c>
      <c r="P236" s="34" t="s">
        <v>50</v>
      </c>
      <c r="Q236" s="33" t="n">
        <f>13530</f>
        <v>13530.0</v>
      </c>
      <c r="R236" s="34" t="s">
        <v>50</v>
      </c>
      <c r="S236" s="35" t="n">
        <f>15108.13</f>
        <v>15108.13</v>
      </c>
      <c r="T236" s="32" t="n">
        <f>2885</f>
        <v>2885.0</v>
      </c>
      <c r="U236" s="32" t="str">
        <f>"－"</f>
        <v>－</v>
      </c>
      <c r="V236" s="32" t="n">
        <f>43910070</f>
        <v>4.391007E7</v>
      </c>
      <c r="W236" s="32" t="str">
        <f>"－"</f>
        <v>－</v>
      </c>
      <c r="X236" s="36" t="n">
        <f>16</f>
        <v>16.0</v>
      </c>
    </row>
    <row r="237">
      <c r="A237" s="27" t="s">
        <v>42</v>
      </c>
      <c r="B237" s="27" t="s">
        <v>755</v>
      </c>
      <c r="C237" s="27" t="s">
        <v>756</v>
      </c>
      <c r="D237" s="27" t="s">
        <v>757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10.0</v>
      </c>
      <c r="K237" s="33" t="n">
        <f>1349</f>
        <v>1349.0</v>
      </c>
      <c r="L237" s="34" t="s">
        <v>48</v>
      </c>
      <c r="M237" s="33" t="n">
        <f>1349</f>
        <v>1349.0</v>
      </c>
      <c r="N237" s="34" t="s">
        <v>48</v>
      </c>
      <c r="O237" s="33" t="n">
        <f>1205</f>
        <v>1205.0</v>
      </c>
      <c r="P237" s="34" t="s">
        <v>50</v>
      </c>
      <c r="Q237" s="33" t="n">
        <f>1205</f>
        <v>1205.0</v>
      </c>
      <c r="R237" s="34" t="s">
        <v>50</v>
      </c>
      <c r="S237" s="35" t="n">
        <f>1281</f>
        <v>1281.0</v>
      </c>
      <c r="T237" s="32" t="n">
        <f>8930</f>
        <v>8930.0</v>
      </c>
      <c r="U237" s="32" t="str">
        <f>"－"</f>
        <v>－</v>
      </c>
      <c r="V237" s="32" t="n">
        <f>11521300</f>
        <v>1.15213E7</v>
      </c>
      <c r="W237" s="32" t="str">
        <f>"－"</f>
        <v>－</v>
      </c>
      <c r="X237" s="36" t="n">
        <f>9</f>
        <v>9.0</v>
      </c>
    </row>
    <row r="238">
      <c r="A238" s="27" t="s">
        <v>42</v>
      </c>
      <c r="B238" s="27" t="s">
        <v>758</v>
      </c>
      <c r="C238" s="27" t="s">
        <v>759</v>
      </c>
      <c r="D238" s="27" t="s">
        <v>760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10.0</v>
      </c>
      <c r="K238" s="33" t="n">
        <f>1287</f>
        <v>1287.0</v>
      </c>
      <c r="L238" s="34" t="s">
        <v>48</v>
      </c>
      <c r="M238" s="33" t="n">
        <f>1319</f>
        <v>1319.0</v>
      </c>
      <c r="N238" s="34" t="s">
        <v>60</v>
      </c>
      <c r="O238" s="33" t="n">
        <f>1189</f>
        <v>1189.0</v>
      </c>
      <c r="P238" s="34" t="s">
        <v>50</v>
      </c>
      <c r="Q238" s="33" t="n">
        <f>1189</f>
        <v>1189.0</v>
      </c>
      <c r="R238" s="34" t="s">
        <v>50</v>
      </c>
      <c r="S238" s="35" t="n">
        <f>1289.44</f>
        <v>1289.44</v>
      </c>
      <c r="T238" s="32" t="n">
        <f>44500</f>
        <v>44500.0</v>
      </c>
      <c r="U238" s="32" t="n">
        <f>24000</f>
        <v>24000.0</v>
      </c>
      <c r="V238" s="32" t="n">
        <f>57892340</f>
        <v>5.789234E7</v>
      </c>
      <c r="W238" s="32" t="n">
        <f>31368000</f>
        <v>3.1368E7</v>
      </c>
      <c r="X238" s="36" t="n">
        <f>18</f>
        <v>18.0</v>
      </c>
    </row>
    <row r="239">
      <c r="A239" s="27" t="s">
        <v>42</v>
      </c>
      <c r="B239" s="27" t="s">
        <v>761</v>
      </c>
      <c r="C239" s="27" t="s">
        <v>762</v>
      </c>
      <c r="D239" s="27" t="s">
        <v>763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1.0</v>
      </c>
      <c r="K239" s="33" t="n">
        <f>1002</f>
        <v>1002.0</v>
      </c>
      <c r="L239" s="34" t="s">
        <v>48</v>
      </c>
      <c r="M239" s="33" t="n">
        <f>1054</f>
        <v>1054.0</v>
      </c>
      <c r="N239" s="34" t="s">
        <v>49</v>
      </c>
      <c r="O239" s="33" t="n">
        <f>904</f>
        <v>904.0</v>
      </c>
      <c r="P239" s="34" t="s">
        <v>50</v>
      </c>
      <c r="Q239" s="33" t="n">
        <f>916</f>
        <v>916.0</v>
      </c>
      <c r="R239" s="34" t="s">
        <v>50</v>
      </c>
      <c r="S239" s="35" t="n">
        <f>1004.33</f>
        <v>1004.33</v>
      </c>
      <c r="T239" s="32" t="n">
        <f>52591</f>
        <v>52591.0</v>
      </c>
      <c r="U239" s="32" t="str">
        <f>"－"</f>
        <v>－</v>
      </c>
      <c r="V239" s="32" t="n">
        <f>51214787</f>
        <v>5.1214787E7</v>
      </c>
      <c r="W239" s="32" t="str">
        <f>"－"</f>
        <v>－</v>
      </c>
      <c r="X239" s="36" t="n">
        <f>18</f>
        <v>18.0</v>
      </c>
    </row>
    <row r="240">
      <c r="A240" s="27" t="s">
        <v>42</v>
      </c>
      <c r="B240" s="27" t="s">
        <v>764</v>
      </c>
      <c r="C240" s="27" t="s">
        <v>765</v>
      </c>
      <c r="D240" s="27" t="s">
        <v>766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1.0</v>
      </c>
      <c r="K240" s="33" t="n">
        <f>10010</f>
        <v>10010.0</v>
      </c>
      <c r="L240" s="34" t="s">
        <v>48</v>
      </c>
      <c r="M240" s="33" t="n">
        <f>10860</f>
        <v>10860.0</v>
      </c>
      <c r="N240" s="34" t="s">
        <v>178</v>
      </c>
      <c r="O240" s="33" t="n">
        <f>9750</f>
        <v>9750.0</v>
      </c>
      <c r="P240" s="34" t="s">
        <v>101</v>
      </c>
      <c r="Q240" s="33" t="n">
        <f>10010</f>
        <v>10010.0</v>
      </c>
      <c r="R240" s="34" t="s">
        <v>50</v>
      </c>
      <c r="S240" s="35" t="n">
        <f>10393.33</f>
        <v>10393.33</v>
      </c>
      <c r="T240" s="32" t="n">
        <f>1251</f>
        <v>1251.0</v>
      </c>
      <c r="U240" s="32" t="str">
        <f>"－"</f>
        <v>－</v>
      </c>
      <c r="V240" s="32" t="n">
        <f>12989850</f>
        <v>1.298985E7</v>
      </c>
      <c r="W240" s="32" t="str">
        <f>"－"</f>
        <v>－</v>
      </c>
      <c r="X240" s="36" t="n">
        <f>18</f>
        <v>18.0</v>
      </c>
    </row>
    <row r="241">
      <c r="A241" s="27" t="s">
        <v>42</v>
      </c>
      <c r="B241" s="27" t="s">
        <v>767</v>
      </c>
      <c r="C241" s="27" t="s">
        <v>768</v>
      </c>
      <c r="D241" s="27" t="s">
        <v>769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1.0</v>
      </c>
      <c r="K241" s="33" t="n">
        <f>2356</f>
        <v>2356.0</v>
      </c>
      <c r="L241" s="34" t="s">
        <v>48</v>
      </c>
      <c r="M241" s="33" t="n">
        <f>2385</f>
        <v>2385.0</v>
      </c>
      <c r="N241" s="34" t="s">
        <v>60</v>
      </c>
      <c r="O241" s="33" t="n">
        <f>2140</f>
        <v>2140.0</v>
      </c>
      <c r="P241" s="34" t="s">
        <v>50</v>
      </c>
      <c r="Q241" s="33" t="n">
        <f>2149</f>
        <v>2149.0</v>
      </c>
      <c r="R241" s="34" t="s">
        <v>50</v>
      </c>
      <c r="S241" s="35" t="n">
        <f>2337.5</f>
        <v>2337.5</v>
      </c>
      <c r="T241" s="32" t="n">
        <f>9581</f>
        <v>9581.0</v>
      </c>
      <c r="U241" s="32" t="str">
        <f>"－"</f>
        <v>－</v>
      </c>
      <c r="V241" s="32" t="n">
        <f>22298254</f>
        <v>2.2298254E7</v>
      </c>
      <c r="W241" s="32" t="str">
        <f>"－"</f>
        <v>－</v>
      </c>
      <c r="X241" s="36" t="n">
        <f>18</f>
        <v>18.0</v>
      </c>
    </row>
    <row r="242">
      <c r="A242" s="27" t="s">
        <v>42</v>
      </c>
      <c r="B242" s="27" t="s">
        <v>770</v>
      </c>
      <c r="C242" s="27" t="s">
        <v>771</v>
      </c>
      <c r="D242" s="27" t="s">
        <v>772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10.0</v>
      </c>
      <c r="K242" s="33" t="n">
        <f>1000</f>
        <v>1000.0</v>
      </c>
      <c r="L242" s="34" t="s">
        <v>48</v>
      </c>
      <c r="M242" s="33" t="n">
        <f>1153</f>
        <v>1153.0</v>
      </c>
      <c r="N242" s="34" t="s">
        <v>278</v>
      </c>
      <c r="O242" s="33" t="n">
        <f>980</f>
        <v>980.0</v>
      </c>
      <c r="P242" s="34" t="s">
        <v>101</v>
      </c>
      <c r="Q242" s="33" t="n">
        <f>1075</f>
        <v>1075.0</v>
      </c>
      <c r="R242" s="34" t="s">
        <v>50</v>
      </c>
      <c r="S242" s="35" t="n">
        <f>1073.9</f>
        <v>1073.9</v>
      </c>
      <c r="T242" s="32" t="n">
        <f>2980</f>
        <v>2980.0</v>
      </c>
      <c r="U242" s="32" t="str">
        <f>"－"</f>
        <v>－</v>
      </c>
      <c r="V242" s="32" t="n">
        <f>3158760</f>
        <v>3158760.0</v>
      </c>
      <c r="W242" s="32" t="str">
        <f>"－"</f>
        <v>－</v>
      </c>
      <c r="X242" s="36" t="n">
        <f>10</f>
        <v>10.0</v>
      </c>
    </row>
    <row r="243">
      <c r="A243" s="27" t="s">
        <v>42</v>
      </c>
      <c r="B243" s="27" t="s">
        <v>773</v>
      </c>
      <c r="C243" s="27" t="s">
        <v>774</v>
      </c>
      <c r="D243" s="27" t="s">
        <v>775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10.0</v>
      </c>
      <c r="K243" s="33" t="n">
        <f>1012</f>
        <v>1012.0</v>
      </c>
      <c r="L243" s="34" t="s">
        <v>101</v>
      </c>
      <c r="M243" s="33" t="n">
        <f>1040</f>
        <v>1040.0</v>
      </c>
      <c r="N243" s="34" t="s">
        <v>278</v>
      </c>
      <c r="O243" s="33" t="n">
        <f>1005</f>
        <v>1005.0</v>
      </c>
      <c r="P243" s="34" t="s">
        <v>49</v>
      </c>
      <c r="Q243" s="33" t="n">
        <f>1020</f>
        <v>1020.0</v>
      </c>
      <c r="R243" s="34" t="s">
        <v>50</v>
      </c>
      <c r="S243" s="35" t="n">
        <f>1012.31</f>
        <v>1012.31</v>
      </c>
      <c r="T243" s="32" t="n">
        <f>27940</f>
        <v>27940.0</v>
      </c>
      <c r="U243" s="32" t="str">
        <f>"－"</f>
        <v>－</v>
      </c>
      <c r="V243" s="32" t="n">
        <f>28285010</f>
        <v>2.828501E7</v>
      </c>
      <c r="W243" s="32" t="str">
        <f>"－"</f>
        <v>－</v>
      </c>
      <c r="X243" s="36" t="n">
        <f>16</f>
        <v>16.0</v>
      </c>
    </row>
    <row r="244">
      <c r="A244" s="27" t="s">
        <v>42</v>
      </c>
      <c r="B244" s="27" t="s">
        <v>776</v>
      </c>
      <c r="C244" s="27" t="s">
        <v>777</v>
      </c>
      <c r="D244" s="27" t="s">
        <v>778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10.0</v>
      </c>
      <c r="K244" s="33" t="n">
        <f>2251</f>
        <v>2251.0</v>
      </c>
      <c r="L244" s="34" t="s">
        <v>48</v>
      </c>
      <c r="M244" s="33" t="n">
        <f>2337</f>
        <v>2337.0</v>
      </c>
      <c r="N244" s="34" t="s">
        <v>96</v>
      </c>
      <c r="O244" s="33" t="n">
        <f>2065</f>
        <v>2065.0</v>
      </c>
      <c r="P244" s="34" t="s">
        <v>50</v>
      </c>
      <c r="Q244" s="33" t="n">
        <f>2065</f>
        <v>2065.0</v>
      </c>
      <c r="R244" s="34" t="s">
        <v>50</v>
      </c>
      <c r="S244" s="35" t="n">
        <f>2238.79</f>
        <v>2238.79</v>
      </c>
      <c r="T244" s="32" t="n">
        <f>2900</f>
        <v>2900.0</v>
      </c>
      <c r="U244" s="32" t="str">
        <f>"－"</f>
        <v>－</v>
      </c>
      <c r="V244" s="32" t="n">
        <f>6497580</f>
        <v>6497580.0</v>
      </c>
      <c r="W244" s="32" t="str">
        <f>"－"</f>
        <v>－</v>
      </c>
      <c r="X244" s="36" t="n">
        <f>14</f>
        <v>14.0</v>
      </c>
    </row>
    <row r="245">
      <c r="A245" s="27" t="s">
        <v>42</v>
      </c>
      <c r="B245" s="27" t="s">
        <v>779</v>
      </c>
      <c r="C245" s="27" t="s">
        <v>780</v>
      </c>
      <c r="D245" s="27" t="s">
        <v>781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10.0</v>
      </c>
      <c r="K245" s="33" t="n">
        <f>2205</f>
        <v>2205.0</v>
      </c>
      <c r="L245" s="34" t="s">
        <v>101</v>
      </c>
      <c r="M245" s="33" t="n">
        <f>2291</f>
        <v>2291.0</v>
      </c>
      <c r="N245" s="34" t="s">
        <v>278</v>
      </c>
      <c r="O245" s="33" t="n">
        <f>2048</f>
        <v>2048.0</v>
      </c>
      <c r="P245" s="34" t="s">
        <v>50</v>
      </c>
      <c r="Q245" s="33" t="n">
        <f>2048</f>
        <v>2048.0</v>
      </c>
      <c r="R245" s="34" t="s">
        <v>50</v>
      </c>
      <c r="S245" s="35" t="n">
        <f>2222.15</f>
        <v>2222.15</v>
      </c>
      <c r="T245" s="32" t="n">
        <f>416240</f>
        <v>416240.0</v>
      </c>
      <c r="U245" s="32" t="n">
        <f>415110</f>
        <v>415110.0</v>
      </c>
      <c r="V245" s="32" t="n">
        <f>927437208</f>
        <v>9.27437208E8</v>
      </c>
      <c r="W245" s="32" t="n">
        <f>924935648</f>
        <v>9.24935648E8</v>
      </c>
      <c r="X245" s="36" t="n">
        <f>13</f>
        <v>13.0</v>
      </c>
    </row>
    <row r="246">
      <c r="A246" s="27" t="s">
        <v>42</v>
      </c>
      <c r="B246" s="27" t="s">
        <v>782</v>
      </c>
      <c r="C246" s="27" t="s">
        <v>783</v>
      </c>
      <c r="D246" s="27" t="s">
        <v>784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10.0</v>
      </c>
      <c r="K246" s="33" t="n">
        <f>1690</f>
        <v>1690.0</v>
      </c>
      <c r="L246" s="34" t="s">
        <v>174</v>
      </c>
      <c r="M246" s="33" t="n">
        <f>1690</f>
        <v>1690.0</v>
      </c>
      <c r="N246" s="34" t="s">
        <v>174</v>
      </c>
      <c r="O246" s="33" t="n">
        <f>1505</f>
        <v>1505.0</v>
      </c>
      <c r="P246" s="34" t="s">
        <v>50</v>
      </c>
      <c r="Q246" s="33" t="n">
        <f>1505</f>
        <v>1505.0</v>
      </c>
      <c r="R246" s="34" t="s">
        <v>50</v>
      </c>
      <c r="S246" s="35" t="n">
        <f>1598.33</f>
        <v>1598.33</v>
      </c>
      <c r="T246" s="32" t="n">
        <f>50</f>
        <v>50.0</v>
      </c>
      <c r="U246" s="32" t="str">
        <f>"－"</f>
        <v>－</v>
      </c>
      <c r="V246" s="32" t="n">
        <f>81750</f>
        <v>81750.0</v>
      </c>
      <c r="W246" s="32" t="str">
        <f>"－"</f>
        <v>－</v>
      </c>
      <c r="X246" s="36" t="n">
        <f>3</f>
        <v>3.0</v>
      </c>
    </row>
    <row r="247">
      <c r="A247" s="27" t="s">
        <v>42</v>
      </c>
      <c r="B247" s="27" t="s">
        <v>785</v>
      </c>
      <c r="C247" s="27" t="s">
        <v>786</v>
      </c>
      <c r="D247" s="27" t="s">
        <v>787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1.0</v>
      </c>
      <c r="K247" s="33" t="n">
        <f>10150</f>
        <v>10150.0</v>
      </c>
      <c r="L247" s="34" t="s">
        <v>48</v>
      </c>
      <c r="M247" s="33" t="n">
        <f>10950</f>
        <v>10950.0</v>
      </c>
      <c r="N247" s="34" t="s">
        <v>164</v>
      </c>
      <c r="O247" s="33" t="n">
        <f>9080</f>
        <v>9080.0</v>
      </c>
      <c r="P247" s="34" t="s">
        <v>50</v>
      </c>
      <c r="Q247" s="33" t="n">
        <f>9100</f>
        <v>9100.0</v>
      </c>
      <c r="R247" s="34" t="s">
        <v>50</v>
      </c>
      <c r="S247" s="35" t="n">
        <f>10336.67</f>
        <v>10336.67</v>
      </c>
      <c r="T247" s="32" t="n">
        <f>111007</f>
        <v>111007.0</v>
      </c>
      <c r="U247" s="32" t="n">
        <f>160</f>
        <v>160.0</v>
      </c>
      <c r="V247" s="32" t="n">
        <f>1113034280</f>
        <v>1.11303428E9</v>
      </c>
      <c r="W247" s="32" t="n">
        <f>1496950</f>
        <v>1496950.0</v>
      </c>
      <c r="X247" s="36" t="n">
        <f>18</f>
        <v>18.0</v>
      </c>
    </row>
    <row r="248">
      <c r="A248" s="27" t="s">
        <v>42</v>
      </c>
      <c r="B248" s="27" t="s">
        <v>788</v>
      </c>
      <c r="C248" s="27" t="s">
        <v>789</v>
      </c>
      <c r="D248" s="27" t="s">
        <v>790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1.0</v>
      </c>
      <c r="K248" s="33" t="n">
        <f>10010</f>
        <v>10010.0</v>
      </c>
      <c r="L248" s="34" t="s">
        <v>48</v>
      </c>
      <c r="M248" s="33" t="n">
        <f>10600</f>
        <v>10600.0</v>
      </c>
      <c r="N248" s="34" t="s">
        <v>60</v>
      </c>
      <c r="O248" s="33" t="n">
        <f>9060</f>
        <v>9060.0</v>
      </c>
      <c r="P248" s="34" t="s">
        <v>50</v>
      </c>
      <c r="Q248" s="33" t="n">
        <f>9060</f>
        <v>9060.0</v>
      </c>
      <c r="R248" s="34" t="s">
        <v>50</v>
      </c>
      <c r="S248" s="35" t="n">
        <f>10187.78</f>
        <v>10187.78</v>
      </c>
      <c r="T248" s="32" t="n">
        <f>53107</f>
        <v>53107.0</v>
      </c>
      <c r="U248" s="32" t="str">
        <f>"－"</f>
        <v>－</v>
      </c>
      <c r="V248" s="32" t="n">
        <f>524178210</f>
        <v>5.2417821E8</v>
      </c>
      <c r="W248" s="32" t="str">
        <f>"－"</f>
        <v>－</v>
      </c>
      <c r="X248" s="36" t="n">
        <f>18</f>
        <v>18.0</v>
      </c>
    </row>
    <row r="249">
      <c r="A249" s="27" t="s">
        <v>42</v>
      </c>
      <c r="B249" s="27" t="s">
        <v>791</v>
      </c>
      <c r="C249" s="27" t="s">
        <v>792</v>
      </c>
      <c r="D249" s="27" t="s">
        <v>793</v>
      </c>
      <c r="E249" s="28" t="s">
        <v>794</v>
      </c>
      <c r="F249" s="29" t="s">
        <v>795</v>
      </c>
      <c r="G249" s="30" t="s">
        <v>796</v>
      </c>
      <c r="H249" s="31"/>
      <c r="I249" s="31" t="s">
        <v>47</v>
      </c>
      <c r="J249" s="32" t="n">
        <v>1.0</v>
      </c>
      <c r="K249" s="33" t="n">
        <f>22920</f>
        <v>22920.0</v>
      </c>
      <c r="L249" s="34" t="s">
        <v>49</v>
      </c>
      <c r="M249" s="33" t="n">
        <f>23030</f>
        <v>23030.0</v>
      </c>
      <c r="N249" s="34" t="s">
        <v>145</v>
      </c>
      <c r="O249" s="33" t="n">
        <f>19990</f>
        <v>19990.0</v>
      </c>
      <c r="P249" s="34" t="s">
        <v>50</v>
      </c>
      <c r="Q249" s="33" t="n">
        <f>19990</f>
        <v>19990.0</v>
      </c>
      <c r="R249" s="34" t="s">
        <v>50</v>
      </c>
      <c r="S249" s="35" t="n">
        <f>22030</f>
        <v>22030.0</v>
      </c>
      <c r="T249" s="32" t="n">
        <f>165</f>
        <v>165.0</v>
      </c>
      <c r="U249" s="32" t="str">
        <f>"－"</f>
        <v>－</v>
      </c>
      <c r="V249" s="32" t="n">
        <f>3511020</f>
        <v>3511020.0</v>
      </c>
      <c r="W249" s="32" t="str">
        <f>"－"</f>
        <v>－</v>
      </c>
      <c r="X249" s="36" t="n">
        <f>8</f>
        <v>8.0</v>
      </c>
    </row>
    <row r="250">
      <c r="A250" s="27" t="s">
        <v>42</v>
      </c>
      <c r="B250" s="27" t="s">
        <v>797</v>
      </c>
      <c r="C250" s="27" t="s">
        <v>798</v>
      </c>
      <c r="D250" s="27" t="s">
        <v>799</v>
      </c>
      <c r="E250" s="28" t="s">
        <v>794</v>
      </c>
      <c r="F250" s="29" t="s">
        <v>795</v>
      </c>
      <c r="G250" s="30" t="s">
        <v>800</v>
      </c>
      <c r="H250" s="31"/>
      <c r="I250" s="31" t="s">
        <v>47</v>
      </c>
      <c r="J250" s="32" t="n">
        <v>1.0</v>
      </c>
      <c r="K250" s="33" t="n">
        <f>3140</f>
        <v>3140.0</v>
      </c>
      <c r="L250" s="34" t="s">
        <v>278</v>
      </c>
      <c r="M250" s="33" t="n">
        <f>3140</f>
        <v>3140.0</v>
      </c>
      <c r="N250" s="34" t="s">
        <v>278</v>
      </c>
      <c r="O250" s="33" t="n">
        <f>2800</f>
        <v>2800.0</v>
      </c>
      <c r="P250" s="34" t="s">
        <v>278</v>
      </c>
      <c r="Q250" s="33" t="n">
        <f>2818</f>
        <v>2818.0</v>
      </c>
      <c r="R250" s="34" t="s">
        <v>50</v>
      </c>
      <c r="S250" s="35" t="n">
        <f>2812.33</f>
        <v>2812.33</v>
      </c>
      <c r="T250" s="32" t="n">
        <f>3069</f>
        <v>3069.0</v>
      </c>
      <c r="U250" s="32" t="str">
        <f>"－"</f>
        <v>－</v>
      </c>
      <c r="V250" s="32" t="n">
        <f>8748376</f>
        <v>8748376.0</v>
      </c>
      <c r="W250" s="32" t="str">
        <f>"－"</f>
        <v>－</v>
      </c>
      <c r="X250" s="36" t="n">
        <f>3</f>
        <v>3.0</v>
      </c>
    </row>
    <row r="251">
      <c r="A251" s="27" t="s">
        <v>42</v>
      </c>
      <c r="B251" s="27" t="s">
        <v>801</v>
      </c>
      <c r="C251" s="27" t="s">
        <v>802</v>
      </c>
      <c r="D251" s="27" t="s">
        <v>803</v>
      </c>
      <c r="E251" s="28" t="s">
        <v>46</v>
      </c>
      <c r="F251" s="29" t="s">
        <v>46</v>
      </c>
      <c r="G251" s="30" t="s">
        <v>46</v>
      </c>
      <c r="H251" s="31"/>
      <c r="I251" s="31" t="s">
        <v>47</v>
      </c>
      <c r="J251" s="32" t="n">
        <v>1.0</v>
      </c>
      <c r="K251" s="33" t="n">
        <f>129900</f>
        <v>129900.0</v>
      </c>
      <c r="L251" s="34" t="s">
        <v>48</v>
      </c>
      <c r="M251" s="33" t="n">
        <f>135300</f>
        <v>135300.0</v>
      </c>
      <c r="N251" s="34" t="s">
        <v>60</v>
      </c>
      <c r="O251" s="33" t="n">
        <f>114000</f>
        <v>114000.0</v>
      </c>
      <c r="P251" s="34" t="s">
        <v>50</v>
      </c>
      <c r="Q251" s="33" t="n">
        <f>114100</f>
        <v>114100.0</v>
      </c>
      <c r="R251" s="34" t="s">
        <v>50</v>
      </c>
      <c r="S251" s="35" t="n">
        <f>129661.11</f>
        <v>129661.11</v>
      </c>
      <c r="T251" s="32" t="n">
        <f>79557</f>
        <v>79557.0</v>
      </c>
      <c r="U251" s="32" t="n">
        <f>11591</f>
        <v>11591.0</v>
      </c>
      <c r="V251" s="32" t="n">
        <f>10237039530</f>
        <v>1.023703953E10</v>
      </c>
      <c r="W251" s="32" t="n">
        <f>1493891630</f>
        <v>1.49389163E9</v>
      </c>
      <c r="X251" s="36" t="n">
        <f>18</f>
        <v>18.0</v>
      </c>
    </row>
    <row r="252">
      <c r="A252" s="27" t="s">
        <v>42</v>
      </c>
      <c r="B252" s="27" t="s">
        <v>804</v>
      </c>
      <c r="C252" s="27" t="s">
        <v>805</v>
      </c>
      <c r="D252" s="27" t="s">
        <v>806</v>
      </c>
      <c r="E252" s="28" t="s">
        <v>46</v>
      </c>
      <c r="F252" s="29" t="s">
        <v>46</v>
      </c>
      <c r="G252" s="30" t="s">
        <v>46</v>
      </c>
      <c r="H252" s="31"/>
      <c r="I252" s="31" t="s">
        <v>634</v>
      </c>
      <c r="J252" s="32" t="n">
        <v>1.0</v>
      </c>
      <c r="K252" s="33" t="n">
        <f>134000</f>
        <v>134000.0</v>
      </c>
      <c r="L252" s="34" t="s">
        <v>48</v>
      </c>
      <c r="M252" s="33" t="n">
        <f>139700</f>
        <v>139700.0</v>
      </c>
      <c r="N252" s="34" t="s">
        <v>60</v>
      </c>
      <c r="O252" s="33" t="n">
        <f>119300</f>
        <v>119300.0</v>
      </c>
      <c r="P252" s="34" t="s">
        <v>50</v>
      </c>
      <c r="Q252" s="33" t="n">
        <f>120600</f>
        <v>120600.0</v>
      </c>
      <c r="R252" s="34" t="s">
        <v>50</v>
      </c>
      <c r="S252" s="35" t="n">
        <f>134472.22</f>
        <v>134472.22</v>
      </c>
      <c r="T252" s="32" t="n">
        <f>31282</f>
        <v>31282.0</v>
      </c>
      <c r="U252" s="32" t="n">
        <f>7802</f>
        <v>7802.0</v>
      </c>
      <c r="V252" s="32" t="n">
        <f>4173845910</f>
        <v>4.17384591E9</v>
      </c>
      <c r="W252" s="32" t="n">
        <f>1050175210</f>
        <v>1.05017521E9</v>
      </c>
      <c r="X252" s="36" t="n">
        <f>18</f>
        <v>18.0</v>
      </c>
    </row>
    <row r="253">
      <c r="A253" s="27" t="s">
        <v>42</v>
      </c>
      <c r="B253" s="27" t="s">
        <v>807</v>
      </c>
      <c r="C253" s="27" t="s">
        <v>808</v>
      </c>
      <c r="D253" s="27" t="s">
        <v>809</v>
      </c>
      <c r="E253" s="28" t="s">
        <v>46</v>
      </c>
      <c r="F253" s="29" t="s">
        <v>46</v>
      </c>
      <c r="G253" s="30" t="s">
        <v>46</v>
      </c>
      <c r="H253" s="31"/>
      <c r="I253" s="31" t="s">
        <v>634</v>
      </c>
      <c r="J253" s="32" t="n">
        <v>1.0</v>
      </c>
      <c r="K253" s="33" t="n">
        <f>122800</f>
        <v>122800.0</v>
      </c>
      <c r="L253" s="34" t="s">
        <v>48</v>
      </c>
      <c r="M253" s="33" t="n">
        <f>132200</f>
        <v>132200.0</v>
      </c>
      <c r="N253" s="34" t="s">
        <v>49</v>
      </c>
      <c r="O253" s="33" t="n">
        <f>117500</f>
        <v>117500.0</v>
      </c>
      <c r="P253" s="34" t="s">
        <v>50</v>
      </c>
      <c r="Q253" s="33" t="n">
        <f>119500</f>
        <v>119500.0</v>
      </c>
      <c r="R253" s="34" t="s">
        <v>50</v>
      </c>
      <c r="S253" s="35" t="n">
        <f>125922.22</f>
        <v>125922.22</v>
      </c>
      <c r="T253" s="32" t="n">
        <f>69879</f>
        <v>69879.0</v>
      </c>
      <c r="U253" s="32" t="n">
        <f>15660</f>
        <v>15660.0</v>
      </c>
      <c r="V253" s="32" t="n">
        <f>8761956248</f>
        <v>8.761956248E9</v>
      </c>
      <c r="W253" s="32" t="n">
        <f>1971063248</f>
        <v>1.971063248E9</v>
      </c>
      <c r="X253" s="36" t="n">
        <f>18</f>
        <v>18.0</v>
      </c>
    </row>
    <row r="254">
      <c r="A254" s="27" t="s">
        <v>42</v>
      </c>
      <c r="B254" s="27" t="s">
        <v>810</v>
      </c>
      <c r="C254" s="27" t="s">
        <v>811</v>
      </c>
      <c r="D254" s="27" t="s">
        <v>812</v>
      </c>
      <c r="E254" s="28" t="s">
        <v>46</v>
      </c>
      <c r="F254" s="29" t="s">
        <v>46</v>
      </c>
      <c r="G254" s="30" t="s">
        <v>46</v>
      </c>
      <c r="H254" s="31"/>
      <c r="I254" s="31" t="s">
        <v>47</v>
      </c>
      <c r="J254" s="32" t="n">
        <v>1.0</v>
      </c>
      <c r="K254" s="33" t="n">
        <f>719000</f>
        <v>719000.0</v>
      </c>
      <c r="L254" s="34" t="s">
        <v>48</v>
      </c>
      <c r="M254" s="33" t="n">
        <f>734000</f>
        <v>734000.0</v>
      </c>
      <c r="N254" s="34" t="s">
        <v>96</v>
      </c>
      <c r="O254" s="33" t="n">
        <f>658000</f>
        <v>658000.0</v>
      </c>
      <c r="P254" s="34" t="s">
        <v>50</v>
      </c>
      <c r="Q254" s="33" t="n">
        <f>661000</f>
        <v>661000.0</v>
      </c>
      <c r="R254" s="34" t="s">
        <v>50</v>
      </c>
      <c r="S254" s="35" t="n">
        <f>709333.33</f>
        <v>709333.33</v>
      </c>
      <c r="T254" s="32" t="n">
        <f>25165</f>
        <v>25165.0</v>
      </c>
      <c r="U254" s="32" t="n">
        <f>6050</f>
        <v>6050.0</v>
      </c>
      <c r="V254" s="32" t="n">
        <f>17799130556</f>
        <v>1.7799130556E10</v>
      </c>
      <c r="W254" s="32" t="n">
        <f>4288986556</f>
        <v>4.288986556E9</v>
      </c>
      <c r="X254" s="36" t="n">
        <f>18</f>
        <v>18.0</v>
      </c>
    </row>
    <row r="255">
      <c r="A255" s="27" t="s">
        <v>42</v>
      </c>
      <c r="B255" s="27" t="s">
        <v>813</v>
      </c>
      <c r="C255" s="27" t="s">
        <v>814</v>
      </c>
      <c r="D255" s="27" t="s">
        <v>815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1.0</v>
      </c>
      <c r="K255" s="33" t="n">
        <f>125800</f>
        <v>125800.0</v>
      </c>
      <c r="L255" s="34" t="s">
        <v>48</v>
      </c>
      <c r="M255" s="33" t="n">
        <f>131200</f>
        <v>131200.0</v>
      </c>
      <c r="N255" s="34" t="s">
        <v>60</v>
      </c>
      <c r="O255" s="33" t="n">
        <f>111400</f>
        <v>111400.0</v>
      </c>
      <c r="P255" s="34" t="s">
        <v>50</v>
      </c>
      <c r="Q255" s="33" t="n">
        <f>112600</f>
        <v>112600.0</v>
      </c>
      <c r="R255" s="34" t="s">
        <v>50</v>
      </c>
      <c r="S255" s="35" t="n">
        <f>124183.33</f>
        <v>124183.33</v>
      </c>
      <c r="T255" s="32" t="n">
        <f>192504</f>
        <v>192504.0</v>
      </c>
      <c r="U255" s="32" t="n">
        <f>34755</f>
        <v>34755.0</v>
      </c>
      <c r="V255" s="32" t="n">
        <f>23759477099</f>
        <v>2.3759477099E10</v>
      </c>
      <c r="W255" s="32" t="n">
        <f>4314929099</f>
        <v>4.314929099E9</v>
      </c>
      <c r="X255" s="36" t="n">
        <f>18</f>
        <v>18.0</v>
      </c>
    </row>
    <row r="256">
      <c r="A256" s="27" t="s">
        <v>42</v>
      </c>
      <c r="B256" s="27" t="s">
        <v>816</v>
      </c>
      <c r="C256" s="27" t="s">
        <v>817</v>
      </c>
      <c r="D256" s="27" t="s">
        <v>818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1.0</v>
      </c>
      <c r="K256" s="33" t="n">
        <f>180800</f>
        <v>180800.0</v>
      </c>
      <c r="L256" s="34" t="s">
        <v>48</v>
      </c>
      <c r="M256" s="33" t="n">
        <f>188200</f>
        <v>188200.0</v>
      </c>
      <c r="N256" s="34" t="s">
        <v>114</v>
      </c>
      <c r="O256" s="33" t="n">
        <f>169200</f>
        <v>169200.0</v>
      </c>
      <c r="P256" s="34" t="s">
        <v>50</v>
      </c>
      <c r="Q256" s="33" t="n">
        <f>169800</f>
        <v>169800.0</v>
      </c>
      <c r="R256" s="34" t="s">
        <v>50</v>
      </c>
      <c r="S256" s="35" t="n">
        <f>182633.33</f>
        <v>182633.33</v>
      </c>
      <c r="T256" s="32" t="n">
        <f>121832</f>
        <v>121832.0</v>
      </c>
      <c r="U256" s="32" t="n">
        <f>31363</f>
        <v>31363.0</v>
      </c>
      <c r="V256" s="32" t="n">
        <f>22183294124</f>
        <v>2.2183294124E10</v>
      </c>
      <c r="W256" s="32" t="n">
        <f>5722672324</f>
        <v>5.722672324E9</v>
      </c>
      <c r="X256" s="36" t="n">
        <f>18</f>
        <v>18.0</v>
      </c>
    </row>
    <row r="257">
      <c r="A257" s="27" t="s">
        <v>42</v>
      </c>
      <c r="B257" s="27" t="s">
        <v>819</v>
      </c>
      <c r="C257" s="27" t="s">
        <v>820</v>
      </c>
      <c r="D257" s="27" t="s">
        <v>821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1.0</v>
      </c>
      <c r="K257" s="33" t="n">
        <f>165400</f>
        <v>165400.0</v>
      </c>
      <c r="L257" s="34" t="s">
        <v>48</v>
      </c>
      <c r="M257" s="33" t="n">
        <f>186400</f>
        <v>186400.0</v>
      </c>
      <c r="N257" s="34" t="s">
        <v>60</v>
      </c>
      <c r="O257" s="33" t="n">
        <f>165200</f>
        <v>165200.0</v>
      </c>
      <c r="P257" s="34" t="s">
        <v>48</v>
      </c>
      <c r="Q257" s="33" t="n">
        <f>169700</f>
        <v>169700.0</v>
      </c>
      <c r="R257" s="34" t="s">
        <v>50</v>
      </c>
      <c r="S257" s="35" t="n">
        <f>176588.89</f>
        <v>176588.89</v>
      </c>
      <c r="T257" s="32" t="n">
        <f>152755</f>
        <v>152755.0</v>
      </c>
      <c r="U257" s="32" t="n">
        <f>30950</f>
        <v>30950.0</v>
      </c>
      <c r="V257" s="32" t="n">
        <f>26995721250</f>
        <v>2.699572125E10</v>
      </c>
      <c r="W257" s="32" t="n">
        <f>5487968950</f>
        <v>5.48796895E9</v>
      </c>
      <c r="X257" s="36" t="n">
        <f>18</f>
        <v>18.0</v>
      </c>
    </row>
    <row r="258">
      <c r="A258" s="27" t="s">
        <v>42</v>
      </c>
      <c r="B258" s="27" t="s">
        <v>822</v>
      </c>
      <c r="C258" s="27" t="s">
        <v>823</v>
      </c>
      <c r="D258" s="27" t="s">
        <v>824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1.0</v>
      </c>
      <c r="K258" s="33" t="n">
        <f>338500</f>
        <v>338500.0</v>
      </c>
      <c r="L258" s="34" t="s">
        <v>48</v>
      </c>
      <c r="M258" s="33" t="n">
        <f>346500</f>
        <v>346500.0</v>
      </c>
      <c r="N258" s="34" t="s">
        <v>60</v>
      </c>
      <c r="O258" s="33" t="n">
        <f>319500</f>
        <v>319500.0</v>
      </c>
      <c r="P258" s="34" t="s">
        <v>50</v>
      </c>
      <c r="Q258" s="33" t="n">
        <f>321500</f>
        <v>321500.0</v>
      </c>
      <c r="R258" s="34" t="s">
        <v>50</v>
      </c>
      <c r="S258" s="35" t="n">
        <f>339111.11</f>
        <v>339111.11</v>
      </c>
      <c r="T258" s="32" t="n">
        <f>117717</f>
        <v>117717.0</v>
      </c>
      <c r="U258" s="32" t="n">
        <f>31688</f>
        <v>31688.0</v>
      </c>
      <c r="V258" s="32" t="n">
        <f>39784087749</f>
        <v>3.9784087749E10</v>
      </c>
      <c r="W258" s="32" t="n">
        <f>10734835749</f>
        <v>1.0734835749E10</v>
      </c>
      <c r="X258" s="36" t="n">
        <f>18</f>
        <v>18.0</v>
      </c>
    </row>
    <row r="259">
      <c r="A259" s="27" t="s">
        <v>42</v>
      </c>
      <c r="B259" s="27" t="s">
        <v>825</v>
      </c>
      <c r="C259" s="27" t="s">
        <v>826</v>
      </c>
      <c r="D259" s="27" t="s">
        <v>827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1.0</v>
      </c>
      <c r="K259" s="33" t="n">
        <f>212300</f>
        <v>212300.0</v>
      </c>
      <c r="L259" s="34" t="s">
        <v>48</v>
      </c>
      <c r="M259" s="33" t="n">
        <f>218400</f>
        <v>218400.0</v>
      </c>
      <c r="N259" s="34" t="s">
        <v>164</v>
      </c>
      <c r="O259" s="33" t="n">
        <f>184500</f>
        <v>184500.0</v>
      </c>
      <c r="P259" s="34" t="s">
        <v>50</v>
      </c>
      <c r="Q259" s="33" t="n">
        <f>185100</f>
        <v>185100.0</v>
      </c>
      <c r="R259" s="34" t="s">
        <v>50</v>
      </c>
      <c r="S259" s="35" t="n">
        <f>209244.44</f>
        <v>209244.44</v>
      </c>
      <c r="T259" s="32" t="n">
        <f>108228</f>
        <v>108228.0</v>
      </c>
      <c r="U259" s="32" t="n">
        <f>22665</f>
        <v>22665.0</v>
      </c>
      <c r="V259" s="32" t="n">
        <f>22307999467</f>
        <v>2.2307999467E10</v>
      </c>
      <c r="W259" s="32" t="n">
        <f>4659150867</f>
        <v>4.659150867E9</v>
      </c>
      <c r="X259" s="36" t="n">
        <f>18</f>
        <v>18.0</v>
      </c>
    </row>
    <row r="260">
      <c r="A260" s="27" t="s">
        <v>42</v>
      </c>
      <c r="B260" s="27" t="s">
        <v>828</v>
      </c>
      <c r="C260" s="27" t="s">
        <v>829</v>
      </c>
      <c r="D260" s="27" t="s">
        <v>830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1.0</v>
      </c>
      <c r="K260" s="33" t="n">
        <f>577000</f>
        <v>577000.0</v>
      </c>
      <c r="L260" s="34" t="s">
        <v>48</v>
      </c>
      <c r="M260" s="33" t="n">
        <f>578000</f>
        <v>578000.0</v>
      </c>
      <c r="N260" s="34" t="s">
        <v>48</v>
      </c>
      <c r="O260" s="33" t="n">
        <f>512000</f>
        <v>512000.0</v>
      </c>
      <c r="P260" s="34" t="s">
        <v>50</v>
      </c>
      <c r="Q260" s="33" t="n">
        <f>514000</f>
        <v>514000.0</v>
      </c>
      <c r="R260" s="34" t="s">
        <v>50</v>
      </c>
      <c r="S260" s="35" t="n">
        <f>562944.44</f>
        <v>562944.44</v>
      </c>
      <c r="T260" s="32" t="n">
        <f>44960</f>
        <v>44960.0</v>
      </c>
      <c r="U260" s="32" t="n">
        <f>10250</f>
        <v>10250.0</v>
      </c>
      <c r="V260" s="32" t="n">
        <f>25107507493</f>
        <v>2.5107507493E10</v>
      </c>
      <c r="W260" s="32" t="n">
        <f>5736192493</f>
        <v>5.736192493E9</v>
      </c>
      <c r="X260" s="36" t="n">
        <f>18</f>
        <v>18.0</v>
      </c>
    </row>
    <row r="261">
      <c r="A261" s="27" t="s">
        <v>42</v>
      </c>
      <c r="B261" s="27" t="s">
        <v>831</v>
      </c>
      <c r="C261" s="27" t="s">
        <v>832</v>
      </c>
      <c r="D261" s="27" t="s">
        <v>833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1.0</v>
      </c>
      <c r="K261" s="33" t="n">
        <f>145200</f>
        <v>145200.0</v>
      </c>
      <c r="L261" s="34" t="s">
        <v>48</v>
      </c>
      <c r="M261" s="33" t="n">
        <f>151800</f>
        <v>151800.0</v>
      </c>
      <c r="N261" s="34" t="s">
        <v>96</v>
      </c>
      <c r="O261" s="33" t="n">
        <f>136100</f>
        <v>136100.0</v>
      </c>
      <c r="P261" s="34" t="s">
        <v>50</v>
      </c>
      <c r="Q261" s="33" t="n">
        <f>136800</f>
        <v>136800.0</v>
      </c>
      <c r="R261" s="34" t="s">
        <v>50</v>
      </c>
      <c r="S261" s="35" t="n">
        <f>147977.78</f>
        <v>147977.78</v>
      </c>
      <c r="T261" s="32" t="n">
        <f>370840</f>
        <v>370840.0</v>
      </c>
      <c r="U261" s="32" t="n">
        <f>74187</f>
        <v>74187.0</v>
      </c>
      <c r="V261" s="32" t="n">
        <f>54654308331</f>
        <v>5.4654308331E10</v>
      </c>
      <c r="W261" s="32" t="n">
        <f>10956945831</f>
        <v>1.0956945831E10</v>
      </c>
      <c r="X261" s="36" t="n">
        <f>18</f>
        <v>18.0</v>
      </c>
    </row>
    <row r="262">
      <c r="A262" s="27" t="s">
        <v>42</v>
      </c>
      <c r="B262" s="27" t="s">
        <v>834</v>
      </c>
      <c r="C262" s="27" t="s">
        <v>835</v>
      </c>
      <c r="D262" s="27" t="s">
        <v>836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1.0</v>
      </c>
      <c r="K262" s="33" t="n">
        <f>352000</f>
        <v>352000.0</v>
      </c>
      <c r="L262" s="34" t="s">
        <v>48</v>
      </c>
      <c r="M262" s="33" t="n">
        <f>357000</f>
        <v>357000.0</v>
      </c>
      <c r="N262" s="34" t="s">
        <v>48</v>
      </c>
      <c r="O262" s="33" t="n">
        <f>327500</f>
        <v>327500.0</v>
      </c>
      <c r="P262" s="34" t="s">
        <v>50</v>
      </c>
      <c r="Q262" s="33" t="n">
        <f>330500</f>
        <v>330500.0</v>
      </c>
      <c r="R262" s="34" t="s">
        <v>50</v>
      </c>
      <c r="S262" s="35" t="n">
        <f>349222.22</f>
        <v>349222.22</v>
      </c>
      <c r="T262" s="32" t="n">
        <f>64250</f>
        <v>64250.0</v>
      </c>
      <c r="U262" s="32" t="n">
        <f>15457</f>
        <v>15457.0</v>
      </c>
      <c r="V262" s="32" t="n">
        <f>22476206837</f>
        <v>2.2476206837E10</v>
      </c>
      <c r="W262" s="32" t="n">
        <f>5433956837</f>
        <v>5.433956837E9</v>
      </c>
      <c r="X262" s="36" t="n">
        <f>18</f>
        <v>18.0</v>
      </c>
    </row>
    <row r="263">
      <c r="A263" s="27" t="s">
        <v>42</v>
      </c>
      <c r="B263" s="27" t="s">
        <v>837</v>
      </c>
      <c r="C263" s="27" t="s">
        <v>838</v>
      </c>
      <c r="D263" s="27" t="s">
        <v>839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1.0</v>
      </c>
      <c r="K263" s="33" t="n">
        <f>309000</f>
        <v>309000.0</v>
      </c>
      <c r="L263" s="34" t="s">
        <v>48</v>
      </c>
      <c r="M263" s="33" t="n">
        <f>319000</f>
        <v>319000.0</v>
      </c>
      <c r="N263" s="34" t="s">
        <v>60</v>
      </c>
      <c r="O263" s="33" t="n">
        <f>290200</f>
        <v>290200.0</v>
      </c>
      <c r="P263" s="34" t="s">
        <v>50</v>
      </c>
      <c r="Q263" s="33" t="n">
        <f>292700</f>
        <v>292700.0</v>
      </c>
      <c r="R263" s="34" t="s">
        <v>50</v>
      </c>
      <c r="S263" s="35" t="n">
        <f>309122.22</f>
        <v>309122.22</v>
      </c>
      <c r="T263" s="32" t="n">
        <f>196001</f>
        <v>196001.0</v>
      </c>
      <c r="U263" s="32" t="n">
        <f>43918</f>
        <v>43918.0</v>
      </c>
      <c r="V263" s="32" t="n">
        <f>60447539548</f>
        <v>6.0447539548E10</v>
      </c>
      <c r="W263" s="32" t="n">
        <f>13588833748</f>
        <v>1.3588833748E10</v>
      </c>
      <c r="X263" s="36" t="n">
        <f>18</f>
        <v>18.0</v>
      </c>
    </row>
    <row r="264">
      <c r="A264" s="27" t="s">
        <v>42</v>
      </c>
      <c r="B264" s="27" t="s">
        <v>840</v>
      </c>
      <c r="C264" s="27" t="s">
        <v>841</v>
      </c>
      <c r="D264" s="27" t="s">
        <v>842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1.0</v>
      </c>
      <c r="K264" s="33" t="n">
        <f>552000</f>
        <v>552000.0</v>
      </c>
      <c r="L264" s="34" t="s">
        <v>48</v>
      </c>
      <c r="M264" s="33" t="n">
        <f>553000</f>
        <v>553000.0</v>
      </c>
      <c r="N264" s="34" t="s">
        <v>48</v>
      </c>
      <c r="O264" s="33" t="n">
        <f>461000</f>
        <v>461000.0</v>
      </c>
      <c r="P264" s="34" t="s">
        <v>50</v>
      </c>
      <c r="Q264" s="33" t="n">
        <f>465000</f>
        <v>465000.0</v>
      </c>
      <c r="R264" s="34" t="s">
        <v>50</v>
      </c>
      <c r="S264" s="35" t="n">
        <f>529666.67</f>
        <v>529666.67</v>
      </c>
      <c r="T264" s="32" t="n">
        <f>28869</f>
        <v>28869.0</v>
      </c>
      <c r="U264" s="32" t="n">
        <f>4640</f>
        <v>4640.0</v>
      </c>
      <c r="V264" s="32" t="n">
        <f>15160539545</f>
        <v>1.5160539545E10</v>
      </c>
      <c r="W264" s="32" t="n">
        <f>2455849545</f>
        <v>2.455849545E9</v>
      </c>
      <c r="X264" s="36" t="n">
        <f>18</f>
        <v>18.0</v>
      </c>
    </row>
    <row r="265">
      <c r="A265" s="27" t="s">
        <v>42</v>
      </c>
      <c r="B265" s="27" t="s">
        <v>843</v>
      </c>
      <c r="C265" s="27" t="s">
        <v>844</v>
      </c>
      <c r="D265" s="27" t="s">
        <v>845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1.0</v>
      </c>
      <c r="K265" s="33" t="n">
        <f>372500</f>
        <v>372500.0</v>
      </c>
      <c r="L265" s="34" t="s">
        <v>48</v>
      </c>
      <c r="M265" s="33" t="n">
        <f>386000</f>
        <v>386000.0</v>
      </c>
      <c r="N265" s="34" t="s">
        <v>60</v>
      </c>
      <c r="O265" s="33" t="n">
        <f>321000</f>
        <v>321000.0</v>
      </c>
      <c r="P265" s="34" t="s">
        <v>50</v>
      </c>
      <c r="Q265" s="33" t="n">
        <f>328000</f>
        <v>328000.0</v>
      </c>
      <c r="R265" s="34" t="s">
        <v>50</v>
      </c>
      <c r="S265" s="35" t="n">
        <f>372305.56</f>
        <v>372305.56</v>
      </c>
      <c r="T265" s="32" t="n">
        <f>18454</f>
        <v>18454.0</v>
      </c>
      <c r="U265" s="32" t="n">
        <f>2590</f>
        <v>2590.0</v>
      </c>
      <c r="V265" s="32" t="n">
        <f>6719737665</f>
        <v>6.719737665E9</v>
      </c>
      <c r="W265" s="32" t="n">
        <f>960883165</f>
        <v>9.60883165E8</v>
      </c>
      <c r="X265" s="36" t="n">
        <f>18</f>
        <v>18.0</v>
      </c>
    </row>
    <row r="266">
      <c r="A266" s="27" t="s">
        <v>42</v>
      </c>
      <c r="B266" s="27" t="s">
        <v>846</v>
      </c>
      <c r="C266" s="27" t="s">
        <v>847</v>
      </c>
      <c r="D266" s="27" t="s">
        <v>848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1.0</v>
      </c>
      <c r="K266" s="33" t="n">
        <f>146900</f>
        <v>146900.0</v>
      </c>
      <c r="L266" s="34" t="s">
        <v>48</v>
      </c>
      <c r="M266" s="33" t="n">
        <f>148200</f>
        <v>148200.0</v>
      </c>
      <c r="N266" s="34" t="s">
        <v>48</v>
      </c>
      <c r="O266" s="33" t="n">
        <f>130200</f>
        <v>130200.0</v>
      </c>
      <c r="P266" s="34" t="s">
        <v>50</v>
      </c>
      <c r="Q266" s="33" t="n">
        <f>131200</f>
        <v>131200.0</v>
      </c>
      <c r="R266" s="34" t="s">
        <v>50</v>
      </c>
      <c r="S266" s="35" t="n">
        <f>144322.22</f>
        <v>144322.22</v>
      </c>
      <c r="T266" s="32" t="n">
        <f>134815</f>
        <v>134815.0</v>
      </c>
      <c r="U266" s="32" t="n">
        <f>35808</f>
        <v>35808.0</v>
      </c>
      <c r="V266" s="32" t="n">
        <f>19304714680</f>
        <v>1.930471468E10</v>
      </c>
      <c r="W266" s="32" t="n">
        <f>5107538480</f>
        <v>5.10753848E9</v>
      </c>
      <c r="X266" s="36" t="n">
        <f>18</f>
        <v>18.0</v>
      </c>
    </row>
    <row r="267">
      <c r="A267" s="27" t="s">
        <v>42</v>
      </c>
      <c r="B267" s="27" t="s">
        <v>849</v>
      </c>
      <c r="C267" s="27" t="s">
        <v>850</v>
      </c>
      <c r="D267" s="27" t="s">
        <v>851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1.0</v>
      </c>
      <c r="K267" s="33" t="n">
        <f>200000</f>
        <v>200000.0</v>
      </c>
      <c r="L267" s="34" t="s">
        <v>48</v>
      </c>
      <c r="M267" s="33" t="n">
        <f>210700</f>
        <v>210700.0</v>
      </c>
      <c r="N267" s="34" t="s">
        <v>60</v>
      </c>
      <c r="O267" s="33" t="n">
        <f>181200</f>
        <v>181200.0</v>
      </c>
      <c r="P267" s="34" t="s">
        <v>50</v>
      </c>
      <c r="Q267" s="33" t="n">
        <f>182100</f>
        <v>182100.0</v>
      </c>
      <c r="R267" s="34" t="s">
        <v>50</v>
      </c>
      <c r="S267" s="35" t="n">
        <f>202666.67</f>
        <v>202666.67</v>
      </c>
      <c r="T267" s="32" t="n">
        <f>99439</f>
        <v>99439.0</v>
      </c>
      <c r="U267" s="32" t="n">
        <f>19591</f>
        <v>19591.0</v>
      </c>
      <c r="V267" s="32" t="n">
        <f>20017289362</f>
        <v>2.0017289362E10</v>
      </c>
      <c r="W267" s="32" t="n">
        <f>3968843662</f>
        <v>3.968843662E9</v>
      </c>
      <c r="X267" s="36" t="n">
        <f>18</f>
        <v>18.0</v>
      </c>
    </row>
    <row r="268">
      <c r="A268" s="27" t="s">
        <v>42</v>
      </c>
      <c r="B268" s="27" t="s">
        <v>852</v>
      </c>
      <c r="C268" s="27" t="s">
        <v>853</v>
      </c>
      <c r="D268" s="27" t="s">
        <v>854</v>
      </c>
      <c r="E268" s="28" t="s">
        <v>46</v>
      </c>
      <c r="F268" s="29" t="s">
        <v>46</v>
      </c>
      <c r="G268" s="30" t="s">
        <v>46</v>
      </c>
      <c r="H268" s="31"/>
      <c r="I268" s="31" t="s">
        <v>47</v>
      </c>
      <c r="J268" s="32" t="n">
        <v>1.0</v>
      </c>
      <c r="K268" s="33" t="n">
        <f>501000</f>
        <v>501000.0</v>
      </c>
      <c r="L268" s="34" t="s">
        <v>48</v>
      </c>
      <c r="M268" s="33" t="n">
        <f>518000</f>
        <v>518000.0</v>
      </c>
      <c r="N268" s="34" t="s">
        <v>60</v>
      </c>
      <c r="O268" s="33" t="n">
        <f>465500</f>
        <v>465500.0</v>
      </c>
      <c r="P268" s="34" t="s">
        <v>50</v>
      </c>
      <c r="Q268" s="33" t="n">
        <f>466000</f>
        <v>466000.0</v>
      </c>
      <c r="R268" s="34" t="s">
        <v>50</v>
      </c>
      <c r="S268" s="35" t="n">
        <f>498972.22</f>
        <v>498972.22</v>
      </c>
      <c r="T268" s="32" t="n">
        <f>28016</f>
        <v>28016.0</v>
      </c>
      <c r="U268" s="32" t="n">
        <f>6355</f>
        <v>6355.0</v>
      </c>
      <c r="V268" s="32" t="n">
        <f>13976648228</f>
        <v>1.3976648228E10</v>
      </c>
      <c r="W268" s="32" t="n">
        <f>3173903228</f>
        <v>3.173903228E9</v>
      </c>
      <c r="X268" s="36" t="n">
        <f>18</f>
        <v>18.0</v>
      </c>
    </row>
    <row r="269">
      <c r="A269" s="27" t="s">
        <v>42</v>
      </c>
      <c r="B269" s="27" t="s">
        <v>855</v>
      </c>
      <c r="C269" s="27" t="s">
        <v>856</v>
      </c>
      <c r="D269" s="27" t="s">
        <v>857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1.0</v>
      </c>
      <c r="K269" s="33" t="n">
        <f>22810</f>
        <v>22810.0</v>
      </c>
      <c r="L269" s="34" t="s">
        <v>48</v>
      </c>
      <c r="M269" s="33" t="n">
        <f>24940</f>
        <v>24940.0</v>
      </c>
      <c r="N269" s="34" t="s">
        <v>60</v>
      </c>
      <c r="O269" s="33" t="n">
        <f>21820</f>
        <v>21820.0</v>
      </c>
      <c r="P269" s="34" t="s">
        <v>50</v>
      </c>
      <c r="Q269" s="33" t="n">
        <f>21980</f>
        <v>21980.0</v>
      </c>
      <c r="R269" s="34" t="s">
        <v>50</v>
      </c>
      <c r="S269" s="35" t="n">
        <f>23637.22</f>
        <v>23637.22</v>
      </c>
      <c r="T269" s="32" t="n">
        <f>1014014</f>
        <v>1014014.0</v>
      </c>
      <c r="U269" s="32" t="n">
        <f>193764</f>
        <v>193764.0</v>
      </c>
      <c r="V269" s="32" t="n">
        <f>24008278689</f>
        <v>2.4008278689E10</v>
      </c>
      <c r="W269" s="32" t="n">
        <f>4597821309</f>
        <v>4.597821309E9</v>
      </c>
      <c r="X269" s="36" t="n">
        <f>18</f>
        <v>18.0</v>
      </c>
    </row>
    <row r="270">
      <c r="A270" s="27" t="s">
        <v>42</v>
      </c>
      <c r="B270" s="27" t="s">
        <v>858</v>
      </c>
      <c r="C270" s="27" t="s">
        <v>859</v>
      </c>
      <c r="D270" s="27" t="s">
        <v>860</v>
      </c>
      <c r="E270" s="28" t="s">
        <v>46</v>
      </c>
      <c r="F270" s="29" t="s">
        <v>46</v>
      </c>
      <c r="G270" s="30" t="s">
        <v>46</v>
      </c>
      <c r="H270" s="31"/>
      <c r="I270" s="31" t="s">
        <v>634</v>
      </c>
      <c r="J270" s="32" t="n">
        <v>1.0</v>
      </c>
      <c r="K270" s="33" t="n">
        <f>219300</f>
        <v>219300.0</v>
      </c>
      <c r="L270" s="34" t="s">
        <v>48</v>
      </c>
      <c r="M270" s="33" t="n">
        <f>224400</f>
        <v>224400.0</v>
      </c>
      <c r="N270" s="34" t="s">
        <v>96</v>
      </c>
      <c r="O270" s="33" t="n">
        <f>197300</f>
        <v>197300.0</v>
      </c>
      <c r="P270" s="34" t="s">
        <v>50</v>
      </c>
      <c r="Q270" s="33" t="n">
        <f>197300</f>
        <v>197300.0</v>
      </c>
      <c r="R270" s="34" t="s">
        <v>50</v>
      </c>
      <c r="S270" s="35" t="n">
        <f>217466.67</f>
        <v>217466.67</v>
      </c>
      <c r="T270" s="32" t="n">
        <f>6966</f>
        <v>6966.0</v>
      </c>
      <c r="U270" s="32" t="n">
        <f>520</f>
        <v>520.0</v>
      </c>
      <c r="V270" s="32" t="n">
        <f>1514452869</f>
        <v>1.514452869E9</v>
      </c>
      <c r="W270" s="32" t="n">
        <f>113012869</f>
        <v>1.13012869E8</v>
      </c>
      <c r="X270" s="36" t="n">
        <f>18</f>
        <v>18.0</v>
      </c>
    </row>
    <row r="271">
      <c r="A271" s="27" t="s">
        <v>42</v>
      </c>
      <c r="B271" s="27" t="s">
        <v>861</v>
      </c>
      <c r="C271" s="27" t="s">
        <v>862</v>
      </c>
      <c r="D271" s="27" t="s">
        <v>863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1.0</v>
      </c>
      <c r="K271" s="33" t="n">
        <f>92600</f>
        <v>92600.0</v>
      </c>
      <c r="L271" s="34" t="s">
        <v>48</v>
      </c>
      <c r="M271" s="33" t="n">
        <f>95700</f>
        <v>95700.0</v>
      </c>
      <c r="N271" s="34" t="s">
        <v>60</v>
      </c>
      <c r="O271" s="33" t="n">
        <f>84900</f>
        <v>84900.0</v>
      </c>
      <c r="P271" s="34" t="s">
        <v>50</v>
      </c>
      <c r="Q271" s="33" t="n">
        <f>85300</f>
        <v>85300.0</v>
      </c>
      <c r="R271" s="34" t="s">
        <v>50</v>
      </c>
      <c r="S271" s="35" t="n">
        <f>92283.33</f>
        <v>92283.33</v>
      </c>
      <c r="T271" s="32" t="n">
        <f>274259</f>
        <v>274259.0</v>
      </c>
      <c r="U271" s="32" t="n">
        <f>57912</f>
        <v>57912.0</v>
      </c>
      <c r="V271" s="32" t="n">
        <f>25235993829</f>
        <v>2.5235993829E10</v>
      </c>
      <c r="W271" s="32" t="n">
        <f>5349835929</f>
        <v>5.349835929E9</v>
      </c>
      <c r="X271" s="36" t="n">
        <f>18</f>
        <v>18.0</v>
      </c>
    </row>
    <row r="272">
      <c r="A272" s="27" t="s">
        <v>42</v>
      </c>
      <c r="B272" s="27" t="s">
        <v>864</v>
      </c>
      <c r="C272" s="27" t="s">
        <v>865</v>
      </c>
      <c r="D272" s="27" t="s">
        <v>866</v>
      </c>
      <c r="E272" s="28" t="s">
        <v>46</v>
      </c>
      <c r="F272" s="29" t="s">
        <v>46</v>
      </c>
      <c r="G272" s="30" t="s">
        <v>46</v>
      </c>
      <c r="H272" s="31"/>
      <c r="I272" s="31" t="s">
        <v>634</v>
      </c>
      <c r="J272" s="32" t="n">
        <v>1.0</v>
      </c>
      <c r="K272" s="33" t="n">
        <f>134700</f>
        <v>134700.0</v>
      </c>
      <c r="L272" s="34" t="s">
        <v>48</v>
      </c>
      <c r="M272" s="33" t="n">
        <f>138900</f>
        <v>138900.0</v>
      </c>
      <c r="N272" s="34" t="s">
        <v>60</v>
      </c>
      <c r="O272" s="33" t="n">
        <f>118900</f>
        <v>118900.0</v>
      </c>
      <c r="P272" s="34" t="s">
        <v>50</v>
      </c>
      <c r="Q272" s="33" t="n">
        <f>120000</f>
        <v>120000.0</v>
      </c>
      <c r="R272" s="34" t="s">
        <v>50</v>
      </c>
      <c r="S272" s="35" t="n">
        <f>135150</f>
        <v>135150.0</v>
      </c>
      <c r="T272" s="32" t="n">
        <f>32652</f>
        <v>32652.0</v>
      </c>
      <c r="U272" s="32" t="n">
        <f>4331</f>
        <v>4331.0</v>
      </c>
      <c r="V272" s="32" t="n">
        <f>4343239967</f>
        <v>4.343239967E9</v>
      </c>
      <c r="W272" s="32" t="n">
        <f>577039567</f>
        <v>5.77039567E8</v>
      </c>
      <c r="X272" s="36" t="n">
        <f>18</f>
        <v>18.0</v>
      </c>
    </row>
    <row r="273">
      <c r="A273" s="27" t="s">
        <v>42</v>
      </c>
      <c r="B273" s="27" t="s">
        <v>867</v>
      </c>
      <c r="C273" s="27" t="s">
        <v>868</v>
      </c>
      <c r="D273" s="27" t="s">
        <v>869</v>
      </c>
      <c r="E273" s="28" t="s">
        <v>46</v>
      </c>
      <c r="F273" s="29" t="s">
        <v>46</v>
      </c>
      <c r="G273" s="30" t="s">
        <v>46</v>
      </c>
      <c r="H273" s="31"/>
      <c r="I273" s="31" t="s">
        <v>47</v>
      </c>
      <c r="J273" s="32" t="n">
        <v>1.0</v>
      </c>
      <c r="K273" s="33" t="n">
        <f>268900</f>
        <v>268900.0</v>
      </c>
      <c r="L273" s="34" t="s">
        <v>48</v>
      </c>
      <c r="M273" s="33" t="n">
        <f>273300</f>
        <v>273300.0</v>
      </c>
      <c r="N273" s="34" t="s">
        <v>352</v>
      </c>
      <c r="O273" s="33" t="n">
        <f>236700</f>
        <v>236700.0</v>
      </c>
      <c r="P273" s="34" t="s">
        <v>50</v>
      </c>
      <c r="Q273" s="33" t="n">
        <f>239700</f>
        <v>239700.0</v>
      </c>
      <c r="R273" s="34" t="s">
        <v>50</v>
      </c>
      <c r="S273" s="35" t="n">
        <f>267533.33</f>
        <v>267533.33</v>
      </c>
      <c r="T273" s="32" t="n">
        <f>56419</f>
        <v>56419.0</v>
      </c>
      <c r="U273" s="32" t="n">
        <f>10899</f>
        <v>10899.0</v>
      </c>
      <c r="V273" s="32" t="n">
        <f>14946836125</f>
        <v>1.4946836125E10</v>
      </c>
      <c r="W273" s="32" t="n">
        <f>2898996425</f>
        <v>2.898996425E9</v>
      </c>
      <c r="X273" s="36" t="n">
        <f>18</f>
        <v>18.0</v>
      </c>
    </row>
    <row r="274">
      <c r="A274" s="27" t="s">
        <v>42</v>
      </c>
      <c r="B274" s="27" t="s">
        <v>870</v>
      </c>
      <c r="C274" s="27" t="s">
        <v>871</v>
      </c>
      <c r="D274" s="27" t="s">
        <v>872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1.0</v>
      </c>
      <c r="K274" s="33" t="n">
        <f>136300</f>
        <v>136300.0</v>
      </c>
      <c r="L274" s="34" t="s">
        <v>48</v>
      </c>
      <c r="M274" s="33" t="n">
        <f>138800</f>
        <v>138800.0</v>
      </c>
      <c r="N274" s="34" t="s">
        <v>60</v>
      </c>
      <c r="O274" s="33" t="n">
        <f>121900</f>
        <v>121900.0</v>
      </c>
      <c r="P274" s="34" t="s">
        <v>50</v>
      </c>
      <c r="Q274" s="33" t="n">
        <f>122400</f>
        <v>122400.0</v>
      </c>
      <c r="R274" s="34" t="s">
        <v>50</v>
      </c>
      <c r="S274" s="35" t="n">
        <f>134788.89</f>
        <v>134788.89</v>
      </c>
      <c r="T274" s="32" t="n">
        <f>25830</f>
        <v>25830.0</v>
      </c>
      <c r="U274" s="32" t="n">
        <f>3246</f>
        <v>3246.0</v>
      </c>
      <c r="V274" s="32" t="n">
        <f>3445343529</f>
        <v>3.445343529E9</v>
      </c>
      <c r="W274" s="32" t="n">
        <f>437988229</f>
        <v>4.37988229E8</v>
      </c>
      <c r="X274" s="36" t="n">
        <f>18</f>
        <v>18.0</v>
      </c>
    </row>
    <row r="275">
      <c r="A275" s="27" t="s">
        <v>42</v>
      </c>
      <c r="B275" s="27" t="s">
        <v>873</v>
      </c>
      <c r="C275" s="27" t="s">
        <v>874</v>
      </c>
      <c r="D275" s="27" t="s">
        <v>875</v>
      </c>
      <c r="E275" s="28" t="s">
        <v>46</v>
      </c>
      <c r="F275" s="29" t="s">
        <v>46</v>
      </c>
      <c r="G275" s="30" t="s">
        <v>46</v>
      </c>
      <c r="H275" s="31"/>
      <c r="I275" s="31" t="s">
        <v>634</v>
      </c>
      <c r="J275" s="32" t="n">
        <v>1.0</v>
      </c>
      <c r="K275" s="33" t="n">
        <f>113400</f>
        <v>113400.0</v>
      </c>
      <c r="L275" s="34" t="s">
        <v>48</v>
      </c>
      <c r="M275" s="33" t="n">
        <f>115100</f>
        <v>115100.0</v>
      </c>
      <c r="N275" s="34" t="s">
        <v>48</v>
      </c>
      <c r="O275" s="33" t="n">
        <f>93300</f>
        <v>93300.0</v>
      </c>
      <c r="P275" s="34" t="s">
        <v>50</v>
      </c>
      <c r="Q275" s="33" t="n">
        <f>94900</f>
        <v>94900.0</v>
      </c>
      <c r="R275" s="34" t="s">
        <v>50</v>
      </c>
      <c r="S275" s="35" t="n">
        <f>109244.44</f>
        <v>109244.44</v>
      </c>
      <c r="T275" s="32" t="n">
        <f>34730</f>
        <v>34730.0</v>
      </c>
      <c r="U275" s="32" t="n">
        <f>8770</f>
        <v>8770.0</v>
      </c>
      <c r="V275" s="32" t="n">
        <f>3685734244</f>
        <v>3.685734244E9</v>
      </c>
      <c r="W275" s="32" t="n">
        <f>934073744</f>
        <v>9.34073744E8</v>
      </c>
      <c r="X275" s="36" t="n">
        <f>18</f>
        <v>18.0</v>
      </c>
    </row>
    <row r="276">
      <c r="A276" s="27" t="s">
        <v>42</v>
      </c>
      <c r="B276" s="27" t="s">
        <v>876</v>
      </c>
      <c r="C276" s="27" t="s">
        <v>877</v>
      </c>
      <c r="D276" s="27" t="s">
        <v>878</v>
      </c>
      <c r="E276" s="28" t="s">
        <v>46</v>
      </c>
      <c r="F276" s="29" t="s">
        <v>46</v>
      </c>
      <c r="G276" s="30" t="s">
        <v>46</v>
      </c>
      <c r="H276" s="31"/>
      <c r="I276" s="31" t="s">
        <v>47</v>
      </c>
      <c r="J276" s="32" t="n">
        <v>1.0</v>
      </c>
      <c r="K276" s="33" t="n">
        <f>191000</f>
        <v>191000.0</v>
      </c>
      <c r="L276" s="34" t="s">
        <v>48</v>
      </c>
      <c r="M276" s="33" t="n">
        <f>201800</f>
        <v>201800.0</v>
      </c>
      <c r="N276" s="34" t="s">
        <v>174</v>
      </c>
      <c r="O276" s="33" t="n">
        <f>171300</f>
        <v>171300.0</v>
      </c>
      <c r="P276" s="34" t="s">
        <v>50</v>
      </c>
      <c r="Q276" s="33" t="n">
        <f>171300</f>
        <v>171300.0</v>
      </c>
      <c r="R276" s="34" t="s">
        <v>50</v>
      </c>
      <c r="S276" s="35" t="n">
        <f>195544.44</f>
        <v>195544.44</v>
      </c>
      <c r="T276" s="32" t="n">
        <f>359056</f>
        <v>359056.0</v>
      </c>
      <c r="U276" s="32" t="n">
        <f>84307</f>
        <v>84307.0</v>
      </c>
      <c r="V276" s="32" t="n">
        <f>69573202997</f>
        <v>6.9573202997E10</v>
      </c>
      <c r="W276" s="32" t="n">
        <f>16421032697</f>
        <v>1.6421032697E10</v>
      </c>
      <c r="X276" s="36" t="n">
        <f>18</f>
        <v>18.0</v>
      </c>
    </row>
    <row r="277">
      <c r="A277" s="27" t="s">
        <v>42</v>
      </c>
      <c r="B277" s="27" t="s">
        <v>879</v>
      </c>
      <c r="C277" s="27" t="s">
        <v>880</v>
      </c>
      <c r="D277" s="27" t="s">
        <v>881</v>
      </c>
      <c r="E277" s="28" t="s">
        <v>46</v>
      </c>
      <c r="F277" s="29" t="s">
        <v>46</v>
      </c>
      <c r="G277" s="30" t="s">
        <v>46</v>
      </c>
      <c r="H277" s="31"/>
      <c r="I277" s="31" t="s">
        <v>634</v>
      </c>
      <c r="J277" s="32" t="n">
        <v>1.0</v>
      </c>
      <c r="K277" s="33" t="n">
        <f>120100</f>
        <v>120100.0</v>
      </c>
      <c r="L277" s="34" t="s">
        <v>48</v>
      </c>
      <c r="M277" s="33" t="n">
        <f>122200</f>
        <v>122200.0</v>
      </c>
      <c r="N277" s="34" t="s">
        <v>49</v>
      </c>
      <c r="O277" s="33" t="n">
        <f>96900</f>
        <v>96900.0</v>
      </c>
      <c r="P277" s="34" t="s">
        <v>50</v>
      </c>
      <c r="Q277" s="33" t="n">
        <f>97500</f>
        <v>97500.0</v>
      </c>
      <c r="R277" s="34" t="s">
        <v>50</v>
      </c>
      <c r="S277" s="35" t="n">
        <f>115872.22</f>
        <v>115872.22</v>
      </c>
      <c r="T277" s="32" t="n">
        <f>61621</f>
        <v>61621.0</v>
      </c>
      <c r="U277" s="32" t="n">
        <f>7862</f>
        <v>7862.0</v>
      </c>
      <c r="V277" s="32" t="n">
        <f>7055126868</f>
        <v>7.055126868E9</v>
      </c>
      <c r="W277" s="32" t="n">
        <f>912215668</f>
        <v>9.12215668E8</v>
      </c>
      <c r="X277" s="36" t="n">
        <f>18</f>
        <v>18.0</v>
      </c>
    </row>
    <row r="278">
      <c r="A278" s="27" t="s">
        <v>42</v>
      </c>
      <c r="B278" s="27" t="s">
        <v>882</v>
      </c>
      <c r="C278" s="27" t="s">
        <v>883</v>
      </c>
      <c r="D278" s="27" t="s">
        <v>884</v>
      </c>
      <c r="E278" s="28" t="s">
        <v>46</v>
      </c>
      <c r="F278" s="29" t="s">
        <v>46</v>
      </c>
      <c r="G278" s="30" t="s">
        <v>46</v>
      </c>
      <c r="H278" s="31"/>
      <c r="I278" s="31" t="s">
        <v>47</v>
      </c>
      <c r="J278" s="32" t="n">
        <v>1.0</v>
      </c>
      <c r="K278" s="33" t="n">
        <f>176100</f>
        <v>176100.0</v>
      </c>
      <c r="L278" s="34" t="s">
        <v>48</v>
      </c>
      <c r="M278" s="33" t="n">
        <f>184200</f>
        <v>184200.0</v>
      </c>
      <c r="N278" s="34" t="s">
        <v>174</v>
      </c>
      <c r="O278" s="33" t="n">
        <f>157000</f>
        <v>157000.0</v>
      </c>
      <c r="P278" s="34" t="s">
        <v>50</v>
      </c>
      <c r="Q278" s="33" t="n">
        <f>158000</f>
        <v>158000.0</v>
      </c>
      <c r="R278" s="34" t="s">
        <v>50</v>
      </c>
      <c r="S278" s="35" t="n">
        <f>177250</f>
        <v>177250.0</v>
      </c>
      <c r="T278" s="32" t="n">
        <f>131990</f>
        <v>131990.0</v>
      </c>
      <c r="U278" s="32" t="n">
        <f>24283</f>
        <v>24283.0</v>
      </c>
      <c r="V278" s="32" t="n">
        <f>23276475691</f>
        <v>2.3276475691E10</v>
      </c>
      <c r="W278" s="32" t="n">
        <f>4292633591</f>
        <v>4.292633591E9</v>
      </c>
      <c r="X278" s="36" t="n">
        <f>18</f>
        <v>18.0</v>
      </c>
    </row>
    <row r="279">
      <c r="A279" s="27" t="s">
        <v>42</v>
      </c>
      <c r="B279" s="27" t="s">
        <v>885</v>
      </c>
      <c r="C279" s="27" t="s">
        <v>886</v>
      </c>
      <c r="D279" s="27" t="s">
        <v>887</v>
      </c>
      <c r="E279" s="28" t="s">
        <v>46</v>
      </c>
      <c r="F279" s="29" t="s">
        <v>46</v>
      </c>
      <c r="G279" s="30" t="s">
        <v>46</v>
      </c>
      <c r="H279" s="31"/>
      <c r="I279" s="31" t="s">
        <v>634</v>
      </c>
      <c r="J279" s="32" t="n">
        <v>1.0</v>
      </c>
      <c r="K279" s="33" t="n">
        <f>113100</f>
        <v>113100.0</v>
      </c>
      <c r="L279" s="34" t="s">
        <v>48</v>
      </c>
      <c r="M279" s="33" t="n">
        <f>115400</f>
        <v>115400.0</v>
      </c>
      <c r="N279" s="34" t="s">
        <v>97</v>
      </c>
      <c r="O279" s="33" t="n">
        <f>100000</f>
        <v>100000.0</v>
      </c>
      <c r="P279" s="34" t="s">
        <v>50</v>
      </c>
      <c r="Q279" s="33" t="n">
        <f>100600</f>
        <v>100600.0</v>
      </c>
      <c r="R279" s="34" t="s">
        <v>50</v>
      </c>
      <c r="S279" s="35" t="n">
        <f>110994.44</f>
        <v>110994.44</v>
      </c>
      <c r="T279" s="32" t="n">
        <f>55445</f>
        <v>55445.0</v>
      </c>
      <c r="U279" s="32" t="n">
        <f>11401</f>
        <v>11401.0</v>
      </c>
      <c r="V279" s="32" t="n">
        <f>6075707421</f>
        <v>6.075707421E9</v>
      </c>
      <c r="W279" s="32" t="n">
        <f>1264243621</f>
        <v>1.264243621E9</v>
      </c>
      <c r="X279" s="36" t="n">
        <f>18</f>
        <v>18.0</v>
      </c>
    </row>
    <row r="280">
      <c r="A280" s="27" t="s">
        <v>42</v>
      </c>
      <c r="B280" s="27" t="s">
        <v>888</v>
      </c>
      <c r="C280" s="27" t="s">
        <v>889</v>
      </c>
      <c r="D280" s="27" t="s">
        <v>890</v>
      </c>
      <c r="E280" s="28" t="s">
        <v>46</v>
      </c>
      <c r="F280" s="29" t="s">
        <v>46</v>
      </c>
      <c r="G280" s="30" t="s">
        <v>46</v>
      </c>
      <c r="H280" s="31"/>
      <c r="I280" s="31" t="s">
        <v>634</v>
      </c>
      <c r="J280" s="32" t="n">
        <v>1.0</v>
      </c>
      <c r="K280" s="33" t="n">
        <f>127600</f>
        <v>127600.0</v>
      </c>
      <c r="L280" s="34" t="s">
        <v>48</v>
      </c>
      <c r="M280" s="33" t="n">
        <f>130900</f>
        <v>130900.0</v>
      </c>
      <c r="N280" s="34" t="s">
        <v>49</v>
      </c>
      <c r="O280" s="33" t="n">
        <f>111400</f>
        <v>111400.0</v>
      </c>
      <c r="P280" s="34" t="s">
        <v>50</v>
      </c>
      <c r="Q280" s="33" t="n">
        <f>113100</f>
        <v>113100.0</v>
      </c>
      <c r="R280" s="34" t="s">
        <v>50</v>
      </c>
      <c r="S280" s="35" t="n">
        <f>127072.22</f>
        <v>127072.22</v>
      </c>
      <c r="T280" s="32" t="n">
        <f>16268</f>
        <v>16268.0</v>
      </c>
      <c r="U280" s="32" t="n">
        <f>2233</f>
        <v>2233.0</v>
      </c>
      <c r="V280" s="32" t="n">
        <f>2044872828</f>
        <v>2.044872828E9</v>
      </c>
      <c r="W280" s="32" t="n">
        <f>281184428</f>
        <v>2.81184428E8</v>
      </c>
      <c r="X280" s="36" t="n">
        <f>18</f>
        <v>18.0</v>
      </c>
    </row>
    <row r="281">
      <c r="A281" s="27" t="s">
        <v>42</v>
      </c>
      <c r="B281" s="27" t="s">
        <v>891</v>
      </c>
      <c r="C281" s="27" t="s">
        <v>892</v>
      </c>
      <c r="D281" s="27" t="s">
        <v>893</v>
      </c>
      <c r="E281" s="28" t="s">
        <v>46</v>
      </c>
      <c r="F281" s="29" t="s">
        <v>46</v>
      </c>
      <c r="G281" s="30" t="s">
        <v>46</v>
      </c>
      <c r="H281" s="31"/>
      <c r="I281" s="31" t="s">
        <v>634</v>
      </c>
      <c r="J281" s="32" t="n">
        <v>1.0</v>
      </c>
      <c r="K281" s="33" t="n">
        <f>523000</f>
        <v>523000.0</v>
      </c>
      <c r="L281" s="34" t="s">
        <v>48</v>
      </c>
      <c r="M281" s="33" t="n">
        <f>525000</f>
        <v>525000.0</v>
      </c>
      <c r="N281" s="34" t="s">
        <v>48</v>
      </c>
      <c r="O281" s="33" t="n">
        <f>475500</f>
        <v>475500.0</v>
      </c>
      <c r="P281" s="34" t="s">
        <v>50</v>
      </c>
      <c r="Q281" s="33" t="n">
        <f>482500</f>
        <v>482500.0</v>
      </c>
      <c r="R281" s="34" t="s">
        <v>50</v>
      </c>
      <c r="S281" s="35" t="n">
        <f>508527.78</f>
        <v>508527.78</v>
      </c>
      <c r="T281" s="32" t="n">
        <f>79250</f>
        <v>79250.0</v>
      </c>
      <c r="U281" s="32" t="n">
        <f>20739</f>
        <v>20739.0</v>
      </c>
      <c r="V281" s="32" t="n">
        <f>40506121585</f>
        <v>4.0506121585E10</v>
      </c>
      <c r="W281" s="32" t="n">
        <f>10633086085</f>
        <v>1.0633086085E10</v>
      </c>
      <c r="X281" s="36" t="n">
        <f>18</f>
        <v>18.0</v>
      </c>
    </row>
    <row r="282">
      <c r="A282" s="27" t="s">
        <v>42</v>
      </c>
      <c r="B282" s="27" t="s">
        <v>894</v>
      </c>
      <c r="C282" s="27" t="s">
        <v>895</v>
      </c>
      <c r="D282" s="27" t="s">
        <v>896</v>
      </c>
      <c r="E282" s="28" t="s">
        <v>46</v>
      </c>
      <c r="F282" s="29" t="s">
        <v>46</v>
      </c>
      <c r="G282" s="30" t="s">
        <v>46</v>
      </c>
      <c r="H282" s="31"/>
      <c r="I282" s="31" t="s">
        <v>634</v>
      </c>
      <c r="J282" s="32" t="n">
        <v>1.0</v>
      </c>
      <c r="K282" s="33" t="n">
        <f>91800</f>
        <v>91800.0</v>
      </c>
      <c r="L282" s="34" t="s">
        <v>48</v>
      </c>
      <c r="M282" s="33" t="n">
        <f>93500</f>
        <v>93500.0</v>
      </c>
      <c r="N282" s="34" t="s">
        <v>49</v>
      </c>
      <c r="O282" s="33" t="n">
        <f>78000</f>
        <v>78000.0</v>
      </c>
      <c r="P282" s="34" t="s">
        <v>50</v>
      </c>
      <c r="Q282" s="33" t="n">
        <f>78700</f>
        <v>78700.0</v>
      </c>
      <c r="R282" s="34" t="s">
        <v>50</v>
      </c>
      <c r="S282" s="35" t="n">
        <f>88966.67</f>
        <v>88966.67</v>
      </c>
      <c r="T282" s="32" t="n">
        <f>24022</f>
        <v>24022.0</v>
      </c>
      <c r="U282" s="32" t="n">
        <f>2402</f>
        <v>2402.0</v>
      </c>
      <c r="V282" s="32" t="n">
        <f>2108872300</f>
        <v>2.1088723E9</v>
      </c>
      <c r="W282" s="32" t="n">
        <f>212675700</f>
        <v>2.126757E8</v>
      </c>
      <c r="X282" s="36" t="n">
        <f>18</f>
        <v>18.0</v>
      </c>
    </row>
    <row r="283">
      <c r="A283" s="27" t="s">
        <v>42</v>
      </c>
      <c r="B283" s="27" t="s">
        <v>897</v>
      </c>
      <c r="C283" s="27" t="s">
        <v>898</v>
      </c>
      <c r="D283" s="27" t="s">
        <v>899</v>
      </c>
      <c r="E283" s="28" t="s">
        <v>46</v>
      </c>
      <c r="F283" s="29" t="s">
        <v>46</v>
      </c>
      <c r="G283" s="30" t="s">
        <v>46</v>
      </c>
      <c r="H283" s="31"/>
      <c r="I283" s="31" t="s">
        <v>634</v>
      </c>
      <c r="J283" s="32" t="n">
        <v>1.0</v>
      </c>
      <c r="K283" s="33" t="n">
        <f>96700</f>
        <v>96700.0</v>
      </c>
      <c r="L283" s="34" t="s">
        <v>48</v>
      </c>
      <c r="M283" s="33" t="n">
        <f>97500</f>
        <v>97500.0</v>
      </c>
      <c r="N283" s="34" t="s">
        <v>48</v>
      </c>
      <c r="O283" s="33" t="n">
        <f>82300</f>
        <v>82300.0</v>
      </c>
      <c r="P283" s="34" t="s">
        <v>50</v>
      </c>
      <c r="Q283" s="33" t="n">
        <f>83000</f>
        <v>83000.0</v>
      </c>
      <c r="R283" s="34" t="s">
        <v>50</v>
      </c>
      <c r="S283" s="35" t="n">
        <f>93338.89</f>
        <v>93338.89</v>
      </c>
      <c r="T283" s="32" t="n">
        <f>18588</f>
        <v>18588.0</v>
      </c>
      <c r="U283" s="32" t="n">
        <f>2735</f>
        <v>2735.0</v>
      </c>
      <c r="V283" s="32" t="n">
        <f>1708910440</f>
        <v>1.70891044E9</v>
      </c>
      <c r="W283" s="32" t="n">
        <f>254855040</f>
        <v>2.5485504E8</v>
      </c>
      <c r="X283" s="36" t="n">
        <f>18</f>
        <v>18.0</v>
      </c>
    </row>
    <row r="284">
      <c r="A284" s="27" t="s">
        <v>42</v>
      </c>
      <c r="B284" s="27" t="s">
        <v>900</v>
      </c>
      <c r="C284" s="27" t="s">
        <v>901</v>
      </c>
      <c r="D284" s="27" t="s">
        <v>902</v>
      </c>
      <c r="E284" s="28" t="s">
        <v>46</v>
      </c>
      <c r="F284" s="29" t="s">
        <v>46</v>
      </c>
      <c r="G284" s="30" t="s">
        <v>46</v>
      </c>
      <c r="H284" s="31"/>
      <c r="I284" s="31" t="s">
        <v>47</v>
      </c>
      <c r="J284" s="32" t="n">
        <v>1.0</v>
      </c>
      <c r="K284" s="33" t="n">
        <f>60500</f>
        <v>60500.0</v>
      </c>
      <c r="L284" s="34" t="s">
        <v>48</v>
      </c>
      <c r="M284" s="33" t="n">
        <f>61400</f>
        <v>61400.0</v>
      </c>
      <c r="N284" s="34" t="s">
        <v>178</v>
      </c>
      <c r="O284" s="33" t="n">
        <f>49800</f>
        <v>49800.0</v>
      </c>
      <c r="P284" s="34" t="s">
        <v>50</v>
      </c>
      <c r="Q284" s="33" t="n">
        <f>50000</f>
        <v>50000.0</v>
      </c>
      <c r="R284" s="34" t="s">
        <v>50</v>
      </c>
      <c r="S284" s="35" t="n">
        <f>59305.56</f>
        <v>59305.56</v>
      </c>
      <c r="T284" s="32" t="n">
        <f>191778</f>
        <v>191778.0</v>
      </c>
      <c r="U284" s="32" t="n">
        <f>25253</f>
        <v>25253.0</v>
      </c>
      <c r="V284" s="32" t="n">
        <f>11011081353</f>
        <v>1.1011081353E10</v>
      </c>
      <c r="W284" s="32" t="n">
        <f>1479917253</f>
        <v>1.479917253E9</v>
      </c>
      <c r="X284" s="36" t="n">
        <f>18</f>
        <v>18.0</v>
      </c>
    </row>
    <row r="285">
      <c r="A285" s="27" t="s">
        <v>42</v>
      </c>
      <c r="B285" s="27" t="s">
        <v>903</v>
      </c>
      <c r="C285" s="27" t="s">
        <v>904</v>
      </c>
      <c r="D285" s="27" t="s">
        <v>905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1.0</v>
      </c>
      <c r="K285" s="33" t="n">
        <f>146700</f>
        <v>146700.0</v>
      </c>
      <c r="L285" s="34" t="s">
        <v>48</v>
      </c>
      <c r="M285" s="33" t="n">
        <f>151300</f>
        <v>151300.0</v>
      </c>
      <c r="N285" s="34" t="s">
        <v>49</v>
      </c>
      <c r="O285" s="33" t="n">
        <f>124400</f>
        <v>124400.0</v>
      </c>
      <c r="P285" s="34" t="s">
        <v>50</v>
      </c>
      <c r="Q285" s="33" t="n">
        <f>127200</f>
        <v>127200.0</v>
      </c>
      <c r="R285" s="34" t="s">
        <v>50</v>
      </c>
      <c r="S285" s="35" t="n">
        <f>144294.44</f>
        <v>144294.44</v>
      </c>
      <c r="T285" s="32" t="n">
        <f>40141</f>
        <v>40141.0</v>
      </c>
      <c r="U285" s="32" t="n">
        <f>5840</f>
        <v>5840.0</v>
      </c>
      <c r="V285" s="32" t="n">
        <f>5692074451</f>
        <v>5.692074451E9</v>
      </c>
      <c r="W285" s="32" t="n">
        <f>832382351</f>
        <v>8.32382351E8</v>
      </c>
      <c r="X285" s="36" t="n">
        <f>18</f>
        <v>18.0</v>
      </c>
    </row>
    <row r="286">
      <c r="A286" s="27" t="s">
        <v>42</v>
      </c>
      <c r="B286" s="27" t="s">
        <v>906</v>
      </c>
      <c r="C286" s="27" t="s">
        <v>907</v>
      </c>
      <c r="D286" s="27" t="s">
        <v>908</v>
      </c>
      <c r="E286" s="28" t="s">
        <v>46</v>
      </c>
      <c r="F286" s="29" t="s">
        <v>46</v>
      </c>
      <c r="G286" s="30" t="s">
        <v>46</v>
      </c>
      <c r="H286" s="31"/>
      <c r="I286" s="31" t="s">
        <v>47</v>
      </c>
      <c r="J286" s="32" t="n">
        <v>1.0</v>
      </c>
      <c r="K286" s="33" t="n">
        <f>395500</f>
        <v>395500.0</v>
      </c>
      <c r="L286" s="34" t="s">
        <v>48</v>
      </c>
      <c r="M286" s="33" t="n">
        <f>425000</f>
        <v>425000.0</v>
      </c>
      <c r="N286" s="34" t="s">
        <v>60</v>
      </c>
      <c r="O286" s="33" t="n">
        <f>378000</f>
        <v>378000.0</v>
      </c>
      <c r="P286" s="34" t="s">
        <v>50</v>
      </c>
      <c r="Q286" s="33" t="n">
        <f>382000</f>
        <v>382000.0</v>
      </c>
      <c r="R286" s="34" t="s">
        <v>50</v>
      </c>
      <c r="S286" s="35" t="n">
        <f>408250</f>
        <v>408250.0</v>
      </c>
      <c r="T286" s="32" t="n">
        <f>35531</f>
        <v>35531.0</v>
      </c>
      <c r="U286" s="32" t="n">
        <f>9376</f>
        <v>9376.0</v>
      </c>
      <c r="V286" s="32" t="n">
        <f>14417236157</f>
        <v>1.4417236157E10</v>
      </c>
      <c r="W286" s="32" t="n">
        <f>3802007657</f>
        <v>3.802007657E9</v>
      </c>
      <c r="X286" s="36" t="n">
        <f>18</f>
        <v>18.0</v>
      </c>
    </row>
    <row r="287">
      <c r="A287" s="27" t="s">
        <v>42</v>
      </c>
      <c r="B287" s="27" t="s">
        <v>909</v>
      </c>
      <c r="C287" s="27" t="s">
        <v>910</v>
      </c>
      <c r="D287" s="27" t="s">
        <v>911</v>
      </c>
      <c r="E287" s="28" t="s">
        <v>46</v>
      </c>
      <c r="F287" s="29" t="s">
        <v>46</v>
      </c>
      <c r="G287" s="30" t="s">
        <v>46</v>
      </c>
      <c r="H287" s="31"/>
      <c r="I287" s="31" t="s">
        <v>47</v>
      </c>
      <c r="J287" s="32" t="n">
        <v>1.0</v>
      </c>
      <c r="K287" s="33" t="n">
        <f>145200</f>
        <v>145200.0</v>
      </c>
      <c r="L287" s="34" t="s">
        <v>48</v>
      </c>
      <c r="M287" s="33" t="n">
        <f>148300</f>
        <v>148300.0</v>
      </c>
      <c r="N287" s="34" t="s">
        <v>49</v>
      </c>
      <c r="O287" s="33" t="n">
        <f>129600</f>
        <v>129600.0</v>
      </c>
      <c r="P287" s="34" t="s">
        <v>50</v>
      </c>
      <c r="Q287" s="33" t="n">
        <f>130500</f>
        <v>130500.0</v>
      </c>
      <c r="R287" s="34" t="s">
        <v>50</v>
      </c>
      <c r="S287" s="35" t="n">
        <f>144400</f>
        <v>144400.0</v>
      </c>
      <c r="T287" s="32" t="n">
        <f>39158</f>
        <v>39158.0</v>
      </c>
      <c r="U287" s="32" t="n">
        <f>6221</f>
        <v>6221.0</v>
      </c>
      <c r="V287" s="32" t="n">
        <f>5616730015</f>
        <v>5.616730015E9</v>
      </c>
      <c r="W287" s="32" t="n">
        <f>894581915</f>
        <v>8.94581915E8</v>
      </c>
      <c r="X287" s="36" t="n">
        <f>18</f>
        <v>18.0</v>
      </c>
    </row>
    <row r="288">
      <c r="A288" s="27" t="s">
        <v>42</v>
      </c>
      <c r="B288" s="27" t="s">
        <v>912</v>
      </c>
      <c r="C288" s="27" t="s">
        <v>913</v>
      </c>
      <c r="D288" s="27" t="s">
        <v>914</v>
      </c>
      <c r="E288" s="28" t="s">
        <v>46</v>
      </c>
      <c r="F288" s="29" t="s">
        <v>46</v>
      </c>
      <c r="G288" s="30" t="s">
        <v>46</v>
      </c>
      <c r="H288" s="31"/>
      <c r="I288" s="31" t="s">
        <v>634</v>
      </c>
      <c r="J288" s="32" t="n">
        <v>1.0</v>
      </c>
      <c r="K288" s="33" t="n">
        <f>138500</f>
        <v>138500.0</v>
      </c>
      <c r="L288" s="34" t="s">
        <v>48</v>
      </c>
      <c r="M288" s="33" t="n">
        <f>141600</f>
        <v>141600.0</v>
      </c>
      <c r="N288" s="34" t="s">
        <v>174</v>
      </c>
      <c r="O288" s="33" t="n">
        <f>120100</f>
        <v>120100.0</v>
      </c>
      <c r="P288" s="34" t="s">
        <v>50</v>
      </c>
      <c r="Q288" s="33" t="n">
        <f>121000</f>
        <v>121000.0</v>
      </c>
      <c r="R288" s="34" t="s">
        <v>50</v>
      </c>
      <c r="S288" s="35" t="n">
        <f>137950</f>
        <v>137950.0</v>
      </c>
      <c r="T288" s="32" t="n">
        <f>25115</f>
        <v>25115.0</v>
      </c>
      <c r="U288" s="32" t="n">
        <f>3787</f>
        <v>3787.0</v>
      </c>
      <c r="V288" s="32" t="n">
        <f>3428090240</f>
        <v>3.42809024E9</v>
      </c>
      <c r="W288" s="32" t="n">
        <f>522742040</f>
        <v>5.2274204E8</v>
      </c>
      <c r="X288" s="36" t="n">
        <f>18</f>
        <v>18.0</v>
      </c>
    </row>
    <row r="289">
      <c r="A289" s="27" t="s">
        <v>42</v>
      </c>
      <c r="B289" s="27" t="s">
        <v>915</v>
      </c>
      <c r="C289" s="27" t="s">
        <v>916</v>
      </c>
      <c r="D289" s="27" t="s">
        <v>917</v>
      </c>
      <c r="E289" s="28" t="s">
        <v>46</v>
      </c>
      <c r="F289" s="29" t="s">
        <v>46</v>
      </c>
      <c r="G289" s="30" t="s">
        <v>46</v>
      </c>
      <c r="H289" s="31"/>
      <c r="I289" s="31" t="s">
        <v>47</v>
      </c>
      <c r="J289" s="32" t="n">
        <v>1.0</v>
      </c>
      <c r="K289" s="33" t="n">
        <f>128100</f>
        <v>128100.0</v>
      </c>
      <c r="L289" s="34" t="s">
        <v>48</v>
      </c>
      <c r="M289" s="33" t="n">
        <f>133300</f>
        <v>133300.0</v>
      </c>
      <c r="N289" s="34" t="s">
        <v>178</v>
      </c>
      <c r="O289" s="33" t="n">
        <f>106000</f>
        <v>106000.0</v>
      </c>
      <c r="P289" s="34" t="s">
        <v>50</v>
      </c>
      <c r="Q289" s="33" t="n">
        <f>107700</f>
        <v>107700.0</v>
      </c>
      <c r="R289" s="34" t="s">
        <v>50</v>
      </c>
      <c r="S289" s="35" t="n">
        <f>127977.78</f>
        <v>127977.78</v>
      </c>
      <c r="T289" s="32" t="n">
        <f>95895</f>
        <v>95895.0</v>
      </c>
      <c r="U289" s="32" t="n">
        <f>11860</f>
        <v>11860.0</v>
      </c>
      <c r="V289" s="32" t="n">
        <f>12063153682</f>
        <v>1.2063153682E10</v>
      </c>
      <c r="W289" s="32" t="n">
        <f>1512739282</f>
        <v>1.512739282E9</v>
      </c>
      <c r="X289" s="36" t="n">
        <f>18</f>
        <v>18.0</v>
      </c>
    </row>
    <row r="290">
      <c r="A290" s="27" t="s">
        <v>42</v>
      </c>
      <c r="B290" s="27" t="s">
        <v>918</v>
      </c>
      <c r="C290" s="27" t="s">
        <v>919</v>
      </c>
      <c r="D290" s="27" t="s">
        <v>920</v>
      </c>
      <c r="E290" s="28" t="s">
        <v>46</v>
      </c>
      <c r="F290" s="29" t="s">
        <v>46</v>
      </c>
      <c r="G290" s="30" t="s">
        <v>46</v>
      </c>
      <c r="H290" s="31"/>
      <c r="I290" s="31" t="s">
        <v>634</v>
      </c>
      <c r="J290" s="32" t="n">
        <v>1.0</v>
      </c>
      <c r="K290" s="33" t="n">
        <f>124100</f>
        <v>124100.0</v>
      </c>
      <c r="L290" s="34" t="s">
        <v>48</v>
      </c>
      <c r="M290" s="33" t="n">
        <f>131300</f>
        <v>131300.0</v>
      </c>
      <c r="N290" s="34" t="s">
        <v>60</v>
      </c>
      <c r="O290" s="33" t="n">
        <f>115900</f>
        <v>115900.0</v>
      </c>
      <c r="P290" s="34" t="s">
        <v>50</v>
      </c>
      <c r="Q290" s="33" t="n">
        <f>116700</f>
        <v>116700.0</v>
      </c>
      <c r="R290" s="34" t="s">
        <v>50</v>
      </c>
      <c r="S290" s="35" t="n">
        <f>125622.22</f>
        <v>125622.22</v>
      </c>
      <c r="T290" s="32" t="n">
        <f>140490</f>
        <v>140490.0</v>
      </c>
      <c r="U290" s="32" t="n">
        <f>26982</f>
        <v>26982.0</v>
      </c>
      <c r="V290" s="32" t="n">
        <f>17439440161</f>
        <v>1.7439440161E10</v>
      </c>
      <c r="W290" s="32" t="n">
        <f>3374763361</f>
        <v>3.374763361E9</v>
      </c>
      <c r="X290" s="36" t="n">
        <f>18</f>
        <v>18.0</v>
      </c>
    </row>
    <row r="291">
      <c r="A291" s="27" t="s">
        <v>42</v>
      </c>
      <c r="B291" s="27" t="s">
        <v>921</v>
      </c>
      <c r="C291" s="27" t="s">
        <v>922</v>
      </c>
      <c r="D291" s="27" t="s">
        <v>923</v>
      </c>
      <c r="E291" s="28" t="s">
        <v>46</v>
      </c>
      <c r="F291" s="29" t="s">
        <v>46</v>
      </c>
      <c r="G291" s="30" t="s">
        <v>46</v>
      </c>
      <c r="H291" s="31"/>
      <c r="I291" s="31" t="s">
        <v>47</v>
      </c>
      <c r="J291" s="32" t="n">
        <v>1.0</v>
      </c>
      <c r="K291" s="33" t="n">
        <f>880000</f>
        <v>880000.0</v>
      </c>
      <c r="L291" s="34" t="s">
        <v>48</v>
      </c>
      <c r="M291" s="33" t="n">
        <f>896000</f>
        <v>896000.0</v>
      </c>
      <c r="N291" s="34" t="s">
        <v>60</v>
      </c>
      <c r="O291" s="33" t="n">
        <f>804000</f>
        <v>804000.0</v>
      </c>
      <c r="P291" s="34" t="s">
        <v>50</v>
      </c>
      <c r="Q291" s="33" t="n">
        <f>809000</f>
        <v>809000.0</v>
      </c>
      <c r="R291" s="34" t="s">
        <v>50</v>
      </c>
      <c r="S291" s="35" t="n">
        <f>872777.78</f>
        <v>872777.78</v>
      </c>
      <c r="T291" s="32" t="n">
        <f>101621</f>
        <v>101621.0</v>
      </c>
      <c r="U291" s="32" t="n">
        <f>21511</f>
        <v>21511.0</v>
      </c>
      <c r="V291" s="32" t="n">
        <f>88228035528</f>
        <v>8.8228035528E10</v>
      </c>
      <c r="W291" s="32" t="n">
        <f>18713600528</f>
        <v>1.8713600528E10</v>
      </c>
      <c r="X291" s="36" t="n">
        <f>18</f>
        <v>18.0</v>
      </c>
    </row>
    <row r="292">
      <c r="A292" s="27" t="s">
        <v>42</v>
      </c>
      <c r="B292" s="27" t="s">
        <v>924</v>
      </c>
      <c r="C292" s="27" t="s">
        <v>925</v>
      </c>
      <c r="D292" s="27" t="s">
        <v>926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1.0</v>
      </c>
      <c r="K292" s="33" t="n">
        <f>792000</f>
        <v>792000.0</v>
      </c>
      <c r="L292" s="34" t="s">
        <v>48</v>
      </c>
      <c r="M292" s="33" t="n">
        <f>816000</f>
        <v>816000.0</v>
      </c>
      <c r="N292" s="34" t="s">
        <v>60</v>
      </c>
      <c r="O292" s="33" t="n">
        <f>733000</f>
        <v>733000.0</v>
      </c>
      <c r="P292" s="34" t="s">
        <v>50</v>
      </c>
      <c r="Q292" s="33" t="n">
        <f>736000</f>
        <v>736000.0</v>
      </c>
      <c r="R292" s="34" t="s">
        <v>50</v>
      </c>
      <c r="S292" s="35" t="n">
        <f>789222.22</f>
        <v>789222.22</v>
      </c>
      <c r="T292" s="32" t="n">
        <f>93390</f>
        <v>93390.0</v>
      </c>
      <c r="U292" s="32" t="n">
        <f>19310</f>
        <v>19310.0</v>
      </c>
      <c r="V292" s="32" t="n">
        <f>73451056131</f>
        <v>7.3451056131E10</v>
      </c>
      <c r="W292" s="32" t="n">
        <f>15201722131</f>
        <v>1.5201722131E10</v>
      </c>
      <c r="X292" s="36" t="n">
        <f>18</f>
        <v>18.0</v>
      </c>
    </row>
    <row r="293">
      <c r="A293" s="27" t="s">
        <v>42</v>
      </c>
      <c r="B293" s="27" t="s">
        <v>927</v>
      </c>
      <c r="C293" s="27" t="s">
        <v>928</v>
      </c>
      <c r="D293" s="27" t="s">
        <v>929</v>
      </c>
      <c r="E293" s="28" t="s">
        <v>46</v>
      </c>
      <c r="F293" s="29" t="s">
        <v>46</v>
      </c>
      <c r="G293" s="30" t="s">
        <v>46</v>
      </c>
      <c r="H293" s="31"/>
      <c r="I293" s="31" t="s">
        <v>47</v>
      </c>
      <c r="J293" s="32" t="n">
        <v>1.0</v>
      </c>
      <c r="K293" s="33" t="n">
        <f>232100</f>
        <v>232100.0</v>
      </c>
      <c r="L293" s="34" t="s">
        <v>48</v>
      </c>
      <c r="M293" s="33" t="n">
        <f>237800</f>
        <v>237800.0</v>
      </c>
      <c r="N293" s="34" t="s">
        <v>145</v>
      </c>
      <c r="O293" s="33" t="n">
        <f>203700</f>
        <v>203700.0</v>
      </c>
      <c r="P293" s="34" t="s">
        <v>50</v>
      </c>
      <c r="Q293" s="33" t="n">
        <f>205100</f>
        <v>205100.0</v>
      </c>
      <c r="R293" s="34" t="s">
        <v>50</v>
      </c>
      <c r="S293" s="35" t="n">
        <f>231650</f>
        <v>231650.0</v>
      </c>
      <c r="T293" s="32" t="n">
        <f>170474</f>
        <v>170474.0</v>
      </c>
      <c r="U293" s="32" t="n">
        <f>38468</f>
        <v>38468.0</v>
      </c>
      <c r="V293" s="32" t="n">
        <f>39055080312</f>
        <v>3.9055080312E10</v>
      </c>
      <c r="W293" s="32" t="n">
        <f>8876921112</f>
        <v>8.876921112E9</v>
      </c>
      <c r="X293" s="36" t="n">
        <f>18</f>
        <v>18.0</v>
      </c>
    </row>
    <row r="294">
      <c r="A294" s="27" t="s">
        <v>42</v>
      </c>
      <c r="B294" s="27" t="s">
        <v>930</v>
      </c>
      <c r="C294" s="27" t="s">
        <v>931</v>
      </c>
      <c r="D294" s="27" t="s">
        <v>932</v>
      </c>
      <c r="E294" s="28" t="s">
        <v>46</v>
      </c>
      <c r="F294" s="29" t="s">
        <v>46</v>
      </c>
      <c r="G294" s="30" t="s">
        <v>46</v>
      </c>
      <c r="H294" s="31"/>
      <c r="I294" s="31" t="s">
        <v>47</v>
      </c>
      <c r="J294" s="32" t="n">
        <v>1.0</v>
      </c>
      <c r="K294" s="33" t="n">
        <f>227900</f>
        <v>227900.0</v>
      </c>
      <c r="L294" s="34" t="s">
        <v>48</v>
      </c>
      <c r="M294" s="33" t="n">
        <f>242000</f>
        <v>242000.0</v>
      </c>
      <c r="N294" s="34" t="s">
        <v>352</v>
      </c>
      <c r="O294" s="33" t="n">
        <f>203400</f>
        <v>203400.0</v>
      </c>
      <c r="P294" s="34" t="s">
        <v>50</v>
      </c>
      <c r="Q294" s="33" t="n">
        <f>205000</f>
        <v>205000.0</v>
      </c>
      <c r="R294" s="34" t="s">
        <v>50</v>
      </c>
      <c r="S294" s="35" t="n">
        <f>233222.22</f>
        <v>233222.22</v>
      </c>
      <c r="T294" s="32" t="n">
        <f>245988</f>
        <v>245988.0</v>
      </c>
      <c r="U294" s="32" t="n">
        <f>50666</f>
        <v>50666.0</v>
      </c>
      <c r="V294" s="32" t="n">
        <f>56601245542</f>
        <v>5.6601245542E10</v>
      </c>
      <c r="W294" s="32" t="n">
        <f>11715287442</f>
        <v>1.1715287442E10</v>
      </c>
      <c r="X294" s="36" t="n">
        <f>18</f>
        <v>18.0</v>
      </c>
    </row>
    <row r="295">
      <c r="A295" s="27" t="s">
        <v>42</v>
      </c>
      <c r="B295" s="27" t="s">
        <v>933</v>
      </c>
      <c r="C295" s="27" t="s">
        <v>934</v>
      </c>
      <c r="D295" s="27" t="s">
        <v>935</v>
      </c>
      <c r="E295" s="28" t="s">
        <v>46</v>
      </c>
      <c r="F295" s="29" t="s">
        <v>46</v>
      </c>
      <c r="G295" s="30" t="s">
        <v>46</v>
      </c>
      <c r="H295" s="31"/>
      <c r="I295" s="31" t="s">
        <v>47</v>
      </c>
      <c r="J295" s="32" t="n">
        <v>1.0</v>
      </c>
      <c r="K295" s="33" t="n">
        <f>498000</f>
        <v>498000.0</v>
      </c>
      <c r="L295" s="34" t="s">
        <v>48</v>
      </c>
      <c r="M295" s="33" t="n">
        <f>508000</f>
        <v>508000.0</v>
      </c>
      <c r="N295" s="34" t="s">
        <v>114</v>
      </c>
      <c r="O295" s="33" t="n">
        <f>475000</f>
        <v>475000.0</v>
      </c>
      <c r="P295" s="34" t="s">
        <v>300</v>
      </c>
      <c r="Q295" s="33" t="n">
        <f>475000</f>
        <v>475000.0</v>
      </c>
      <c r="R295" s="34" t="s">
        <v>50</v>
      </c>
      <c r="S295" s="35" t="n">
        <f>490944.44</f>
        <v>490944.44</v>
      </c>
      <c r="T295" s="32" t="n">
        <f>103631</f>
        <v>103631.0</v>
      </c>
      <c r="U295" s="32" t="n">
        <f>11902</f>
        <v>11902.0</v>
      </c>
      <c r="V295" s="32" t="n">
        <f>50217538138</f>
        <v>5.0217538138E10</v>
      </c>
      <c r="W295" s="32" t="n">
        <f>5851760138</f>
        <v>5.851760138E9</v>
      </c>
      <c r="X295" s="36" t="n">
        <f>18</f>
        <v>18.0</v>
      </c>
    </row>
    <row r="296">
      <c r="A296" s="27" t="s">
        <v>42</v>
      </c>
      <c r="B296" s="27" t="s">
        <v>936</v>
      </c>
      <c r="C296" s="27" t="s">
        <v>937</v>
      </c>
      <c r="D296" s="27" t="s">
        <v>938</v>
      </c>
      <c r="E296" s="28" t="s">
        <v>46</v>
      </c>
      <c r="F296" s="29" t="s">
        <v>46</v>
      </c>
      <c r="G296" s="30" t="s">
        <v>46</v>
      </c>
      <c r="H296" s="31"/>
      <c r="I296" s="31" t="s">
        <v>47</v>
      </c>
      <c r="J296" s="32" t="n">
        <v>1.0</v>
      </c>
      <c r="K296" s="33" t="n">
        <f>160400</f>
        <v>160400.0</v>
      </c>
      <c r="L296" s="34" t="s">
        <v>48</v>
      </c>
      <c r="M296" s="33" t="n">
        <f>166200</f>
        <v>166200.0</v>
      </c>
      <c r="N296" s="34" t="s">
        <v>60</v>
      </c>
      <c r="O296" s="33" t="n">
        <f>144600</f>
        <v>144600.0</v>
      </c>
      <c r="P296" s="34" t="s">
        <v>50</v>
      </c>
      <c r="Q296" s="33" t="n">
        <f>148000</f>
        <v>148000.0</v>
      </c>
      <c r="R296" s="34" t="s">
        <v>50</v>
      </c>
      <c r="S296" s="35" t="n">
        <f>159911.11</f>
        <v>159911.11</v>
      </c>
      <c r="T296" s="32" t="n">
        <f>80675</f>
        <v>80675.0</v>
      </c>
      <c r="U296" s="32" t="n">
        <f>19551</f>
        <v>19551.0</v>
      </c>
      <c r="V296" s="32" t="n">
        <f>12838742684</f>
        <v>1.2838742684E10</v>
      </c>
      <c r="W296" s="32" t="n">
        <f>3114874284</f>
        <v>3.114874284E9</v>
      </c>
      <c r="X296" s="36" t="n">
        <f>18</f>
        <v>18.0</v>
      </c>
    </row>
    <row r="297">
      <c r="A297" s="27" t="s">
        <v>42</v>
      </c>
      <c r="B297" s="27" t="s">
        <v>939</v>
      </c>
      <c r="C297" s="27" t="s">
        <v>940</v>
      </c>
      <c r="D297" s="27" t="s">
        <v>941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1.0</v>
      </c>
      <c r="K297" s="33" t="n">
        <f>211100</f>
        <v>211100.0</v>
      </c>
      <c r="L297" s="34" t="s">
        <v>48</v>
      </c>
      <c r="M297" s="33" t="n">
        <f>212500</f>
        <v>212500.0</v>
      </c>
      <c r="N297" s="34" t="s">
        <v>48</v>
      </c>
      <c r="O297" s="33" t="n">
        <f>192600</f>
        <v>192600.0</v>
      </c>
      <c r="P297" s="34" t="s">
        <v>50</v>
      </c>
      <c r="Q297" s="33" t="n">
        <f>193400</f>
        <v>193400.0</v>
      </c>
      <c r="R297" s="34" t="s">
        <v>50</v>
      </c>
      <c r="S297" s="35" t="n">
        <f>207216.67</f>
        <v>207216.67</v>
      </c>
      <c r="T297" s="32" t="n">
        <f>56168</f>
        <v>56168.0</v>
      </c>
      <c r="U297" s="32" t="n">
        <f>13589</f>
        <v>13589.0</v>
      </c>
      <c r="V297" s="32" t="n">
        <f>11569554694</f>
        <v>1.1569554694E10</v>
      </c>
      <c r="W297" s="32" t="n">
        <f>2812231994</f>
        <v>2.812231994E9</v>
      </c>
      <c r="X297" s="36" t="n">
        <f>18</f>
        <v>18.0</v>
      </c>
    </row>
    <row r="298">
      <c r="A298" s="27" t="s">
        <v>42</v>
      </c>
      <c r="B298" s="27" t="s">
        <v>942</v>
      </c>
      <c r="C298" s="27" t="s">
        <v>943</v>
      </c>
      <c r="D298" s="27" t="s">
        <v>944</v>
      </c>
      <c r="E298" s="28" t="s">
        <v>46</v>
      </c>
      <c r="F298" s="29" t="s">
        <v>46</v>
      </c>
      <c r="G298" s="30" t="s">
        <v>46</v>
      </c>
      <c r="H298" s="31"/>
      <c r="I298" s="31" t="s">
        <v>47</v>
      </c>
      <c r="J298" s="32" t="n">
        <v>1.0</v>
      </c>
      <c r="K298" s="33" t="n">
        <f>143700</f>
        <v>143700.0</v>
      </c>
      <c r="L298" s="34" t="s">
        <v>48</v>
      </c>
      <c r="M298" s="33" t="n">
        <f>145500</f>
        <v>145500.0</v>
      </c>
      <c r="N298" s="34" t="s">
        <v>114</v>
      </c>
      <c r="O298" s="33" t="n">
        <f>126100</f>
        <v>126100.0</v>
      </c>
      <c r="P298" s="34" t="s">
        <v>50</v>
      </c>
      <c r="Q298" s="33" t="n">
        <f>129100</f>
        <v>129100.0</v>
      </c>
      <c r="R298" s="34" t="s">
        <v>50</v>
      </c>
      <c r="S298" s="35" t="n">
        <f>142388.89</f>
        <v>142388.89</v>
      </c>
      <c r="T298" s="32" t="n">
        <f>79779</f>
        <v>79779.0</v>
      </c>
      <c r="U298" s="32" t="n">
        <f>15575</f>
        <v>15575.0</v>
      </c>
      <c r="V298" s="32" t="n">
        <f>11233690090</f>
        <v>1.123369009E10</v>
      </c>
      <c r="W298" s="32" t="n">
        <f>2213606790</f>
        <v>2.21360679E9</v>
      </c>
      <c r="X298" s="36" t="n">
        <f>18</f>
        <v>18.0</v>
      </c>
    </row>
    <row r="299">
      <c r="A299" s="27" t="s">
        <v>42</v>
      </c>
      <c r="B299" s="27" t="s">
        <v>945</v>
      </c>
      <c r="C299" s="27" t="s">
        <v>946</v>
      </c>
      <c r="D299" s="27" t="s">
        <v>947</v>
      </c>
      <c r="E299" s="28" t="s">
        <v>46</v>
      </c>
      <c r="F299" s="29" t="s">
        <v>46</v>
      </c>
      <c r="G299" s="30" t="s">
        <v>46</v>
      </c>
      <c r="H299" s="31"/>
      <c r="I299" s="31" t="s">
        <v>47</v>
      </c>
      <c r="J299" s="32" t="n">
        <v>1.0</v>
      </c>
      <c r="K299" s="33" t="n">
        <f>193000</f>
        <v>193000.0</v>
      </c>
      <c r="L299" s="34" t="s">
        <v>48</v>
      </c>
      <c r="M299" s="33" t="n">
        <f>193900</f>
        <v>193900.0</v>
      </c>
      <c r="N299" s="34" t="s">
        <v>48</v>
      </c>
      <c r="O299" s="33" t="n">
        <f>172300</f>
        <v>172300.0</v>
      </c>
      <c r="P299" s="34" t="s">
        <v>50</v>
      </c>
      <c r="Q299" s="33" t="n">
        <f>172600</f>
        <v>172600.0</v>
      </c>
      <c r="R299" s="34" t="s">
        <v>50</v>
      </c>
      <c r="S299" s="35" t="n">
        <f>189016.67</f>
        <v>189016.67</v>
      </c>
      <c r="T299" s="32" t="n">
        <f>226805</f>
        <v>226805.0</v>
      </c>
      <c r="U299" s="32" t="n">
        <f>52143</f>
        <v>52143.0</v>
      </c>
      <c r="V299" s="32" t="n">
        <f>42707067706</f>
        <v>4.2707067706E10</v>
      </c>
      <c r="W299" s="32" t="n">
        <f>9845131306</f>
        <v>9.845131306E9</v>
      </c>
      <c r="X299" s="36" t="n">
        <f>18</f>
        <v>18.0</v>
      </c>
    </row>
    <row r="300">
      <c r="A300" s="27" t="s">
        <v>42</v>
      </c>
      <c r="B300" s="27" t="s">
        <v>948</v>
      </c>
      <c r="C300" s="27" t="s">
        <v>949</v>
      </c>
      <c r="D300" s="27" t="s">
        <v>950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1.0</v>
      </c>
      <c r="K300" s="33" t="n">
        <f>200000</f>
        <v>200000.0</v>
      </c>
      <c r="L300" s="34" t="s">
        <v>48</v>
      </c>
      <c r="M300" s="33" t="n">
        <f>203200</f>
        <v>203200.0</v>
      </c>
      <c r="N300" s="34" t="s">
        <v>60</v>
      </c>
      <c r="O300" s="33" t="n">
        <f>182700</f>
        <v>182700.0</v>
      </c>
      <c r="P300" s="34" t="s">
        <v>50</v>
      </c>
      <c r="Q300" s="33" t="n">
        <f>183300</f>
        <v>183300.0</v>
      </c>
      <c r="R300" s="34" t="s">
        <v>50</v>
      </c>
      <c r="S300" s="35" t="n">
        <f>197944.44</f>
        <v>197944.44</v>
      </c>
      <c r="T300" s="32" t="n">
        <f>76454</f>
        <v>76454.0</v>
      </c>
      <c r="U300" s="32" t="n">
        <f>18974</f>
        <v>18974.0</v>
      </c>
      <c r="V300" s="32" t="n">
        <f>15078834935</f>
        <v>1.5078834935E10</v>
      </c>
      <c r="W300" s="32" t="n">
        <f>3758133035</f>
        <v>3.758133035E9</v>
      </c>
      <c r="X300" s="36" t="n">
        <f>18</f>
        <v>18.0</v>
      </c>
    </row>
    <row r="301">
      <c r="A301" s="27" t="s">
        <v>42</v>
      </c>
      <c r="B301" s="27" t="s">
        <v>951</v>
      </c>
      <c r="C301" s="27" t="s">
        <v>952</v>
      </c>
      <c r="D301" s="27" t="s">
        <v>953</v>
      </c>
      <c r="E301" s="28" t="s">
        <v>46</v>
      </c>
      <c r="F301" s="29" t="s">
        <v>46</v>
      </c>
      <c r="G301" s="30" t="s">
        <v>46</v>
      </c>
      <c r="H301" s="31"/>
      <c r="I301" s="31" t="s">
        <v>47</v>
      </c>
      <c r="J301" s="32" t="n">
        <v>1.0</v>
      </c>
      <c r="K301" s="33" t="n">
        <f>54200</f>
        <v>54200.0</v>
      </c>
      <c r="L301" s="34" t="s">
        <v>48</v>
      </c>
      <c r="M301" s="33" t="n">
        <f>56900</f>
        <v>56900.0</v>
      </c>
      <c r="N301" s="34" t="s">
        <v>49</v>
      </c>
      <c r="O301" s="33" t="n">
        <f>43600</f>
        <v>43600.0</v>
      </c>
      <c r="P301" s="34" t="s">
        <v>50</v>
      </c>
      <c r="Q301" s="33" t="n">
        <f>43950</f>
        <v>43950.0</v>
      </c>
      <c r="R301" s="34" t="s">
        <v>50</v>
      </c>
      <c r="S301" s="35" t="n">
        <f>52366.67</f>
        <v>52366.67</v>
      </c>
      <c r="T301" s="32" t="n">
        <f>1181479</f>
        <v>1181479.0</v>
      </c>
      <c r="U301" s="32" t="n">
        <f>172862</f>
        <v>172862.0</v>
      </c>
      <c r="V301" s="32" t="n">
        <f>60590103759</f>
        <v>6.0590103759E10</v>
      </c>
      <c r="W301" s="32" t="n">
        <f>9036639459</f>
        <v>9.036639459E9</v>
      </c>
      <c r="X301" s="36" t="n">
        <f>18</f>
        <v>18.0</v>
      </c>
    </row>
    <row r="302">
      <c r="A302" s="27" t="s">
        <v>42</v>
      </c>
      <c r="B302" s="27" t="s">
        <v>954</v>
      </c>
      <c r="C302" s="27" t="s">
        <v>955</v>
      </c>
      <c r="D302" s="27" t="s">
        <v>956</v>
      </c>
      <c r="E302" s="28" t="s">
        <v>46</v>
      </c>
      <c r="F302" s="29" t="s">
        <v>46</v>
      </c>
      <c r="G302" s="30" t="s">
        <v>46</v>
      </c>
      <c r="H302" s="31"/>
      <c r="I302" s="31" t="s">
        <v>47</v>
      </c>
      <c r="J302" s="32" t="n">
        <v>1.0</v>
      </c>
      <c r="K302" s="33" t="n">
        <f>454000</f>
        <v>454000.0</v>
      </c>
      <c r="L302" s="34" t="s">
        <v>48</v>
      </c>
      <c r="M302" s="33" t="n">
        <f>455500</f>
        <v>455500.0</v>
      </c>
      <c r="N302" s="34" t="s">
        <v>48</v>
      </c>
      <c r="O302" s="33" t="n">
        <f>398500</f>
        <v>398500.0</v>
      </c>
      <c r="P302" s="34" t="s">
        <v>50</v>
      </c>
      <c r="Q302" s="33" t="n">
        <f>402000</f>
        <v>402000.0</v>
      </c>
      <c r="R302" s="34" t="s">
        <v>50</v>
      </c>
      <c r="S302" s="35" t="n">
        <f>442750</f>
        <v>442750.0</v>
      </c>
      <c r="T302" s="32" t="n">
        <f>44515</f>
        <v>44515.0</v>
      </c>
      <c r="U302" s="32" t="n">
        <f>10003</f>
        <v>10003.0</v>
      </c>
      <c r="V302" s="32" t="n">
        <f>19552712919</f>
        <v>1.9552712919E10</v>
      </c>
      <c r="W302" s="32" t="n">
        <f>4414355419</f>
        <v>4.414355419E9</v>
      </c>
      <c r="X302" s="36" t="n">
        <f>18</f>
        <v>18.0</v>
      </c>
    </row>
    <row r="303">
      <c r="A303" s="27" t="s">
        <v>42</v>
      </c>
      <c r="B303" s="27" t="s">
        <v>957</v>
      </c>
      <c r="C303" s="27" t="s">
        <v>958</v>
      </c>
      <c r="D303" s="27" t="s">
        <v>959</v>
      </c>
      <c r="E303" s="28" t="s">
        <v>46</v>
      </c>
      <c r="F303" s="29" t="s">
        <v>46</v>
      </c>
      <c r="G303" s="30" t="s">
        <v>46</v>
      </c>
      <c r="H303" s="31"/>
      <c r="I303" s="31" t="s">
        <v>47</v>
      </c>
      <c r="J303" s="32" t="n">
        <v>1.0</v>
      </c>
      <c r="K303" s="33" t="n">
        <f>145500</f>
        <v>145500.0</v>
      </c>
      <c r="L303" s="34" t="s">
        <v>48</v>
      </c>
      <c r="M303" s="33" t="n">
        <f>151200</f>
        <v>151200.0</v>
      </c>
      <c r="N303" s="34" t="s">
        <v>60</v>
      </c>
      <c r="O303" s="33" t="n">
        <f>133200</f>
        <v>133200.0</v>
      </c>
      <c r="P303" s="34" t="s">
        <v>50</v>
      </c>
      <c r="Q303" s="33" t="n">
        <f>133200</f>
        <v>133200.0</v>
      </c>
      <c r="R303" s="34" t="s">
        <v>50</v>
      </c>
      <c r="S303" s="35" t="n">
        <f>145961.11</f>
        <v>145961.11</v>
      </c>
      <c r="T303" s="32" t="n">
        <f>54290</f>
        <v>54290.0</v>
      </c>
      <c r="U303" s="32" t="n">
        <f>11604</f>
        <v>11604.0</v>
      </c>
      <c r="V303" s="32" t="n">
        <f>7905005024</f>
        <v>7.905005024E9</v>
      </c>
      <c r="W303" s="32" t="n">
        <f>1693420724</f>
        <v>1.693420724E9</v>
      </c>
      <c r="X303" s="36" t="n">
        <f>18</f>
        <v>18.0</v>
      </c>
    </row>
    <row r="304">
      <c r="A304" s="27" t="s">
        <v>42</v>
      </c>
      <c r="B304" s="27" t="s">
        <v>960</v>
      </c>
      <c r="C304" s="27" t="s">
        <v>961</v>
      </c>
      <c r="D304" s="27" t="s">
        <v>962</v>
      </c>
      <c r="E304" s="28" t="s">
        <v>46</v>
      </c>
      <c r="F304" s="29" t="s">
        <v>46</v>
      </c>
      <c r="G304" s="30" t="s">
        <v>46</v>
      </c>
      <c r="H304" s="31"/>
      <c r="I304" s="31" t="s">
        <v>47</v>
      </c>
      <c r="J304" s="32" t="n">
        <v>1.0</v>
      </c>
      <c r="K304" s="33" t="n">
        <f>290700</f>
        <v>290700.0</v>
      </c>
      <c r="L304" s="34" t="s">
        <v>48</v>
      </c>
      <c r="M304" s="33" t="n">
        <f>293700</f>
        <v>293700.0</v>
      </c>
      <c r="N304" s="34" t="s">
        <v>96</v>
      </c>
      <c r="O304" s="33" t="n">
        <f>266900</f>
        <v>266900.0</v>
      </c>
      <c r="P304" s="34" t="s">
        <v>50</v>
      </c>
      <c r="Q304" s="33" t="n">
        <f>268400</f>
        <v>268400.0</v>
      </c>
      <c r="R304" s="34" t="s">
        <v>50</v>
      </c>
      <c r="S304" s="35" t="n">
        <f>286555.56</f>
        <v>286555.56</v>
      </c>
      <c r="T304" s="32" t="n">
        <f>56797</f>
        <v>56797.0</v>
      </c>
      <c r="U304" s="32" t="n">
        <f>13045</f>
        <v>13045.0</v>
      </c>
      <c r="V304" s="32" t="n">
        <f>16237073244</f>
        <v>1.6237073244E10</v>
      </c>
      <c r="W304" s="32" t="n">
        <f>3740684944</f>
        <v>3.740684944E9</v>
      </c>
      <c r="X304" s="36" t="n">
        <f>18</f>
        <v>18.0</v>
      </c>
    </row>
    <row r="305">
      <c r="A305" s="27" t="s">
        <v>42</v>
      </c>
      <c r="B305" s="27" t="s">
        <v>963</v>
      </c>
      <c r="C305" s="27" t="s">
        <v>964</v>
      </c>
      <c r="D305" s="27" t="s">
        <v>965</v>
      </c>
      <c r="E305" s="28" t="s">
        <v>46</v>
      </c>
      <c r="F305" s="29" t="s">
        <v>46</v>
      </c>
      <c r="G305" s="30" t="s">
        <v>46</v>
      </c>
      <c r="H305" s="31"/>
      <c r="I305" s="31" t="s">
        <v>47</v>
      </c>
      <c r="J305" s="32" t="n">
        <v>1.0</v>
      </c>
      <c r="K305" s="33" t="n">
        <f>188000</f>
        <v>188000.0</v>
      </c>
      <c r="L305" s="34" t="s">
        <v>48</v>
      </c>
      <c r="M305" s="33" t="n">
        <f>189300</f>
        <v>189300.0</v>
      </c>
      <c r="N305" s="34" t="s">
        <v>71</v>
      </c>
      <c r="O305" s="33" t="n">
        <f>166300</f>
        <v>166300.0</v>
      </c>
      <c r="P305" s="34" t="s">
        <v>50</v>
      </c>
      <c r="Q305" s="33" t="n">
        <f>167900</f>
        <v>167900.0</v>
      </c>
      <c r="R305" s="34" t="s">
        <v>50</v>
      </c>
      <c r="S305" s="35" t="n">
        <f>185266.67</f>
        <v>185266.67</v>
      </c>
      <c r="T305" s="32" t="n">
        <f>49559</f>
        <v>49559.0</v>
      </c>
      <c r="U305" s="32" t="n">
        <f>10712</f>
        <v>10712.0</v>
      </c>
      <c r="V305" s="32" t="n">
        <f>9062808605</f>
        <v>9.062808605E9</v>
      </c>
      <c r="W305" s="32" t="n">
        <f>1967733505</f>
        <v>1.967733505E9</v>
      </c>
      <c r="X305" s="36" t="n">
        <f>18</f>
        <v>18.0</v>
      </c>
    </row>
    <row r="306">
      <c r="A306" s="27" t="s">
        <v>42</v>
      </c>
      <c r="B306" s="27" t="s">
        <v>966</v>
      </c>
      <c r="C306" s="27" t="s">
        <v>967</v>
      </c>
      <c r="D306" s="27" t="s">
        <v>968</v>
      </c>
      <c r="E306" s="28" t="s">
        <v>46</v>
      </c>
      <c r="F306" s="29" t="s">
        <v>46</v>
      </c>
      <c r="G306" s="30" t="s">
        <v>46</v>
      </c>
      <c r="H306" s="31"/>
      <c r="I306" s="31" t="s">
        <v>47</v>
      </c>
      <c r="J306" s="32" t="n">
        <v>1.0</v>
      </c>
      <c r="K306" s="33" t="n">
        <f>873000</f>
        <v>873000.0</v>
      </c>
      <c r="L306" s="34" t="s">
        <v>48</v>
      </c>
      <c r="M306" s="33" t="n">
        <f>910000</f>
        <v>910000.0</v>
      </c>
      <c r="N306" s="34" t="s">
        <v>60</v>
      </c>
      <c r="O306" s="33" t="n">
        <f>804000</f>
        <v>804000.0</v>
      </c>
      <c r="P306" s="34" t="s">
        <v>50</v>
      </c>
      <c r="Q306" s="33" t="n">
        <f>806000</f>
        <v>806000.0</v>
      </c>
      <c r="R306" s="34" t="s">
        <v>50</v>
      </c>
      <c r="S306" s="35" t="n">
        <f>876055.56</f>
        <v>876055.56</v>
      </c>
      <c r="T306" s="32" t="n">
        <f>37627</f>
        <v>37627.0</v>
      </c>
      <c r="U306" s="32" t="n">
        <f>9940</f>
        <v>9940.0</v>
      </c>
      <c r="V306" s="32" t="n">
        <f>32840700489</f>
        <v>3.2840700489E10</v>
      </c>
      <c r="W306" s="32" t="n">
        <f>8695469489</f>
        <v>8.695469489E9</v>
      </c>
      <c r="X306" s="36" t="n">
        <f>18</f>
        <v>18.0</v>
      </c>
    </row>
    <row r="307">
      <c r="A307" s="27" t="s">
        <v>42</v>
      </c>
      <c r="B307" s="27" t="s">
        <v>969</v>
      </c>
      <c r="C307" s="27" t="s">
        <v>970</v>
      </c>
      <c r="D307" s="27" t="s">
        <v>971</v>
      </c>
      <c r="E307" s="28" t="s">
        <v>46</v>
      </c>
      <c r="F307" s="29" t="s">
        <v>46</v>
      </c>
      <c r="G307" s="30" t="s">
        <v>46</v>
      </c>
      <c r="H307" s="31"/>
      <c r="I307" s="31" t="s">
        <v>47</v>
      </c>
      <c r="J307" s="32" t="n">
        <v>1.0</v>
      </c>
      <c r="K307" s="33" t="n">
        <f>117300</f>
        <v>117300.0</v>
      </c>
      <c r="L307" s="34" t="s">
        <v>48</v>
      </c>
      <c r="M307" s="33" t="n">
        <f>120000</f>
        <v>120000.0</v>
      </c>
      <c r="N307" s="34" t="s">
        <v>60</v>
      </c>
      <c r="O307" s="33" t="n">
        <f>104900</f>
        <v>104900.0</v>
      </c>
      <c r="P307" s="34" t="s">
        <v>50</v>
      </c>
      <c r="Q307" s="33" t="n">
        <f>105200</f>
        <v>105200.0</v>
      </c>
      <c r="R307" s="34" t="s">
        <v>50</v>
      </c>
      <c r="S307" s="35" t="n">
        <f>116200</f>
        <v>116200.0</v>
      </c>
      <c r="T307" s="32" t="n">
        <f>105170</f>
        <v>105170.0</v>
      </c>
      <c r="U307" s="32" t="n">
        <f>21472</f>
        <v>21472.0</v>
      </c>
      <c r="V307" s="32" t="n">
        <f>12175906164</f>
        <v>1.2175906164E10</v>
      </c>
      <c r="W307" s="32" t="n">
        <f>2493112264</f>
        <v>2.493112264E9</v>
      </c>
      <c r="X307" s="36" t="n">
        <f>18</f>
        <v>18.0</v>
      </c>
    </row>
    <row r="308">
      <c r="A308" s="27" t="s">
        <v>42</v>
      </c>
      <c r="B308" s="27" t="s">
        <v>972</v>
      </c>
      <c r="C308" s="27" t="s">
        <v>973</v>
      </c>
      <c r="D308" s="27" t="s">
        <v>974</v>
      </c>
      <c r="E308" s="28" t="s">
        <v>46</v>
      </c>
      <c r="F308" s="29" t="s">
        <v>46</v>
      </c>
      <c r="G308" s="30" t="s">
        <v>46</v>
      </c>
      <c r="H308" s="31"/>
      <c r="I308" s="31" t="s">
        <v>47</v>
      </c>
      <c r="J308" s="32" t="n">
        <v>1.0</v>
      </c>
      <c r="K308" s="33" t="n">
        <f>865000</f>
        <v>865000.0</v>
      </c>
      <c r="L308" s="34" t="s">
        <v>48</v>
      </c>
      <c r="M308" s="33" t="n">
        <f>914000</f>
        <v>914000.0</v>
      </c>
      <c r="N308" s="34" t="s">
        <v>60</v>
      </c>
      <c r="O308" s="33" t="n">
        <f>827000</f>
        <v>827000.0</v>
      </c>
      <c r="P308" s="34" t="s">
        <v>50</v>
      </c>
      <c r="Q308" s="33" t="n">
        <f>833000</f>
        <v>833000.0</v>
      </c>
      <c r="R308" s="34" t="s">
        <v>50</v>
      </c>
      <c r="S308" s="35" t="n">
        <f>879833.33</f>
        <v>879833.33</v>
      </c>
      <c r="T308" s="32" t="n">
        <f>30649</f>
        <v>30649.0</v>
      </c>
      <c r="U308" s="32" t="n">
        <f>5731</f>
        <v>5731.0</v>
      </c>
      <c r="V308" s="32" t="n">
        <f>26860354847</f>
        <v>2.6860354847E10</v>
      </c>
      <c r="W308" s="32" t="n">
        <f>5029188847</f>
        <v>5.029188847E9</v>
      </c>
      <c r="X308" s="36" t="n">
        <f>18</f>
        <v>18.0</v>
      </c>
    </row>
    <row r="309">
      <c r="A309" s="27" t="s">
        <v>42</v>
      </c>
      <c r="B309" s="27" t="s">
        <v>975</v>
      </c>
      <c r="C309" s="27" t="s">
        <v>976</v>
      </c>
      <c r="D309" s="27" t="s">
        <v>977</v>
      </c>
      <c r="E309" s="28" t="s">
        <v>46</v>
      </c>
      <c r="F309" s="29" t="s">
        <v>46</v>
      </c>
      <c r="G309" s="30" t="s">
        <v>46</v>
      </c>
      <c r="H309" s="31"/>
      <c r="I309" s="31" t="s">
        <v>634</v>
      </c>
      <c r="J309" s="32" t="n">
        <v>1.0</v>
      </c>
      <c r="K309" s="33" t="n">
        <f>174100</f>
        <v>174100.0</v>
      </c>
      <c r="L309" s="34" t="s">
        <v>48</v>
      </c>
      <c r="M309" s="33" t="n">
        <f>182800</f>
        <v>182800.0</v>
      </c>
      <c r="N309" s="34" t="s">
        <v>114</v>
      </c>
      <c r="O309" s="33" t="n">
        <f>159000</f>
        <v>159000.0</v>
      </c>
      <c r="P309" s="34" t="s">
        <v>50</v>
      </c>
      <c r="Q309" s="33" t="n">
        <f>159600</f>
        <v>159600.0</v>
      </c>
      <c r="R309" s="34" t="s">
        <v>50</v>
      </c>
      <c r="S309" s="35" t="n">
        <f>175638.89</f>
        <v>175638.89</v>
      </c>
      <c r="T309" s="32" t="n">
        <f>54521</f>
        <v>54521.0</v>
      </c>
      <c r="U309" s="32" t="n">
        <f>10630</f>
        <v>10630.0</v>
      </c>
      <c r="V309" s="32" t="n">
        <f>9515218261</f>
        <v>9.515218261E9</v>
      </c>
      <c r="W309" s="32" t="n">
        <f>1864994261</f>
        <v>1.864994261E9</v>
      </c>
      <c r="X309" s="36" t="n">
        <f>18</f>
        <v>18.0</v>
      </c>
    </row>
    <row r="310">
      <c r="A310" s="27" t="s">
        <v>42</v>
      </c>
      <c r="B310" s="27" t="s">
        <v>978</v>
      </c>
      <c r="C310" s="27" t="s">
        <v>979</v>
      </c>
      <c r="D310" s="27" t="s">
        <v>980</v>
      </c>
      <c r="E310" s="28" t="s">
        <v>46</v>
      </c>
      <c r="F310" s="29" t="s">
        <v>46</v>
      </c>
      <c r="G310" s="30" t="s">
        <v>46</v>
      </c>
      <c r="H310" s="31"/>
      <c r="I310" s="31" t="s">
        <v>634</v>
      </c>
      <c r="J310" s="32" t="n">
        <v>1.0</v>
      </c>
      <c r="K310" s="33" t="n">
        <f>208300</f>
        <v>208300.0</v>
      </c>
      <c r="L310" s="34" t="s">
        <v>48</v>
      </c>
      <c r="M310" s="33" t="n">
        <f>211400</f>
        <v>211400.0</v>
      </c>
      <c r="N310" s="34" t="s">
        <v>60</v>
      </c>
      <c r="O310" s="33" t="n">
        <f>191000</f>
        <v>191000.0</v>
      </c>
      <c r="P310" s="34" t="s">
        <v>50</v>
      </c>
      <c r="Q310" s="33" t="n">
        <f>195400</f>
        <v>195400.0</v>
      </c>
      <c r="R310" s="34" t="s">
        <v>50</v>
      </c>
      <c r="S310" s="35" t="n">
        <f>206222.22</f>
        <v>206222.22</v>
      </c>
      <c r="T310" s="32" t="n">
        <f>15883</f>
        <v>15883.0</v>
      </c>
      <c r="U310" s="32" t="n">
        <f>2133</f>
        <v>2133.0</v>
      </c>
      <c r="V310" s="32" t="n">
        <f>3247963422</f>
        <v>3.247963422E9</v>
      </c>
      <c r="W310" s="32" t="n">
        <f>437552022</f>
        <v>4.37552022E8</v>
      </c>
      <c r="X310" s="36" t="n">
        <f>18</f>
        <v>18.0</v>
      </c>
    </row>
    <row r="311">
      <c r="A311" s="27" t="s">
        <v>42</v>
      </c>
      <c r="B311" s="27" t="s">
        <v>981</v>
      </c>
      <c r="C311" s="27" t="s">
        <v>982</v>
      </c>
      <c r="D311" s="27" t="s">
        <v>983</v>
      </c>
      <c r="E311" s="28" t="s">
        <v>46</v>
      </c>
      <c r="F311" s="29" t="s">
        <v>46</v>
      </c>
      <c r="G311" s="30" t="s">
        <v>46</v>
      </c>
      <c r="H311" s="31"/>
      <c r="I311" s="31" t="s">
        <v>47</v>
      </c>
      <c r="J311" s="32" t="n">
        <v>1.0</v>
      </c>
      <c r="K311" s="33" t="n">
        <f>289500</f>
        <v>289500.0</v>
      </c>
      <c r="L311" s="34" t="s">
        <v>48</v>
      </c>
      <c r="M311" s="33" t="n">
        <f>299900</f>
        <v>299900.0</v>
      </c>
      <c r="N311" s="34" t="s">
        <v>164</v>
      </c>
      <c r="O311" s="33" t="n">
        <f>268600</f>
        <v>268600.0</v>
      </c>
      <c r="P311" s="34" t="s">
        <v>50</v>
      </c>
      <c r="Q311" s="33" t="n">
        <f>269200</f>
        <v>269200.0</v>
      </c>
      <c r="R311" s="34" t="s">
        <v>50</v>
      </c>
      <c r="S311" s="35" t="n">
        <f>292072.22</f>
        <v>292072.22</v>
      </c>
      <c r="T311" s="32" t="n">
        <f>209683</f>
        <v>209683.0</v>
      </c>
      <c r="U311" s="32" t="n">
        <f>31456</f>
        <v>31456.0</v>
      </c>
      <c r="V311" s="32" t="n">
        <f>61166414698</f>
        <v>6.1166414698E10</v>
      </c>
      <c r="W311" s="32" t="n">
        <f>9179563198</f>
        <v>9.179563198E9</v>
      </c>
      <c r="X311" s="36" t="n">
        <f>18</f>
        <v>18.0</v>
      </c>
    </row>
    <row r="312">
      <c r="A312" s="27" t="s">
        <v>42</v>
      </c>
      <c r="B312" s="27" t="s">
        <v>984</v>
      </c>
      <c r="C312" s="27" t="s">
        <v>985</v>
      </c>
      <c r="D312" s="27" t="s">
        <v>986</v>
      </c>
      <c r="E312" s="28" t="s">
        <v>46</v>
      </c>
      <c r="F312" s="29" t="s">
        <v>46</v>
      </c>
      <c r="G312" s="30" t="s">
        <v>46</v>
      </c>
      <c r="H312" s="31"/>
      <c r="I312" s="31" t="s">
        <v>47</v>
      </c>
      <c r="J312" s="32" t="n">
        <v>1.0</v>
      </c>
      <c r="K312" s="33" t="n">
        <f>72100</f>
        <v>72100.0</v>
      </c>
      <c r="L312" s="34" t="s">
        <v>48</v>
      </c>
      <c r="M312" s="33" t="n">
        <f>75600</f>
        <v>75600.0</v>
      </c>
      <c r="N312" s="34" t="s">
        <v>49</v>
      </c>
      <c r="O312" s="33" t="n">
        <f>60200</f>
        <v>60200.0</v>
      </c>
      <c r="P312" s="34" t="s">
        <v>50</v>
      </c>
      <c r="Q312" s="33" t="n">
        <f>60400</f>
        <v>60400.0</v>
      </c>
      <c r="R312" s="34" t="s">
        <v>50</v>
      </c>
      <c r="S312" s="35" t="n">
        <f>70794.44</f>
        <v>70794.44</v>
      </c>
      <c r="T312" s="32" t="n">
        <f>800302</f>
        <v>800302.0</v>
      </c>
      <c r="U312" s="32" t="n">
        <f>127906</f>
        <v>127906.0</v>
      </c>
      <c r="V312" s="32" t="n">
        <f>56128641551</f>
        <v>5.6128641551E10</v>
      </c>
      <c r="W312" s="32" t="n">
        <f>9117429951</f>
        <v>9.117429951E9</v>
      </c>
      <c r="X312" s="36" t="n">
        <f>18</f>
        <v>18.0</v>
      </c>
    </row>
    <row r="313">
      <c r="A313" s="27" t="s">
        <v>42</v>
      </c>
      <c r="B313" s="27" t="s">
        <v>987</v>
      </c>
      <c r="C313" s="27" t="s">
        <v>988</v>
      </c>
      <c r="D313" s="27" t="s">
        <v>989</v>
      </c>
      <c r="E313" s="28" t="s">
        <v>46</v>
      </c>
      <c r="F313" s="29" t="s">
        <v>46</v>
      </c>
      <c r="G313" s="30" t="s">
        <v>46</v>
      </c>
      <c r="H313" s="31"/>
      <c r="I313" s="31" t="s">
        <v>47</v>
      </c>
      <c r="J313" s="32" t="n">
        <v>1.0</v>
      </c>
      <c r="K313" s="33" t="n">
        <f>108500</f>
        <v>108500.0</v>
      </c>
      <c r="L313" s="34" t="s">
        <v>48</v>
      </c>
      <c r="M313" s="33" t="n">
        <f>110300</f>
        <v>110300.0</v>
      </c>
      <c r="N313" s="34" t="s">
        <v>96</v>
      </c>
      <c r="O313" s="33" t="n">
        <f>97100</f>
        <v>97100.0</v>
      </c>
      <c r="P313" s="34" t="s">
        <v>50</v>
      </c>
      <c r="Q313" s="33" t="n">
        <f>97600</f>
        <v>97600.0</v>
      </c>
      <c r="R313" s="34" t="s">
        <v>50</v>
      </c>
      <c r="S313" s="35" t="n">
        <f>107050</f>
        <v>107050.0</v>
      </c>
      <c r="T313" s="32" t="n">
        <f>119825</f>
        <v>119825.0</v>
      </c>
      <c r="U313" s="32" t="n">
        <f>24366</f>
        <v>24366.0</v>
      </c>
      <c r="V313" s="32" t="n">
        <f>12774003513</f>
        <v>1.2774003513E10</v>
      </c>
      <c r="W313" s="32" t="n">
        <f>2604143713</f>
        <v>2.604143713E9</v>
      </c>
      <c r="X313" s="36" t="n">
        <f>18</f>
        <v>18.0</v>
      </c>
    </row>
    <row r="314">
      <c r="A314" s="27" t="s">
        <v>42</v>
      </c>
      <c r="B314" s="27" t="s">
        <v>990</v>
      </c>
      <c r="C314" s="27" t="s">
        <v>991</v>
      </c>
      <c r="D314" s="27" t="s">
        <v>992</v>
      </c>
      <c r="E314" s="28" t="s">
        <v>46</v>
      </c>
      <c r="F314" s="29" t="s">
        <v>46</v>
      </c>
      <c r="G314" s="30" t="s">
        <v>46</v>
      </c>
      <c r="H314" s="31"/>
      <c r="I314" s="31" t="s">
        <v>47</v>
      </c>
      <c r="J314" s="32" t="n">
        <v>1.0</v>
      </c>
      <c r="K314" s="33" t="n">
        <f>194700</f>
        <v>194700.0</v>
      </c>
      <c r="L314" s="34" t="s">
        <v>48</v>
      </c>
      <c r="M314" s="33" t="n">
        <f>201400</f>
        <v>201400.0</v>
      </c>
      <c r="N314" s="34" t="s">
        <v>114</v>
      </c>
      <c r="O314" s="33" t="n">
        <f>179900</f>
        <v>179900.0</v>
      </c>
      <c r="P314" s="34" t="s">
        <v>50</v>
      </c>
      <c r="Q314" s="33" t="n">
        <f>180400</f>
        <v>180400.0</v>
      </c>
      <c r="R314" s="34" t="s">
        <v>50</v>
      </c>
      <c r="S314" s="35" t="n">
        <f>195461.11</f>
        <v>195461.11</v>
      </c>
      <c r="T314" s="32" t="n">
        <f>86321</f>
        <v>86321.0</v>
      </c>
      <c r="U314" s="32" t="n">
        <f>25743</f>
        <v>25743.0</v>
      </c>
      <c r="V314" s="32" t="n">
        <f>16813041087</f>
        <v>1.6813041087E10</v>
      </c>
      <c r="W314" s="32" t="n">
        <f>5039790987</f>
        <v>5.039790987E9</v>
      </c>
      <c r="X314" s="36" t="n">
        <f>18</f>
        <v>18.0</v>
      </c>
    </row>
    <row r="315">
      <c r="A315" s="27" t="s">
        <v>42</v>
      </c>
      <c r="B315" s="27" t="s">
        <v>993</v>
      </c>
      <c r="C315" s="27" t="s">
        <v>994</v>
      </c>
      <c r="D315" s="27" t="s">
        <v>995</v>
      </c>
      <c r="E315" s="28" t="s">
        <v>46</v>
      </c>
      <c r="F315" s="29" t="s">
        <v>46</v>
      </c>
      <c r="G315" s="30" t="s">
        <v>46</v>
      </c>
      <c r="H315" s="31"/>
      <c r="I315" s="31" t="s">
        <v>47</v>
      </c>
      <c r="J315" s="32" t="n">
        <v>1.0</v>
      </c>
      <c r="K315" s="33" t="n">
        <f>119400</f>
        <v>119400.0</v>
      </c>
      <c r="L315" s="34" t="s">
        <v>48</v>
      </c>
      <c r="M315" s="33" t="n">
        <f>122700</f>
        <v>122700.0</v>
      </c>
      <c r="N315" s="34" t="s">
        <v>174</v>
      </c>
      <c r="O315" s="33" t="n">
        <f>113400</f>
        <v>113400.0</v>
      </c>
      <c r="P315" s="34" t="s">
        <v>50</v>
      </c>
      <c r="Q315" s="33" t="n">
        <f>114700</f>
        <v>114700.0</v>
      </c>
      <c r="R315" s="34" t="s">
        <v>50</v>
      </c>
      <c r="S315" s="35" t="n">
        <f>120727.78</f>
        <v>120727.78</v>
      </c>
      <c r="T315" s="32" t="n">
        <f>16276</f>
        <v>16276.0</v>
      </c>
      <c r="U315" s="32" t="n">
        <f>704</f>
        <v>704.0</v>
      </c>
      <c r="V315" s="32" t="n">
        <f>1944774948</f>
        <v>1.944774948E9</v>
      </c>
      <c r="W315" s="32" t="n">
        <f>84510248</f>
        <v>8.4510248E7</v>
      </c>
      <c r="X315" s="36" t="n">
        <f>18</f>
        <v>18.0</v>
      </c>
    </row>
    <row r="316">
      <c r="A316" s="27" t="s">
        <v>42</v>
      </c>
      <c r="B316" s="27" t="s">
        <v>996</v>
      </c>
      <c r="C316" s="27" t="s">
        <v>997</v>
      </c>
      <c r="D316" s="27" t="s">
        <v>998</v>
      </c>
      <c r="E316" s="28" t="s">
        <v>46</v>
      </c>
      <c r="F316" s="29" t="s">
        <v>46</v>
      </c>
      <c r="G316" s="30" t="s">
        <v>46</v>
      </c>
      <c r="H316" s="31"/>
      <c r="I316" s="31" t="s">
        <v>634</v>
      </c>
      <c r="J316" s="32" t="n">
        <v>1.0</v>
      </c>
      <c r="K316" s="33" t="n">
        <f>64000</f>
        <v>64000.0</v>
      </c>
      <c r="L316" s="34" t="s">
        <v>48</v>
      </c>
      <c r="M316" s="33" t="n">
        <f>65800</f>
        <v>65800.0</v>
      </c>
      <c r="N316" s="34" t="s">
        <v>67</v>
      </c>
      <c r="O316" s="33" t="n">
        <f>58400</f>
        <v>58400.0</v>
      </c>
      <c r="P316" s="34" t="s">
        <v>50</v>
      </c>
      <c r="Q316" s="33" t="n">
        <f>61300</f>
        <v>61300.0</v>
      </c>
      <c r="R316" s="34" t="s">
        <v>50</v>
      </c>
      <c r="S316" s="35" t="n">
        <f>64011.11</f>
        <v>64011.11</v>
      </c>
      <c r="T316" s="32" t="n">
        <f>4116</f>
        <v>4116.0</v>
      </c>
      <c r="U316" s="32" t="n">
        <f>100</f>
        <v>100.0</v>
      </c>
      <c r="V316" s="32" t="n">
        <f>259204700</f>
        <v>2.592047E8</v>
      </c>
      <c r="W316" s="32" t="n">
        <f>6293800</f>
        <v>6293800.0</v>
      </c>
      <c r="X316" s="36" t="n">
        <f>18</f>
        <v>18.0</v>
      </c>
    </row>
    <row r="317">
      <c r="A317" s="27" t="s">
        <v>42</v>
      </c>
      <c r="B317" s="27" t="s">
        <v>999</v>
      </c>
      <c r="C317" s="27" t="s">
        <v>1000</v>
      </c>
      <c r="D317" s="27" t="s">
        <v>1001</v>
      </c>
      <c r="E317" s="28" t="s">
        <v>46</v>
      </c>
      <c r="F317" s="29" t="s">
        <v>46</v>
      </c>
      <c r="G317" s="30" t="s">
        <v>46</v>
      </c>
      <c r="H317" s="31"/>
      <c r="I317" s="31" t="s">
        <v>634</v>
      </c>
      <c r="J317" s="32" t="n">
        <v>1.0</v>
      </c>
      <c r="K317" s="33" t="n">
        <f>103000</f>
        <v>103000.0</v>
      </c>
      <c r="L317" s="34" t="s">
        <v>48</v>
      </c>
      <c r="M317" s="33" t="n">
        <f>106400</f>
        <v>106400.0</v>
      </c>
      <c r="N317" s="34" t="s">
        <v>71</v>
      </c>
      <c r="O317" s="33" t="n">
        <f>97200</f>
        <v>97200.0</v>
      </c>
      <c r="P317" s="34" t="s">
        <v>50</v>
      </c>
      <c r="Q317" s="33" t="n">
        <f>98400</f>
        <v>98400.0</v>
      </c>
      <c r="R317" s="34" t="s">
        <v>50</v>
      </c>
      <c r="S317" s="35" t="n">
        <f>103983.33</f>
        <v>103983.33</v>
      </c>
      <c r="T317" s="32" t="n">
        <f>12632</f>
        <v>12632.0</v>
      </c>
      <c r="U317" s="32" t="n">
        <f>1008</f>
        <v>1008.0</v>
      </c>
      <c r="V317" s="32" t="n">
        <f>1297224657</f>
        <v>1.297224657E9</v>
      </c>
      <c r="W317" s="32" t="n">
        <f>104639757</f>
        <v>1.04639757E8</v>
      </c>
      <c r="X317" s="36" t="n">
        <f>18</f>
        <v>18.0</v>
      </c>
    </row>
    <row r="318">
      <c r="A318" s="27" t="s">
        <v>42</v>
      </c>
      <c r="B318" s="27" t="s">
        <v>1002</v>
      </c>
      <c r="C318" s="27" t="s">
        <v>1003</v>
      </c>
      <c r="D318" s="27" t="s">
        <v>1004</v>
      </c>
      <c r="E318" s="28" t="s">
        <v>46</v>
      </c>
      <c r="F318" s="29" t="s">
        <v>46</v>
      </c>
      <c r="G318" s="30" t="s">
        <v>46</v>
      </c>
      <c r="H318" s="31"/>
      <c r="I318" s="31" t="s">
        <v>634</v>
      </c>
      <c r="J318" s="32" t="n">
        <v>1.0</v>
      </c>
      <c r="K318" s="33" t="n">
        <f>118900</f>
        <v>118900.0</v>
      </c>
      <c r="L318" s="34" t="s">
        <v>48</v>
      </c>
      <c r="M318" s="33" t="n">
        <f>123700</f>
        <v>123700.0</v>
      </c>
      <c r="N318" s="34" t="s">
        <v>60</v>
      </c>
      <c r="O318" s="33" t="n">
        <f>112600</f>
        <v>112600.0</v>
      </c>
      <c r="P318" s="34" t="s">
        <v>50</v>
      </c>
      <c r="Q318" s="33" t="n">
        <f>114400</f>
        <v>114400.0</v>
      </c>
      <c r="R318" s="34" t="s">
        <v>50</v>
      </c>
      <c r="S318" s="35" t="n">
        <f>120077.78</f>
        <v>120077.78</v>
      </c>
      <c r="T318" s="32" t="n">
        <f>11844</f>
        <v>11844.0</v>
      </c>
      <c r="U318" s="32" t="n">
        <f>399</f>
        <v>399.0</v>
      </c>
      <c r="V318" s="32" t="n">
        <f>1404953236</f>
        <v>1.404953236E9</v>
      </c>
      <c r="W318" s="32" t="n">
        <f>47145236</f>
        <v>4.7145236E7</v>
      </c>
      <c r="X318" s="36" t="n">
        <f>18</f>
        <v>18.0</v>
      </c>
    </row>
    <row r="319">
      <c r="A319" s="27" t="s">
        <v>42</v>
      </c>
      <c r="B319" s="27" t="s">
        <v>1005</v>
      </c>
      <c r="C319" s="27" t="s">
        <v>1006</v>
      </c>
      <c r="D319" s="27" t="s">
        <v>1007</v>
      </c>
      <c r="E319" s="28" t="s">
        <v>46</v>
      </c>
      <c r="F319" s="29" t="s">
        <v>46</v>
      </c>
      <c r="G319" s="30" t="s">
        <v>46</v>
      </c>
      <c r="H319" s="31"/>
      <c r="I319" s="31" t="s">
        <v>634</v>
      </c>
      <c r="J319" s="32" t="n">
        <v>1.0</v>
      </c>
      <c r="K319" s="33" t="n">
        <f>103500</f>
        <v>103500.0</v>
      </c>
      <c r="L319" s="34" t="s">
        <v>48</v>
      </c>
      <c r="M319" s="33" t="n">
        <f>105600</f>
        <v>105600.0</v>
      </c>
      <c r="N319" s="34" t="s">
        <v>60</v>
      </c>
      <c r="O319" s="33" t="n">
        <f>99500</f>
        <v>99500.0</v>
      </c>
      <c r="P319" s="34" t="s">
        <v>50</v>
      </c>
      <c r="Q319" s="33" t="n">
        <f>102500</f>
        <v>102500.0</v>
      </c>
      <c r="R319" s="34" t="s">
        <v>50</v>
      </c>
      <c r="S319" s="35" t="n">
        <f>103833.33</f>
        <v>103833.33</v>
      </c>
      <c r="T319" s="32" t="n">
        <f>5252</f>
        <v>5252.0</v>
      </c>
      <c r="U319" s="32" t="str">
        <f>"－"</f>
        <v>－</v>
      </c>
      <c r="V319" s="32" t="n">
        <f>538583700</f>
        <v>5.385837E8</v>
      </c>
      <c r="W319" s="32" t="str">
        <f>"－"</f>
        <v>－</v>
      </c>
      <c r="X319" s="36" t="n">
        <f>18</f>
        <v>18.0</v>
      </c>
    </row>
    <row r="320">
      <c r="A320" s="27" t="s">
        <v>42</v>
      </c>
      <c r="B320" s="27" t="s">
        <v>1008</v>
      </c>
      <c r="C320" s="27" t="s">
        <v>1009</v>
      </c>
      <c r="D320" s="27" t="s">
        <v>1010</v>
      </c>
      <c r="E320" s="28" t="s">
        <v>46</v>
      </c>
      <c r="F320" s="29" t="s">
        <v>46</v>
      </c>
      <c r="G320" s="30" t="s">
        <v>46</v>
      </c>
      <c r="H320" s="31"/>
      <c r="I320" s="31" t="s">
        <v>634</v>
      </c>
      <c r="J320" s="32" t="n">
        <v>1.0</v>
      </c>
      <c r="K320" s="33" t="n">
        <f>96000</f>
        <v>96000.0</v>
      </c>
      <c r="L320" s="34" t="s">
        <v>48</v>
      </c>
      <c r="M320" s="33" t="n">
        <f>99200</f>
        <v>99200.0</v>
      </c>
      <c r="N320" s="34" t="s">
        <v>178</v>
      </c>
      <c r="O320" s="33" t="n">
        <f>92800</f>
        <v>92800.0</v>
      </c>
      <c r="P320" s="34" t="s">
        <v>50</v>
      </c>
      <c r="Q320" s="33" t="n">
        <f>92900</f>
        <v>92900.0</v>
      </c>
      <c r="R320" s="34" t="s">
        <v>50</v>
      </c>
      <c r="S320" s="35" t="n">
        <f>97283.33</f>
        <v>97283.33</v>
      </c>
      <c r="T320" s="32" t="n">
        <f>10153</f>
        <v>10153.0</v>
      </c>
      <c r="U320" s="32" t="n">
        <f>60</f>
        <v>60.0</v>
      </c>
      <c r="V320" s="32" t="n">
        <f>979502180</f>
        <v>9.7950218E8</v>
      </c>
      <c r="W320" s="32" t="n">
        <f>5811580</f>
        <v>5811580.0</v>
      </c>
      <c r="X320" s="36" t="n">
        <f>18</f>
        <v>18.0</v>
      </c>
    </row>
    <row r="321">
      <c r="A321" s="27" t="s">
        <v>42</v>
      </c>
      <c r="B321" s="27" t="s">
        <v>1011</v>
      </c>
      <c r="C321" s="27" t="s">
        <v>1012</v>
      </c>
      <c r="D321" s="27" t="s">
        <v>1013</v>
      </c>
      <c r="E321" s="28" t="s">
        <v>794</v>
      </c>
      <c r="F321" s="29" t="s">
        <v>795</v>
      </c>
      <c r="G321" s="30" t="s">
        <v>1014</v>
      </c>
      <c r="H321" s="31"/>
      <c r="I321" s="31" t="s">
        <v>634</v>
      </c>
      <c r="J321" s="32" t="n">
        <v>1.0</v>
      </c>
      <c r="K321" s="33" t="n">
        <f>101000</f>
        <v>101000.0</v>
      </c>
      <c r="L321" s="34" t="s">
        <v>164</v>
      </c>
      <c r="M321" s="33" t="n">
        <f>103000</f>
        <v>103000.0</v>
      </c>
      <c r="N321" s="34" t="s">
        <v>164</v>
      </c>
      <c r="O321" s="33" t="n">
        <f>95000</f>
        <v>95000.0</v>
      </c>
      <c r="P321" s="34" t="s">
        <v>50</v>
      </c>
      <c r="Q321" s="33" t="n">
        <f>95000</f>
        <v>95000.0</v>
      </c>
      <c r="R321" s="34" t="s">
        <v>50</v>
      </c>
      <c r="S321" s="35" t="n">
        <f>100100</f>
        <v>100100.0</v>
      </c>
      <c r="T321" s="32" t="n">
        <f>38463</f>
        <v>38463.0</v>
      </c>
      <c r="U321" s="32" t="n">
        <f>290</f>
        <v>290.0</v>
      </c>
      <c r="V321" s="32" t="n">
        <f>3886882970</f>
        <v>3.88688297E9</v>
      </c>
      <c r="W321" s="32" t="n">
        <f>29489970</f>
        <v>2.948997E7</v>
      </c>
      <c r="X321" s="36" t="n">
        <f>6</f>
        <v>6.0</v>
      </c>
    </row>
  </sheetData>
  <mergeCells count="3">
    <mergeCell ref="N1:X3"/>
    <mergeCell ref="A2:M2"/>
    <mergeCell ref="A3:M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2019-03-19T12:06:25Z</dcterms:modified>
</cp:coreProperties>
</file>