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4" r:id="rId1" sheetId="1"/>
  </sheets>
  <definedNames>
    <definedName localSheetId="0" name="_xlnm.Print_Titles">BO_EM0004!$1:$6</definedName>
  </definedNames>
  <calcPr calcId="145621"/>
</workbook>
</file>

<file path=xl/sharedStrings.xml><?xml version="1.0" encoding="utf-8"?>
<sst xmlns="http://schemas.openxmlformats.org/spreadsheetml/2006/main" count="3849" uniqueCount="1022">
  <si>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</si>
  <si>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eb="1" sb="0">
      <t>トウ</t>
    </rPh>
    <rPh eb="3" sb="2">
      <t>シン</t>
    </rPh>
    <rPh eb="5" sb="4">
      <t>トウ</t>
    </rPh>
    <rPh eb="7" sb="6">
      <t>ソウ</t>
    </rPh>
    <rPh eb="9" sb="8">
      <t>バ</t>
    </rPh>
    <rPh eb="11" sb="10">
      <t>ヒョウ</t>
    </rPh>
    <phoneticPr fontId="3"/>
  </si>
  <si>
    <t>Investment Trust Quotations</t>
    <phoneticPr fontId="3"/>
  </si>
  <si>
    <t>年月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</si>
  <si>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</si>
  <si>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</si>
  <si>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</si>
  <si>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</si>
  <si>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</si>
  <si>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eb="2" sb="0">
      <t>ヒヅケ</t>
    </rPh>
    <phoneticPr fontId="3"/>
  </si>
  <si>
    <t>区分</t>
  </si>
  <si>
    <t>信用・貸借</t>
    <rPh eb="2" sb="0">
      <t>シンヨウ</t>
    </rPh>
    <rPh eb="5" sb="3">
      <t>タイシャク</t>
    </rPh>
    <phoneticPr fontId="3"/>
  </si>
  <si>
    <t>売買単位</t>
    <rPh eb="2" sb="0">
      <t>バイバイ</t>
    </rPh>
    <rPh eb="4" sb="2">
      <t>タンイ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</si>
  <si>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</si>
  <si>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</si>
  <si>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</si>
  <si>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</si>
  <si>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</si>
  <si>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売買高</t>
    <rPh eb="3" sb="0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</si>
  <si>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</si>
  <si>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</si>
  <si>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</si>
  <si>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値付日数</t>
    <rPh eb="2" sb="0">
      <t>ネツ</t>
    </rPh>
    <rPh eb="4" sb="2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</si>
  <si>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</si>
  <si>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</si>
  <si>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</si>
  <si>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</si>
  <si>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</si>
  <si>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</si>
  <si>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</si>
  <si>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</si>
  <si>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</si>
  <si>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</si>
  <si>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</si>
  <si>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</si>
  <si>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</si>
  <si>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</si>
  <si>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</si>
  <si>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</si>
  <si>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</si>
  <si>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</si>
  <si>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</si>
  <si>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2020/03</t>
  </si>
  <si>
    <t>1305</t>
  </si>
  <si>
    <t>ダイワ上場投信－トピックス　受益証券</t>
  </si>
  <si>
    <t>Daiwa ETF-TOPIX</t>
  </si>
  <si>
    <t/>
  </si>
  <si>
    <t>貸借</t>
  </si>
  <si>
    <t>2</t>
  </si>
  <si>
    <t>3</t>
  </si>
  <si>
    <t>17</t>
  </si>
  <si>
    <t>31</t>
  </si>
  <si>
    <t>1306</t>
  </si>
  <si>
    <t>ＴＯＰＩＸ連動型上場投資信託　受益証券</t>
  </si>
  <si>
    <t>TOPIX Exchange Traded Fund</t>
  </si>
  <si>
    <t>1308</t>
  </si>
  <si>
    <t>上場インデックスファンドＴＯＰＩＸ　受益証券</t>
  </si>
  <si>
    <t>Nikko Exchange Traded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</si>
  <si>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</si>
  <si>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</si>
  <si>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</si>
  <si>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6</t>
  </si>
  <si>
    <t>23</t>
  </si>
  <si>
    <t>1311</t>
  </si>
  <si>
    <t>ＴＯＰＩＸ　Ｃｏｒｅ　３０　連動型上場投資信託　受益証券</t>
  </si>
  <si>
    <t>TOPIX Core 30 Exchange Traded Fund</t>
  </si>
  <si>
    <t>19</t>
  </si>
  <si>
    <t>1312</t>
  </si>
  <si>
    <t>ラッセル野村小型コア・インデックス連動型上場投資信託　受益証券</t>
  </si>
  <si>
    <t>Russell/Nomura Small Cap Core Index Linked ETF</t>
  </si>
  <si>
    <t>16</t>
  </si>
  <si>
    <t>1313</t>
  </si>
  <si>
    <t>サムスンＫＯＤＥＸ２００証券上場指数投資信託[株式]　受益証券</t>
  </si>
  <si>
    <t>SAMSUNG KODEX200 SECURITIES EXCHANGE TRADED FUND [STOCK]</t>
  </si>
  <si>
    <t>1319</t>
  </si>
  <si>
    <t>日経３００株価指数連動型上場投資信託　受益証券</t>
  </si>
  <si>
    <t>Nikkei 300 Stock Index Listed Fund</t>
  </si>
  <si>
    <t>4</t>
  </si>
  <si>
    <t>1320</t>
  </si>
  <si>
    <t>ダイワ上場投信－日経２２５　受益証券</t>
  </si>
  <si>
    <t>Daiwa ETF-Nikkei 225</t>
  </si>
  <si>
    <t>1321</t>
  </si>
  <si>
    <t>日経２２５連動型上場投資信託　受益証券</t>
  </si>
  <si>
    <t>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</si>
  <si>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</si>
  <si>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</si>
  <si>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</si>
  <si>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1323</t>
  </si>
  <si>
    <t>ＮＥＸＴ　ＦＵＮＤＳ　南アフリカ株式指数・ＦＴＳＥ／ＪＳＥ　Ａｆｒｉｃａ　Ｔｏｐ４０連動型上場投信　受益証券</t>
  </si>
  <si>
    <t>NEXT FUNDS FTSE/JSE Africa Top40 Linked Exchange Traded Fund</t>
  </si>
  <si>
    <t>1324</t>
  </si>
  <si>
    <t>ＮＥＸＴ　ＦＵＮＤＳ　ロシア株式指数・ＲＴＳ連動型上場投信　受益証券</t>
  </si>
  <si>
    <t>NEXT FUNDS Russia RTS Linked Exchange Traded Fund</t>
  </si>
  <si>
    <t>1325</t>
  </si>
  <si>
    <t>ＮＥＸＴ　ＦＵＮＤＳ　ブラジル株式指数・ボベスパ連動型上場投信　受益証券</t>
  </si>
  <si>
    <t>NEXT FUNDS Ibovespa Linked Exchange Traded Fund</t>
  </si>
  <si>
    <t>1326</t>
  </si>
  <si>
    <t>ＳＰＤＲゴールド・シェア　受益証券</t>
  </si>
  <si>
    <t>SPDR Gold Shares</t>
  </si>
  <si>
    <t>25</t>
  </si>
  <si>
    <t>1327</t>
  </si>
  <si>
    <t>イージーＥＴＦ　Ｓ＆Ｐ　ＧＳＣＩ　商品指数　キャップド・コモディティ　３５／２０　クラスＡ米ドル建受益証券</t>
  </si>
  <si>
    <t>S&amp;P GSCI Energy &amp; Metals Capped Component 35/20 THEAM Easy UCITS ETF Class A USD Unit</t>
  </si>
  <si>
    <t>5</t>
  </si>
  <si>
    <t>1328</t>
  </si>
  <si>
    <t>金価格連動型上場投資信託　受益証券</t>
  </si>
  <si>
    <t>Gold-Price-Linked Exchange Traded Fund</t>
  </si>
  <si>
    <t>13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</si>
  <si>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</si>
  <si>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</si>
  <si>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</si>
  <si>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</si>
  <si>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</si>
  <si>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Nikko Exchange Traded Index Fund 225</t>
  </si>
  <si>
    <t>1343</t>
  </si>
  <si>
    <t>ＮＥＸＴ　ＦＵＮＤＳ　東証ＲＥＩＴ指数連動型上場投信　受益証券</t>
  </si>
  <si>
    <t>NEXT FUNDS REIT INDEX ETF</t>
  </si>
  <si>
    <t>1344</t>
  </si>
  <si>
    <t>ＭＡＸＩＳ　トピックス・コア３０上場投信　受益証券</t>
  </si>
  <si>
    <t>MAXIS TOPIX Core30 ETF</t>
  </si>
  <si>
    <t>1345</t>
  </si>
  <si>
    <t>上場インデックスファンドＪリート（東証ＲＥＩＴ指数）隔月分配型　受益証券</t>
  </si>
  <si>
    <t>Listed Index Fund J-REIT (Tokyo Stock Exchange REIT Index)</t>
  </si>
  <si>
    <t>1346</t>
  </si>
  <si>
    <t>ＭＡＸＩＳ　日経２２５上場投信　受益証券</t>
  </si>
  <si>
    <t>MAXIS NIKKEI225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</si>
  <si>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</si>
  <si>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</si>
  <si>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</si>
  <si>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</si>
  <si>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</si>
  <si>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</si>
  <si>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</si>
  <si>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</si>
  <si>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</si>
  <si>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</si>
  <si>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</si>
  <si>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ETF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</si>
  <si>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</si>
  <si>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</si>
  <si>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</si>
  <si>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</si>
  <si>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</si>
  <si>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</si>
  <si>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</si>
  <si>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</si>
  <si>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</si>
  <si>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</si>
  <si>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ダイワ上場投信－日経平均レバレッジ・インデックス　受益証券</t>
  </si>
  <si>
    <t>Daiwa ETF Japan Nikkei225 Leveraged Index</t>
  </si>
  <si>
    <t>1366</t>
  </si>
  <si>
    <t>ダイワ上場投信－日経平均ダブルインバース・インデックス　受益証券</t>
  </si>
  <si>
    <t>Daiwa ETF Japan Nikkei225 Double Inverse Index</t>
  </si>
  <si>
    <t>1367</t>
  </si>
  <si>
    <t>ダイワ上場投信－ＴＯＰＩＸレバレッジ（２倍）指数　受益証券</t>
  </si>
  <si>
    <t>Daiwa ETF Japan TOPIX Leveraged (2x) Index</t>
  </si>
  <si>
    <t>1368</t>
  </si>
  <si>
    <t>ダイワ上場投信－ＴＯＰＩＸダブルインバース（－２倍）指数　受益証券</t>
  </si>
  <si>
    <t>Daiwa ETF Japan TOPIX Double Inverse (-2x) Index</t>
  </si>
  <si>
    <t>1369</t>
  </si>
  <si>
    <t>Ｏｎｅ　ＥＴＦ　日経２２５　受益証券</t>
  </si>
  <si>
    <t>One ETF Nikkei225</t>
  </si>
  <si>
    <t>1385</t>
  </si>
  <si>
    <t>ＵＢＳ　ＥＴＦ　ユーロ圏大型株５０（ユーロ・ストックス５０）　受益証券</t>
  </si>
  <si>
    <t>UBS ETF EURO STOXX 50 UCITS ETF-JDR</t>
  </si>
  <si>
    <t>1386</t>
  </si>
  <si>
    <t>ＵＢＳ　ＥＴＦ　欧州株（ＭＳＣＩヨーロッパ）　受益証券</t>
  </si>
  <si>
    <t>UBS ETF MSCI Europe UCITS ETF-JDR</t>
  </si>
  <si>
    <t>10</t>
  </si>
  <si>
    <t>30</t>
  </si>
  <si>
    <t>1387</t>
  </si>
  <si>
    <t>ＵＢＳ　ＥＴＦ　ユーロ圏株（ＭＳＣＩ　ＥＭＵ）　受益証券</t>
  </si>
  <si>
    <t>UBS ETF MSCI EMU UCITS ETF-JDR</t>
  </si>
  <si>
    <t>1388</t>
  </si>
  <si>
    <t>ＵＢＳ　ＥＴＦ　ユーロ圏小型株（ＭＳＣＩ　ＥＭＵ小型株）　受益証券</t>
  </si>
  <si>
    <t>UBS ETF MSCI EMU Small Cap UCITS ETF-JDR</t>
  </si>
  <si>
    <t>1389</t>
  </si>
  <si>
    <t>ＵＢＳ　ＥＴＦ　英国大型株１００（ＦＴＳＥ　１００）　受益証券</t>
  </si>
  <si>
    <t>UBS ETF FTSE 100 UCITS ETF-JDR</t>
  </si>
  <si>
    <t>1390</t>
  </si>
  <si>
    <t>ＵＢＳ　ＥＴＦ　ＭＳＣＩアジア太平洋株（除く日本）　受益証券</t>
  </si>
  <si>
    <t>UBS ETF MSCI Pacific (ex Japan) UCITS ETF-JDR</t>
  </si>
  <si>
    <t>24</t>
  </si>
  <si>
    <t>1391</t>
  </si>
  <si>
    <t>ＵＢＳ　ＥＴＦ　スイス株（ＭＳＣＩスイス２０／３５）　受益証券</t>
  </si>
  <si>
    <t>UBS ETF MSCI Switzerland 20/35 UCITS ETF-JDR</t>
  </si>
  <si>
    <t>1392</t>
  </si>
  <si>
    <t>ＵＢＳ　ＥＴＦ　英国株（ＭＳＣＩ英国）　受益証券</t>
  </si>
  <si>
    <t>UBS ETF MSCI United Kingdom UCITS ETF-JDR</t>
  </si>
  <si>
    <t>1393</t>
  </si>
  <si>
    <t>ＵＢＳ　ＥＴＦ　米国株（ＭＳＣＩ米国）　受益証券</t>
  </si>
  <si>
    <t>UBS ETF MSCI USA UCITS ETF-JDR</t>
  </si>
  <si>
    <t>27</t>
  </si>
  <si>
    <t>1394</t>
  </si>
  <si>
    <t>ＵＢＳ　ＥＴＦ　先進国株（ＭＳＣＩワールド）　受益証券</t>
  </si>
  <si>
    <t>UBS ETF MSCI World UCITS ETF-JDR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</si>
  <si>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</si>
  <si>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</si>
  <si>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</si>
  <si>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</si>
  <si>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</si>
  <si>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</si>
  <si>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</si>
  <si>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</si>
  <si>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</si>
  <si>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1456</t>
  </si>
  <si>
    <t>ダイワ上場投信－日経平均インバース・インデックス　受益証券</t>
  </si>
  <si>
    <t>Daiwa ETF Japan Nikkei225 Inverse Index</t>
  </si>
  <si>
    <t>1457</t>
  </si>
  <si>
    <t>ダイワ上場投信－ＴＯＰＩＸインバース（－１倍）指数　受益証券</t>
  </si>
  <si>
    <t>Daiwa ETF Japan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</si>
  <si>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</si>
  <si>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</si>
  <si>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</si>
  <si>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</si>
  <si>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</si>
  <si>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</si>
  <si>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1460</t>
  </si>
  <si>
    <t>ＭＡＸＩＳ　ＪＡＰＡＮ　クオリティ１５０上場投信　受益証券</t>
  </si>
  <si>
    <t>MAXIS JAPAN Quality 150 Index ETF</t>
  </si>
  <si>
    <t>1464</t>
  </si>
  <si>
    <t>ダイワ上場投信－ＪＰＸ日経４００レバレッジ・インデックス　受益証券</t>
  </si>
  <si>
    <t>Daiwa ETF Japan JPX-Nikkei 400 Leveraged (2x) Index</t>
  </si>
  <si>
    <t>1465</t>
  </si>
  <si>
    <t>ダイワ上場投信－ＪＰＸ日経４００インバース・インデックス　受益証券</t>
  </si>
  <si>
    <t>Daiwa ETF Japan JPX-Nikkei 400 Inverse (-1x) Index</t>
  </si>
  <si>
    <t>1466</t>
  </si>
  <si>
    <t>ダイワ上場投信－ＪＰＸ日経４００ダブルインバース・インデックス　受益証券</t>
  </si>
  <si>
    <t>Daiwa ETF Japan JPX-Nikkei 400 Double Inverse (-2x) Index</t>
  </si>
  <si>
    <t>1467</t>
  </si>
  <si>
    <t>ＪＰＸ日経４００ブル２倍上場投信（レバレッジ）　受益証券</t>
  </si>
  <si>
    <t>JPX-Nikkei 400 Bull 2x Leveraged ETF</t>
  </si>
  <si>
    <t>1468</t>
  </si>
  <si>
    <t>ＪＰＸ日経４００ベア上場投信（インバース）　受益証券</t>
  </si>
  <si>
    <t>JPX-Nikkei 400 Bear -1x Inverse ETF</t>
  </si>
  <si>
    <t>1469</t>
  </si>
  <si>
    <t>ＪＰＸ日経４００ベア２倍上場投信（ダブルインバース）　受益証券</t>
  </si>
  <si>
    <t>JPX-Nikkei 400 Bear -2x Double Inverse ETF</t>
  </si>
  <si>
    <t>1470</t>
  </si>
  <si>
    <t>ＮＥＸＴ　ＦＵＮＤＳ　ＪＰＸ日経４００レバレッジ・インデックス連動型上場投信　受益証券</t>
  </si>
  <si>
    <t>NEXT FUNDS JPX-Nikkei 400 Leveraged Index Exchange Traded Fund</t>
  </si>
  <si>
    <t>1471</t>
  </si>
  <si>
    <t>ＮＥＸＴ　ＦＵＮＤＳ　ＪＰＸ日経４００インバース・インデックス連動型上場投信　受益証券</t>
  </si>
  <si>
    <t>NEXT FUNDS JPX-Nikkei 400 Inverse Index Exchange Traded Fund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</si>
  <si>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</si>
  <si>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</si>
  <si>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</si>
  <si>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</si>
  <si>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</si>
  <si>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</si>
  <si>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</si>
  <si>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</si>
  <si>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</si>
  <si>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</si>
  <si>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</si>
  <si>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</si>
  <si>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</si>
  <si>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</si>
  <si>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</si>
  <si>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</si>
  <si>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</si>
  <si>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</si>
  <si>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</si>
  <si>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</si>
  <si>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</si>
  <si>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1479</t>
  </si>
  <si>
    <t>ダイワ上場投信－ＭＳＣＩ日本株人材設備投資指数　受益証券</t>
  </si>
  <si>
    <t>Daiwa ETF MSCI Japan Human and Physical Investment Index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</si>
  <si>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</si>
  <si>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</si>
  <si>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</si>
  <si>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</si>
  <si>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</si>
  <si>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</si>
  <si>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</si>
  <si>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</si>
  <si>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</si>
  <si>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9</t>
  </si>
  <si>
    <t>1483</t>
  </si>
  <si>
    <t>ｉシェアーズ　ＪＰＸ／Ｓ＆Ｐ設備・人材投資　ＥＴＦ　受益証券</t>
  </si>
  <si>
    <t>iShares JPX/S&amp;P CAPEX &amp; Human Capital ETF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</si>
  <si>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</si>
  <si>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</si>
  <si>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</si>
  <si>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</si>
  <si>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</si>
  <si>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</si>
  <si>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1486</t>
  </si>
  <si>
    <t>上場インデックスファンド米国債券（為替ヘッジなし）　受益証券</t>
  </si>
  <si>
    <t>Listed Index Fund US Bond (No Currency Hedge)</t>
  </si>
  <si>
    <t>26</t>
  </si>
  <si>
    <t>12</t>
  </si>
  <si>
    <t>1487</t>
  </si>
  <si>
    <t>上場インデックスファンド米国債券（為替ヘッジあり）　受益証券</t>
  </si>
  <si>
    <t>Listed Index Fund US Bond (Currency Hedge)</t>
  </si>
  <si>
    <t>1488</t>
  </si>
  <si>
    <t>ダイワ上場投信－東証ＲＥＩＴ指数　受益証券</t>
  </si>
  <si>
    <t>Daiwa 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</si>
  <si>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</si>
  <si>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</si>
  <si>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</si>
  <si>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</si>
  <si>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</si>
  <si>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</si>
  <si>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1492</t>
  </si>
  <si>
    <t>ＭＡＸＩＳ　ＪＰＸ　日経中小型株指数上場投信　受益証券</t>
  </si>
  <si>
    <t>MAXIS JPX-Nikkei Mid and Small Cap Index ETF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</si>
  <si>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</si>
  <si>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</si>
  <si>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</si>
  <si>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</si>
  <si>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</si>
  <si>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</si>
  <si>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</si>
  <si>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</si>
  <si>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</si>
  <si>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</si>
  <si>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</si>
  <si>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</si>
  <si>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</si>
  <si>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</si>
  <si>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</si>
  <si>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</si>
  <si>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</si>
  <si>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</si>
  <si>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</si>
  <si>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</si>
  <si>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</si>
  <si>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11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</si>
  <si>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</si>
  <si>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</si>
  <si>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</si>
  <si>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</si>
  <si>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</si>
  <si>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</si>
  <si>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</si>
  <si>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</si>
  <si>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</si>
  <si>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</si>
  <si>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</si>
  <si>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</si>
  <si>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</si>
  <si>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ＮＡＳＤＡＱ－１００連動型上場投信　受益証券</t>
  </si>
  <si>
    <t>NEXT FUNDS NASDAQ-100 Exchange Traded Fund</t>
  </si>
  <si>
    <t>1546</t>
  </si>
  <si>
    <t>ＮＥＸＴ　ＦＵＮＤＳ　ダウ・ジョーンズ工業株３０種平均株価連動型上場投信　受益証券</t>
  </si>
  <si>
    <t>NEXT FUNDS Dow Jones Industrial Average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</si>
  <si>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</si>
  <si>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</si>
  <si>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</si>
  <si>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</si>
  <si>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</si>
  <si>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</si>
  <si>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</si>
  <si>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ＪＡＳＤＡＱ－ＴＯＰ２０上場投信　受益証券</t>
  </si>
  <si>
    <t>JASDAQ-TOP20 ETF</t>
  </si>
  <si>
    <t>1552</t>
  </si>
  <si>
    <t>国際のＥＴＦ　ＶＩＸ短期先物指数　受益証券</t>
  </si>
  <si>
    <t>KOKUSAI S&amp;P500 VIX SHORT-TERM FUTURES INDEX ETF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</si>
  <si>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</si>
  <si>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</si>
  <si>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</si>
  <si>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</si>
  <si>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Ａ‐ＲＥＩＴ）　受益証券</t>
  </si>
  <si>
    <t>Listed Index Fund Australian REIT (S&amp;P/ASX200 A-REIT)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</si>
  <si>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</si>
  <si>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</si>
  <si>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</si>
  <si>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</si>
  <si>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</si>
  <si>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</si>
  <si>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</si>
  <si>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</si>
  <si>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</si>
  <si>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</si>
  <si>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マザーズ・コア上場投信　受益証券</t>
  </si>
  <si>
    <t>TSE Mothers Core ETF</t>
  </si>
  <si>
    <t>1566</t>
  </si>
  <si>
    <t>上場インデックスファンド新興国債券</t>
  </si>
  <si>
    <t>Listed Index Fund Emerging Bond</t>
  </si>
  <si>
    <t>1567</t>
  </si>
  <si>
    <t>ＭＡＸＩＳトピックスリスクコントロール（５％）上場投信　受益証券</t>
  </si>
  <si>
    <t>MAXIS TOPIX Risk Control (5%) ETF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</si>
  <si>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</si>
  <si>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</si>
  <si>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</si>
  <si>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</si>
  <si>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</si>
  <si>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</si>
  <si>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</si>
  <si>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</si>
  <si>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</si>
  <si>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</si>
  <si>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</si>
  <si>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</si>
  <si>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</si>
  <si>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</si>
  <si>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</si>
  <si>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</si>
  <si>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</si>
  <si>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</si>
  <si>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1574</t>
  </si>
  <si>
    <t>ＭＡＸＩＳトピックスリスクコントロール（１０％）上場投信　受益証券</t>
  </si>
  <si>
    <t>MAXIS TOPIX Risk Control (10%) ETF</t>
  </si>
  <si>
    <t>1575</t>
  </si>
  <si>
    <t>ＣｈｉｎａＡＭＣ　ＣＳＩ　３００　Ｉｎｄｅｘ　ＥＴＦ－ＪＤＲ　受益証券</t>
  </si>
  <si>
    <t>ChinaAMC CSI 300 Index ETF-JDR</t>
  </si>
  <si>
    <t>1576</t>
  </si>
  <si>
    <t>南方　ＦＴＳＥ　中国Ａ株５０　ＥＴＦ　受益証券</t>
  </si>
  <si>
    <t>CSOP FTSE CHINA A50 ETF</t>
  </si>
  <si>
    <t>1577</t>
  </si>
  <si>
    <t>ＮＥＸＴ　ＦＵＮＤＳ　野村日本株高配当７０連動型上場投信　受益証券</t>
  </si>
  <si>
    <t>NEXT FUNDS Nomura Japan Equity High Dividend 70 ETF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</si>
  <si>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</si>
  <si>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</si>
  <si>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</si>
  <si>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</si>
  <si>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</si>
  <si>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</si>
  <si>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</si>
  <si>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</si>
  <si>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</si>
  <si>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1584</t>
  </si>
  <si>
    <t>サムスンＫＯＤＥＸサムスングループ株証券上場指数投資信託［株式］　受益証券</t>
  </si>
  <si>
    <t>Samsung KODEX Samsung Group Securities Exchange Traded Investment Trust [Share]</t>
  </si>
  <si>
    <t>1585</t>
  </si>
  <si>
    <t>ダイワ上場投信・ＴＯＰＩＸ　Ｅｘ－Ｆｉｎａｎｃｉａｌｓ　受益証券</t>
  </si>
  <si>
    <t>Daiwa ETF・TOPIX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</si>
  <si>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</si>
  <si>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</si>
  <si>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</si>
  <si>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</si>
  <si>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</si>
  <si>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</si>
  <si>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</si>
  <si>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</si>
  <si>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</si>
  <si>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</si>
  <si>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</si>
  <si>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</si>
  <si>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</si>
  <si>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</si>
  <si>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</si>
  <si>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</si>
  <si>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</si>
  <si>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</si>
  <si>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</si>
  <si>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</si>
  <si>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</si>
  <si>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1598</t>
  </si>
  <si>
    <t>ＮＥＸＴ　ＦＵＮＤＳ　Ｒ／Ｎファンダメンタル・インデックス上場投信　受益証券</t>
  </si>
  <si>
    <t>NEXT FUNDS Russell/Nomura Fundamental Index ETF</t>
  </si>
  <si>
    <t>1599</t>
  </si>
  <si>
    <t>ダイワ上場投信－ＪＰＸ日経４００　受益証券</t>
  </si>
  <si>
    <t>Daiwa ETF JPX-Nikkei 400</t>
  </si>
  <si>
    <t>1613</t>
  </si>
  <si>
    <t>東証電気機器株価指数連動型上場投資信託　受益証券</t>
  </si>
  <si>
    <t>TOPIX Electric Appliances Exchange Traded Fund</t>
  </si>
  <si>
    <t>確</t>
  </si>
  <si>
    <t>1615</t>
  </si>
  <si>
    <t>東証銀行業株価指数連動型上場投資信託　受益証券</t>
  </si>
  <si>
    <t>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</si>
  <si>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</si>
  <si>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</si>
  <si>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</si>
  <si>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</si>
  <si>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</si>
  <si>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</si>
  <si>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</si>
  <si>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</si>
  <si>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</si>
  <si>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</si>
  <si>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</si>
  <si>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</si>
  <si>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</si>
  <si>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</si>
  <si>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</si>
  <si>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</si>
  <si>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</si>
  <si>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</si>
  <si>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</si>
  <si>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</si>
  <si>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</si>
  <si>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</si>
  <si>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</si>
  <si>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</si>
  <si>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</si>
  <si>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</si>
  <si>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</si>
  <si>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</si>
  <si>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</si>
  <si>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</si>
  <si>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</si>
  <si>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</si>
  <si>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</si>
  <si>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</si>
  <si>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</si>
  <si>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</si>
  <si>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</si>
  <si>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</si>
  <si>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</si>
  <si>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</si>
  <si>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</si>
  <si>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</si>
  <si>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</si>
  <si>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</si>
  <si>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</si>
  <si>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</si>
  <si>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</si>
  <si>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</si>
  <si>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</si>
  <si>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</si>
  <si>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</si>
  <si>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1651</t>
  </si>
  <si>
    <t>ダイワ上場投信－ＴＯＰＩＸ高配当４０指数　受益証券</t>
  </si>
  <si>
    <t>Daiwa ETF TOPIX High Dividend Yield 40 Index</t>
  </si>
  <si>
    <t>1652</t>
  </si>
  <si>
    <t>ダイワ上場投信－ＭＳＣＩ日本株女性活躍指数（ＷＩＮ）　受益証券</t>
  </si>
  <si>
    <t>Daiwa ETF MSCI Japan Empowering Women Index (WIN)</t>
  </si>
  <si>
    <t>1653</t>
  </si>
  <si>
    <t>ダイワ上場投信－ＭＳＣＩジャパンＥＳＧセレクト・リーダーズ指数　受益証券</t>
  </si>
  <si>
    <t>Daiwa ETF MSCI Japan ESG Select Leaders Index</t>
  </si>
  <si>
    <t>1654</t>
  </si>
  <si>
    <t>ダイワ上場投信－ＦＴＳＥ　Ｂｌｏｓｓｏｍ　Ｊａｐａｎ　Ｉｎｄｅｘ　受益証券</t>
  </si>
  <si>
    <t>Daiwa 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</si>
  <si>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</si>
  <si>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</si>
  <si>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</si>
  <si>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</si>
  <si>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</si>
  <si>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</si>
  <si>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</si>
  <si>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　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</si>
  <si>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</si>
  <si>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</si>
  <si>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</si>
  <si>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</si>
  <si>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</si>
  <si>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</si>
  <si>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</si>
  <si>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</si>
  <si>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</si>
  <si>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</si>
  <si>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1670</t>
  </si>
  <si>
    <t>ＭＡＸＩＳ　Ｓ＆Ｐ三菱系企業群上場投信　受益証券</t>
  </si>
  <si>
    <t>MAXIS S&amp;P Mitsubishi Group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</si>
  <si>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</si>
  <si>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</si>
  <si>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</si>
  <si>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</si>
  <si>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</si>
  <si>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</si>
  <si>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</si>
  <si>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</si>
  <si>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</si>
  <si>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</si>
  <si>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</si>
  <si>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</si>
  <si>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</si>
  <si>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</si>
  <si>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</si>
  <si>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</si>
  <si>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</si>
  <si>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</si>
  <si>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</si>
  <si>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</si>
  <si>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</si>
  <si>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</si>
  <si>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５０連動型上場投信　受益証券</t>
  </si>
  <si>
    <t>NEXT FUNDS Nifty 50 Linked Exchange Traded Fund</t>
  </si>
  <si>
    <t>1679</t>
  </si>
  <si>
    <t>Ｓｉｍｐｌｅ－Ｘ　ＮＹダウ・ジョーンズ・インデックス上場投信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</si>
  <si>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</si>
  <si>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</si>
  <si>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</si>
  <si>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</t>
  </si>
  <si>
    <t>1681</t>
  </si>
  <si>
    <t>上場インデックスファンド海外新興国株式（ＭＳＣＩエマージング）　受益証券</t>
  </si>
  <si>
    <t>Listed Index Fund International Emerging Countries Equity</t>
  </si>
  <si>
    <t>1682</t>
  </si>
  <si>
    <t>ＮＥＸＴ　ＦＵＮＤＳ　日経・東商取白金指数連動型上場投信　受益証券</t>
  </si>
  <si>
    <t>NEXT FUNDS Nikkei-TOCOM Platinum Index Linked Exchange</t>
  </si>
  <si>
    <t>1683</t>
  </si>
  <si>
    <t>Ｏｎｅ　ＥＴＦ　国内金先物　受益証券</t>
  </si>
  <si>
    <t>One ETF Gold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</si>
  <si>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</si>
  <si>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</si>
  <si>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</si>
  <si>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</si>
  <si>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</si>
  <si>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</si>
  <si>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</si>
  <si>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</si>
  <si>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</si>
  <si>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</si>
  <si>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</si>
  <si>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</si>
  <si>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</si>
  <si>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</si>
  <si>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</si>
  <si>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</si>
  <si>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</si>
  <si>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</si>
  <si>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</si>
  <si>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</si>
  <si>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</si>
  <si>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</si>
  <si>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</si>
  <si>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</si>
  <si>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</si>
  <si>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</si>
  <si>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</si>
  <si>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</si>
  <si>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</si>
  <si>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</si>
  <si>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</si>
  <si>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</si>
  <si>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</si>
  <si>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</si>
  <si>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</si>
  <si>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</si>
  <si>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</si>
  <si>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</si>
  <si>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</si>
  <si>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</si>
  <si>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</si>
  <si>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</si>
  <si>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</si>
  <si>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</si>
  <si>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</t>
  </si>
  <si>
    <t>1699</t>
  </si>
  <si>
    <t>ＮＥＸＴ　ＦＵＮＤＳ　ＮＯＭＵＲＡ原油インデックス連動型上場投信　受益証券</t>
  </si>
  <si>
    <t>NEXT FUNDS NOMURA Crude Oil Long Index Linked Exchange</t>
  </si>
  <si>
    <t>2031</t>
  </si>
  <si>
    <t>ＮＥＸＴ　ＮＯＴＥＳ　香港ハンセン・ダブル・ブル　ＥＴＮ　受益証券</t>
  </si>
  <si>
    <t>NEXT NOTES HSI Leveraged ETN</t>
  </si>
  <si>
    <t>信用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</si>
  <si>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</si>
  <si>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</si>
  <si>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</si>
  <si>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</si>
  <si>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</si>
  <si>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</si>
  <si>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</si>
  <si>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</si>
  <si>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</si>
  <si>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2035</t>
  </si>
  <si>
    <t>ＮＥＸＴ　ＮＯＴＥＳ　日経平均ＶＩ先物指数　ＥＴＮ　受益証券</t>
  </si>
  <si>
    <t>NEXT NOTES Nikkei 225 VI Futures Index ETN</t>
  </si>
  <si>
    <t>2036</t>
  </si>
  <si>
    <t>ＮＥＸＴ　ＮＯＴＥＳ　日経・ＴＯＣＯＭ　金　ダブル・ブル　ＥＴＮ　受益証券</t>
  </si>
  <si>
    <t>NEXT NOTES Nikkei-TOCOM Leveraged Gold ETN</t>
  </si>
  <si>
    <t>2037</t>
  </si>
  <si>
    <t>ＮＥＸＴ　ＮＯＴＥＳ　日経・ＴＯＣＯＭ　金　ベア　ＥＴＮ　受益証券</t>
  </si>
  <si>
    <t>NEXT NOTES Nikkei-TOCOM Inverse Gold ETN</t>
  </si>
  <si>
    <t>2038</t>
  </si>
  <si>
    <t>ＮＥＸＴ　ＮＯＴＥＳ　日経・ＴＯＣＯＭ　原油　ダブル・ブル　ＥＴＮ　受益証券</t>
  </si>
  <si>
    <t>NEXT NOTES Nikkei-TOCOM Leveraged Crude Oil ETN</t>
  </si>
  <si>
    <t>2039</t>
  </si>
  <si>
    <t>ＮＥＸＴ　ＮＯＴＥＳ　日経・ＴＯＣＯＭ　原油　ベア　ＥＴＮ　受益証券</t>
  </si>
  <si>
    <t>NEXT NOTES Nikkei-TOCOM Inverse Crude Oil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</si>
  <si>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</si>
  <si>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</si>
  <si>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</si>
  <si>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</si>
  <si>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</si>
  <si>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</si>
  <si>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</si>
  <si>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東証マザーズ　ＥＴＮ　受益証券</t>
  </si>
  <si>
    <t>NEXT NOTES Tokyo Stock Exchange Mothers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</si>
  <si>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</si>
  <si>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</si>
  <si>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</si>
  <si>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</si>
  <si>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</si>
  <si>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</si>
  <si>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</si>
  <si>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</si>
  <si>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</si>
  <si>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</si>
  <si>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</si>
  <si>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</si>
  <si>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</si>
  <si>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</si>
  <si>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</si>
  <si>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</si>
  <si>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</si>
  <si>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</si>
  <si>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</si>
  <si>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</si>
  <si>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</si>
  <si>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</si>
  <si>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</si>
  <si>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</si>
  <si>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</si>
  <si>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</si>
  <si>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</si>
  <si>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</si>
  <si>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</si>
  <si>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</si>
  <si>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</si>
  <si>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</si>
  <si>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</si>
  <si>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</si>
  <si>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</si>
  <si>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</si>
  <si>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</si>
  <si>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</si>
  <si>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</si>
  <si>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</si>
  <si>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</si>
  <si>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</si>
  <si>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</si>
  <si>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</si>
  <si>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</si>
  <si>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</si>
  <si>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</si>
  <si>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</si>
  <si>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</si>
  <si>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</si>
  <si>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</si>
  <si>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</si>
  <si>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</si>
  <si>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</si>
  <si>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</si>
  <si>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東証マザーズＥＴＦ　受益証券</t>
  </si>
  <si>
    <t>TSE Mothers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</si>
  <si>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</si>
  <si>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</si>
  <si>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</si>
  <si>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</si>
  <si>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</si>
  <si>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</si>
  <si>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</si>
  <si>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</si>
  <si>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</si>
  <si>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</si>
  <si>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</si>
  <si>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</si>
  <si>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</si>
  <si>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</si>
  <si>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</si>
  <si>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</si>
  <si>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</si>
  <si>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</si>
  <si>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</si>
  <si>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</si>
  <si>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</si>
  <si>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</si>
  <si>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</si>
  <si>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</si>
  <si>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</si>
  <si>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</si>
  <si>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</si>
  <si>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</si>
  <si>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</si>
  <si>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</si>
  <si>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</si>
  <si>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</si>
  <si>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</si>
  <si>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</si>
  <si>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ダイワ上場投信－東証ＲＥＩＴ　Ｃｏｒｅ指数　受益証券</t>
  </si>
  <si>
    <t>Daiwa 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</si>
  <si>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</si>
  <si>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</si>
  <si>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</si>
  <si>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</si>
  <si>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</si>
  <si>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</si>
  <si>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</si>
  <si>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</si>
  <si>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</si>
  <si>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</si>
  <si>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</si>
  <si>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</si>
  <si>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</si>
  <si>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ブルームバーグ・バークレイズ米国投資適格社債（１－１０年）インデックス（為替ヘッジあり）連動型上場投信　受益証券</t>
  </si>
  <si>
    <t>NEXT FUNDS Bloomberg Barclays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</si>
  <si>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</si>
  <si>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</si>
  <si>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</si>
  <si>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</si>
  <si>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</si>
  <si>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</si>
  <si>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</si>
  <si>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</si>
  <si>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</si>
  <si>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</si>
  <si>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</si>
  <si>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</si>
  <si>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</si>
  <si>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</si>
  <si>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</si>
  <si>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</si>
  <si>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</si>
  <si>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</si>
  <si>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</si>
  <si>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</si>
  <si>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</si>
  <si>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</si>
  <si>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</si>
  <si>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</si>
  <si>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 xml:space="preserve">新規上場  </t>
  </si>
  <si>
    <t xml:space="preserve">New Listing  </t>
  </si>
  <si>
    <t xml:space="preserve">2020/03/18  </t>
  </si>
  <si>
    <t>18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</si>
  <si>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</si>
  <si>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</si>
  <si>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</si>
  <si>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</si>
  <si>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</si>
  <si>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</si>
  <si>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</si>
  <si>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</si>
  <si>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</si>
  <si>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3226</t>
  </si>
  <si>
    <t>日本アコモデーションファンド投資法人　投資証券</t>
  </si>
  <si>
    <t>Nippon Accommodations Fund Inc.</t>
  </si>
  <si>
    <t>3227</t>
  </si>
  <si>
    <t>ＭＣＵＢＳ　ＭｉｄＣｉｔｙ投資法人　投資証券</t>
  </si>
  <si>
    <t>MCUBS MidCity Investment Corporation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</si>
  <si>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</si>
  <si>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</si>
  <si>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</si>
  <si>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</si>
  <si>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</si>
  <si>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</si>
  <si>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</si>
  <si>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</si>
  <si>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</si>
  <si>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3278</t>
  </si>
  <si>
    <t>ケネディクス・レジデンシャル・ネクスト投資法人　投資証券</t>
  </si>
  <si>
    <t>Kenedix Residential Next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</si>
  <si>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</si>
  <si>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</si>
  <si>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</si>
  <si>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</si>
  <si>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</si>
  <si>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</si>
  <si>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</si>
  <si>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</si>
  <si>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</si>
  <si>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</si>
  <si>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</si>
  <si>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</si>
  <si>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</si>
  <si>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</si>
  <si>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</si>
  <si>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</si>
  <si>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</si>
  <si>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</si>
  <si>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</si>
  <si>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</si>
  <si>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</si>
  <si>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</si>
  <si>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</si>
  <si>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</si>
  <si>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</si>
  <si>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</si>
  <si>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</si>
  <si>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3298</t>
  </si>
  <si>
    <t>インベスコ・オフィス・ジェイリート投資法人　投資証券</t>
  </si>
  <si>
    <t>Invesco Office J-REIT,Inc.</t>
  </si>
  <si>
    <t>3308</t>
  </si>
  <si>
    <t>日本ヘルスケア投資法人　投資証券</t>
  </si>
  <si>
    <t>Nippon Healthcare Investment Corporation</t>
  </si>
  <si>
    <t xml:space="preserve">上場廃止  </t>
  </si>
  <si>
    <t xml:space="preserve">Removal  </t>
  </si>
  <si>
    <t xml:space="preserve">2020/03/30  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</si>
  <si>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</si>
  <si>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</si>
  <si>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</si>
  <si>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</si>
  <si>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</si>
  <si>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</si>
  <si>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3453</t>
  </si>
  <si>
    <t>ケネディクス商業リート投資法人　投資証券</t>
  </si>
  <si>
    <t>Kenedix Retail REIT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</si>
  <si>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</si>
  <si>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</si>
  <si>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</si>
  <si>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</si>
  <si>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</si>
  <si>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</si>
  <si>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</si>
  <si>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</si>
  <si>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</si>
  <si>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</si>
  <si>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</si>
  <si>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</si>
  <si>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</si>
  <si>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</si>
  <si>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</si>
  <si>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</si>
  <si>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</si>
  <si>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</si>
  <si>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</si>
  <si>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</si>
  <si>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</si>
  <si>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</si>
  <si>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</si>
  <si>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</si>
  <si>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</si>
  <si>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大江戸温泉リート投資法人　投資証券</t>
  </si>
  <si>
    <t>Ooedo Onsen Reit Investment Corporation</t>
  </si>
  <si>
    <t>3473</t>
  </si>
  <si>
    <t>さくら総合リート投資法人　投資証券</t>
  </si>
  <si>
    <t>SAKURA SOGO REIT Investment Corporation</t>
  </si>
  <si>
    <t>3476</t>
  </si>
  <si>
    <t>投資法人みらい　投資証券</t>
  </si>
  <si>
    <t>MIRAI Corporation</t>
  </si>
  <si>
    <t>3478</t>
  </si>
  <si>
    <t>森トラスト・ホテルリート投資法人　投資証券</t>
  </si>
  <si>
    <t>MORI TRUST Hotel Reit,Inc.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</si>
  <si>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</si>
  <si>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</si>
  <si>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</si>
  <si>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</si>
  <si>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</si>
  <si>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</si>
  <si>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</si>
  <si>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ザイマックス・リート投資法人　投資証券</t>
  </si>
  <si>
    <t>XYMAX REIT Investment Corporation</t>
  </si>
  <si>
    <t>3492</t>
  </si>
  <si>
    <t>タカラレーベン不動産投資法人　投資証券</t>
  </si>
  <si>
    <t>Takara Leben Real Estate Investment Corporation</t>
  </si>
  <si>
    <t>3493</t>
  </si>
  <si>
    <t>伊藤忠アドバンス・ロジスティクス投資法人　投資証券</t>
  </si>
  <si>
    <t>ITOCHU Advance Logistics Investment Corporation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</si>
  <si>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</si>
  <si>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</si>
  <si>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</si>
  <si>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</si>
  <si>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</si>
  <si>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</si>
  <si>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</si>
  <si>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日本リテールファンド投資法人　投資証券</t>
  </si>
  <si>
    <t>Japan Retail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</si>
  <si>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</si>
  <si>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</si>
  <si>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</si>
  <si>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</si>
  <si>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</si>
  <si>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</si>
  <si>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</si>
  <si>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プレミア投資法人　投資証券</t>
  </si>
  <si>
    <t>Premier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</si>
  <si>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</si>
  <si>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</si>
  <si>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</si>
  <si>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</si>
  <si>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</si>
  <si>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</si>
  <si>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</si>
  <si>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</si>
  <si>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</si>
  <si>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</si>
  <si>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森トラスト総合リート投資法人　投資証券</t>
  </si>
  <si>
    <t>MORI TRUST Sogo Reit, 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</si>
  <si>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</si>
  <si>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</si>
  <si>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</si>
  <si>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</si>
  <si>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</si>
  <si>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</si>
  <si>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</si>
  <si>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</si>
  <si>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</si>
  <si>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</si>
  <si>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</si>
  <si>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</si>
  <si>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</si>
  <si>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</si>
  <si>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</si>
  <si>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</si>
  <si>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ケネディクス・オフィス投資法人　投資証券</t>
  </si>
  <si>
    <t>Kenedix Office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</si>
  <si>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</si>
  <si>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</si>
  <si>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</si>
  <si>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</si>
  <si>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</si>
  <si>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</si>
  <si>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</si>
  <si>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</si>
  <si>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</si>
  <si>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</si>
  <si>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</si>
  <si>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</si>
  <si>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</si>
  <si>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</si>
  <si>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</si>
  <si>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</si>
  <si>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</si>
  <si>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</si>
  <si>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</si>
  <si>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日本賃貸住宅投資法人　投資証券</t>
  </si>
  <si>
    <t>Japan Rental Housing Investments Inc.</t>
  </si>
  <si>
    <t>8987</t>
  </si>
  <si>
    <t>ジャパンエクセレント投資法人　投資証券</t>
  </si>
  <si>
    <t>Japan Excellent,Inc.</t>
  </si>
  <si>
    <t>9281</t>
  </si>
  <si>
    <t>タカラレーベン・インフラ投資法人　投資証券</t>
  </si>
  <si>
    <t>Takara Leben Infrastructure Fund,Inc.</t>
  </si>
  <si>
    <t>9282</t>
  </si>
  <si>
    <t>いちごグリーンインフラ投資法人　投資証券</t>
  </si>
  <si>
    <t>Ichigo Green Infrastructure Investment Corporation</t>
  </si>
  <si>
    <t>9283</t>
  </si>
  <si>
    <t>日本再生可能エネルギーインフラ投資法人　投資証券</t>
  </si>
  <si>
    <t>Renewable Japan Energy Infrastructure Fund,Inc.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</si>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</sst>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8" numFmtId="0"/>
    <xf applyAlignment="0" applyBorder="0" applyFill="0" applyFont="0" applyProtection="0" borderId="0" fillId="0" fontId="2" numFmtId="9"/>
    <xf borderId="0" fillId="0" fontId="12" numFmtId="0"/>
    <xf borderId="0" fillId="0" fontId="8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8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9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applyAlignment="0" applyFill="0" applyNumberFormat="0" applyProtection="0" borderId="30" fillId="0" fontId="31" numFmtId="0"/>
    <xf applyAlignment="0" applyFill="0" applyNumberFormat="0" applyProtection="0" borderId="31" fillId="0" fontId="32" numFmtId="0"/>
    <xf applyAlignment="0" applyFill="0" applyNumberFormat="0" applyProtection="0" borderId="32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7" fillId="7" fontId="34" numFmtId="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borderId="0" fillId="0" fontId="7" numFmtId="0"/>
    <xf applyAlignment="0" applyFill="0" applyNumberFormat="0" applyProtection="0" borderId="33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6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8" numFmtId="9"/>
    <xf applyAlignment="0" applyBorder="0" applyFill="0" applyFont="0" applyProtection="0" borderId="0" fillId="0" fontId="8" numFmtId="9">
      <alignment vertical="center"/>
    </xf>
    <xf applyAlignment="0" applyBorder="0" applyFill="0" applyFont="0" applyProtection="0" borderId="0" fillId="0" fontId="8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7" fillId="27" fontId="71" numFmtId="49"/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8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8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8" numFmtId="6"/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64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9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8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8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/>
    <xf borderId="0" fillId="0" fontId="8" numFmtId="0"/>
    <xf borderId="0" fillId="0" fontId="14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" numFmtId="0"/>
    <xf borderId="0" fillId="0" fontId="8" numFmtId="0"/>
    <xf borderId="0" fillId="0" fontId="83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3" numFmtId="0"/>
    <xf borderId="0" fillId="0" fontId="8" numFmtId="0"/>
    <xf borderId="0" fillId="0" fontId="83" numFmtId="0"/>
    <xf borderId="0" fillId="0" fontId="1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4" numFmtId="0">
      <alignment vertical="center"/>
    </xf>
    <xf borderId="0" fillId="0" fontId="8" numFmtId="0"/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/>
    <xf borderId="0" fillId="0" fontId="7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8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Font="1" applyNumberFormat="1" borderId="0" fillId="0" fontId="4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1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2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3" fillId="0" fontId="2" numFmtId="0" xfId="1">
      <alignment horizontal="center" vertical="center"/>
    </xf>
    <xf applyAlignment="1" applyBorder="1" applyFill="1" applyFont="1" applyNumberFormat="1" borderId="4" fillId="0" fontId="2" numFmtId="0" xfId="1">
      <alignment horizontal="center" vertical="center"/>
    </xf>
    <xf applyAlignment="1" applyBorder="1" applyFill="1" applyFont="1" applyNumberFormat="1" borderId="14" fillId="0" fontId="2" numFmtId="0" xfId="1">
      <alignment horizontal="center" vertical="center"/>
    </xf>
    <xf applyAlignment="1" applyBorder="1" applyFill="1" applyFont="1" applyNumberFormat="1" borderId="15" fillId="0" fontId="2" numFmtId="49" xfId="2">
      <alignment horizontal="center" vertical="center"/>
    </xf>
    <xf applyAlignment="1" applyBorder="1" applyFill="1" applyFont="1" applyNumberFormat="1" borderId="13" fillId="0" fontId="7" numFmtId="49" xfId="2">
      <alignment horizontal="center" vertical="center"/>
    </xf>
    <xf applyAlignment="1" applyBorder="1" applyFill="1" applyFont="1" applyNumberFormat="1" borderId="16" fillId="0" fontId="2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borderId="17" fillId="0" fontId="2" numFmtId="0" xfId="1">
      <alignment horizontal="right" vertical="center"/>
    </xf>
    <xf applyAlignment="1" applyBorder="1" applyFill="1" applyFont="1" applyNumberFormat="1" borderId="6" fillId="0" fontId="2" numFmtId="0" xfId="1">
      <alignment horizontal="right" vertical="center"/>
    </xf>
    <xf applyAlignment="1" applyBorder="1" applyFill="1" applyFont="1" applyNumberFormat="1" borderId="18" fillId="0" fontId="2" numFmtId="0" xfId="1">
      <alignment horizontal="right" vertical="center"/>
    </xf>
    <xf applyAlignment="1" applyBorder="1" applyFill="1" applyFont="1" applyNumberFormat="1" borderId="19" fillId="0" fontId="2" numFmtId="0" xfId="1">
      <alignment horizontal="right" vertical="center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20" fillId="0" fontId="11" numFmtId="49" xfId="2">
      <alignment horizontal="right"/>
    </xf>
    <xf applyAlignment="1" applyBorder="1" applyFill="1" applyFont="1" applyNumberFormat="1" borderId="19" fillId="0" fontId="11" numFmtId="49" xfId="2">
      <alignment horizontal="right"/>
    </xf>
    <xf applyAlignment="1" applyBorder="1" applyFill="1" applyFont="1" applyNumberFormat="1" borderId="21" fillId="0" fontId="7" numFmtId="49" xfId="1">
      <alignment horizontal="left" vertical="center"/>
    </xf>
    <xf applyAlignment="1" applyBorder="1" applyFill="1" applyFont="1" applyNumberFormat="1" borderId="22" fillId="0" fontId="7" numFmtId="49" xfId="1">
      <alignment horizontal="left" vertical="center"/>
    </xf>
    <xf applyAlignment="1" applyBorder="1" applyFill="1" applyFont="1" applyNumberFormat="1" borderId="23" fillId="0" fontId="7" numFmtId="49" xfId="1">
      <alignment horizontal="left" vertical="center"/>
    </xf>
    <xf applyAlignment="1" applyBorder="1" applyFill="1" applyFont="1" applyNumberFormat="1" borderId="24" fillId="0" fontId="7" numFmtId="49" xfId="1">
      <alignment horizontal="left" vertical="center"/>
    </xf>
    <xf applyAlignment="1" applyBorder="1" applyFill="1" applyFont="1" applyNumberFormat="1" borderId="21" fillId="0" fontId="7" numFmtId="49" xfId="2">
      <alignment horizontal="left"/>
    </xf>
    <xf applyAlignment="1" applyBorder="1" applyFill="1" applyFont="1" applyNumberFormat="1" borderId="21" fillId="0" fontId="7" numFmtId="3" xfId="2">
      <alignment horizontal="right"/>
    </xf>
    <xf applyAlignment="1" applyBorder="1" applyFill="1" applyFont="1" applyNumberFormat="1" borderId="25" fillId="0" fontId="7" numFmtId="4" xfId="2">
      <alignment horizontal="right"/>
    </xf>
    <xf applyAlignment="1" applyBorder="1" applyFill="1" applyFont="1" applyNumberFormat="1" borderId="24" fillId="0" fontId="7" numFmtId="49" xfId="2">
      <alignment horizontal="right"/>
    </xf>
    <xf applyAlignment="1" applyBorder="1" applyFill="1" applyFont="1" applyNumberFormat="1" borderId="21" fillId="0" fontId="7" numFmtId="4" xfId="2">
      <alignment horizontal="right"/>
    </xf>
    <xf applyAlignment="1" applyBorder="1" applyFill="1" applyFont="1" applyNumberFormat="1" borderId="21" fillId="0" fontId="7" numFmtId="189" xfId="2">
      <alignment horizontal="right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322"/>
  <sheetViews>
    <sheetView showGridLines="0" tabSelected="1" view="pageBreakPreview" workbookViewId="0" zoomScaleNormal="70" zoomScaleSheetLayoutView="100"/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customHeight="1" ht="13.5" r="1" spans="1:24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customHeight="1" ht="99" r="2" spans="1:24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customHeight="1" ht="39" r="3" spans="1:24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customFormat="1" customHeight="1" ht="13.5" r="4" s="2" spans="1:24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customFormat="1" customHeight="1" ht="13.5" r="7" s="2" spans="1:24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1561</f>
        <v>1561.0</v>
      </c>
      <c r="L7" s="34" t="s">
        <v>48</v>
      </c>
      <c r="M7" s="33" t="n">
        <f>1632</f>
        <v>1632.0</v>
      </c>
      <c r="N7" s="34" t="s">
        <v>49</v>
      </c>
      <c r="O7" s="33" t="n">
        <f>1261</f>
        <v>1261.0</v>
      </c>
      <c r="P7" s="34" t="s">
        <v>50</v>
      </c>
      <c r="Q7" s="33" t="n">
        <f>1490</f>
        <v>1490.0</v>
      </c>
      <c r="R7" s="34" t="s">
        <v>51</v>
      </c>
      <c r="S7" s="35" t="n">
        <f>1459.1</f>
        <v>1459.1</v>
      </c>
      <c r="T7" s="32" t="n">
        <f>17696820</f>
        <v>1.769682E7</v>
      </c>
      <c r="U7" s="32" t="n">
        <f>10466780</f>
        <v>1.046678E7</v>
      </c>
      <c r="V7" s="32" t="n">
        <f>25772981373</f>
        <v>2.5772981373E10</v>
      </c>
      <c r="W7" s="32" t="n">
        <f>15266483473</f>
        <v>1.5266483473E10</v>
      </c>
      <c r="X7" s="36" t="n">
        <f>21</f>
        <v>21.0</v>
      </c>
    </row>
    <row r="8">
      <c r="A8" s="27" t="s">
        <v>42</v>
      </c>
      <c r="B8" s="27" t="s">
        <v>52</v>
      </c>
      <c r="C8" s="27" t="s">
        <v>53</v>
      </c>
      <c r="D8" s="27" t="s">
        <v>54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1541</f>
        <v>1541.0</v>
      </c>
      <c r="L8" s="34" t="s">
        <v>48</v>
      </c>
      <c r="M8" s="33" t="n">
        <f>1611</f>
        <v>1611.0</v>
      </c>
      <c r="N8" s="34" t="s">
        <v>49</v>
      </c>
      <c r="O8" s="33" t="n">
        <f>1244</f>
        <v>1244.0</v>
      </c>
      <c r="P8" s="34" t="s">
        <v>50</v>
      </c>
      <c r="Q8" s="33" t="n">
        <f>1473</f>
        <v>1473.0</v>
      </c>
      <c r="R8" s="34" t="s">
        <v>51</v>
      </c>
      <c r="S8" s="35" t="n">
        <f>1439.67</f>
        <v>1439.67</v>
      </c>
      <c r="T8" s="32" t="n">
        <f>158564560</f>
        <v>1.5856456E8</v>
      </c>
      <c r="U8" s="32" t="n">
        <f>26666980</f>
        <v>2.666698E7</v>
      </c>
      <c r="V8" s="32" t="n">
        <f>225024098209</f>
        <v>2.25024098209E11</v>
      </c>
      <c r="W8" s="32" t="n">
        <f>39250814019</f>
        <v>3.9250814019E10</v>
      </c>
      <c r="X8" s="36" t="n">
        <f>21</f>
        <v>21.0</v>
      </c>
    </row>
    <row r="9">
      <c r="A9" s="27" t="s">
        <v>42</v>
      </c>
      <c r="B9" s="27" t="s">
        <v>55</v>
      </c>
      <c r="C9" s="27" t="s">
        <v>56</v>
      </c>
      <c r="D9" s="27" t="s">
        <v>57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100.0</v>
      </c>
      <c r="K9" s="33" t="n">
        <f>1525</f>
        <v>1525.0</v>
      </c>
      <c r="L9" s="34" t="s">
        <v>48</v>
      </c>
      <c r="M9" s="33" t="n">
        <f>1593</f>
        <v>1593.0</v>
      </c>
      <c r="N9" s="34" t="s">
        <v>49</v>
      </c>
      <c r="O9" s="33" t="n">
        <f>1231</f>
        <v>1231.0</v>
      </c>
      <c r="P9" s="34" t="s">
        <v>50</v>
      </c>
      <c r="Q9" s="33" t="n">
        <f>1456</f>
        <v>1456.0</v>
      </c>
      <c r="R9" s="34" t="s">
        <v>51</v>
      </c>
      <c r="S9" s="35" t="n">
        <f>1423.62</f>
        <v>1423.62</v>
      </c>
      <c r="T9" s="32" t="n">
        <f>10693600</f>
        <v>1.06936E7</v>
      </c>
      <c r="U9" s="32" t="n">
        <f>1333900</f>
        <v>1333900.0</v>
      </c>
      <c r="V9" s="32" t="n">
        <f>14995833279</f>
        <v>1.4995833279E10</v>
      </c>
      <c r="W9" s="32" t="n">
        <f>1860205479</f>
        <v>1.860205479E9</v>
      </c>
      <c r="X9" s="36" t="n">
        <f>21</f>
        <v>21.0</v>
      </c>
    </row>
    <row r="10">
      <c r="A10" s="27" t="s">
        <v>42</v>
      </c>
      <c r="B10" s="27" t="s">
        <v>58</v>
      </c>
      <c r="C10" s="27" t="s">
        <v>59</v>
      </c>
      <c r="D10" s="27" t="s">
        <v>60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31700</f>
        <v>31700.0</v>
      </c>
      <c r="L10" s="34" t="s">
        <v>48</v>
      </c>
      <c r="M10" s="33" t="n">
        <f>34850</f>
        <v>34850.0</v>
      </c>
      <c r="N10" s="34" t="s">
        <v>61</v>
      </c>
      <c r="O10" s="33" t="n">
        <f>29230</f>
        <v>29230.0</v>
      </c>
      <c r="P10" s="34" t="s">
        <v>62</v>
      </c>
      <c r="Q10" s="33" t="n">
        <f>31800</f>
        <v>31800.0</v>
      </c>
      <c r="R10" s="34" t="s">
        <v>51</v>
      </c>
      <c r="S10" s="35" t="n">
        <f>31992.38</f>
        <v>31992.38</v>
      </c>
      <c r="T10" s="32" t="n">
        <f>20685</f>
        <v>20685.0</v>
      </c>
      <c r="U10" s="32" t="n">
        <f>18</f>
        <v>18.0</v>
      </c>
      <c r="V10" s="32" t="n">
        <f>662738419</f>
        <v>6.62738419E8</v>
      </c>
      <c r="W10" s="32" t="n">
        <f>548489</f>
        <v>548489.0</v>
      </c>
      <c r="X10" s="36" t="n">
        <f>21</f>
        <v>21.0</v>
      </c>
    </row>
    <row r="11">
      <c r="A11" s="27" t="s">
        <v>42</v>
      </c>
      <c r="B11" s="27" t="s">
        <v>63</v>
      </c>
      <c r="C11" s="27" t="s">
        <v>64</v>
      </c>
      <c r="D11" s="27" t="s">
        <v>65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10.0</v>
      </c>
      <c r="K11" s="33" t="n">
        <f>704</f>
        <v>704.0</v>
      </c>
      <c r="L11" s="34" t="s">
        <v>48</v>
      </c>
      <c r="M11" s="33" t="n">
        <f>737</f>
        <v>737.0</v>
      </c>
      <c r="N11" s="34" t="s">
        <v>49</v>
      </c>
      <c r="O11" s="33" t="n">
        <f>566</f>
        <v>566.0</v>
      </c>
      <c r="P11" s="34" t="s">
        <v>66</v>
      </c>
      <c r="Q11" s="33" t="n">
        <f>611</f>
        <v>611.0</v>
      </c>
      <c r="R11" s="34" t="s">
        <v>51</v>
      </c>
      <c r="S11" s="35" t="n">
        <f>647.81</f>
        <v>647.81</v>
      </c>
      <c r="T11" s="32" t="n">
        <f>403030</f>
        <v>403030.0</v>
      </c>
      <c r="U11" s="32" t="n">
        <f>520</f>
        <v>520.0</v>
      </c>
      <c r="V11" s="32" t="n">
        <f>257480720</f>
        <v>2.5748072E8</v>
      </c>
      <c r="W11" s="32" t="n">
        <f>327320</f>
        <v>327320.0</v>
      </c>
      <c r="X11" s="36" t="n">
        <f>21</f>
        <v>21.0</v>
      </c>
    </row>
    <row r="12">
      <c r="A12" s="27" t="s">
        <v>42</v>
      </c>
      <c r="B12" s="27" t="s">
        <v>67</v>
      </c>
      <c r="C12" s="27" t="s">
        <v>68</v>
      </c>
      <c r="D12" s="27" t="s">
        <v>69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1.0</v>
      </c>
      <c r="K12" s="33" t="n">
        <f>17300</f>
        <v>17300.0</v>
      </c>
      <c r="L12" s="34" t="s">
        <v>48</v>
      </c>
      <c r="M12" s="33" t="n">
        <f>18020</f>
        <v>18020.0</v>
      </c>
      <c r="N12" s="34" t="s">
        <v>49</v>
      </c>
      <c r="O12" s="33" t="n">
        <f>13510</f>
        <v>13510.0</v>
      </c>
      <c r="P12" s="34" t="s">
        <v>70</v>
      </c>
      <c r="Q12" s="33" t="n">
        <f>16740</f>
        <v>16740.0</v>
      </c>
      <c r="R12" s="34" t="s">
        <v>51</v>
      </c>
      <c r="S12" s="35" t="n">
        <f>15675</f>
        <v>15675.0</v>
      </c>
      <c r="T12" s="32" t="n">
        <f>2876</f>
        <v>2876.0</v>
      </c>
      <c r="U12" s="32" t="str">
        <f>"－"</f>
        <v>－</v>
      </c>
      <c r="V12" s="32" t="n">
        <f>45189890</f>
        <v>4.518989E7</v>
      </c>
      <c r="W12" s="32" t="str">
        <f>"－"</f>
        <v>－</v>
      </c>
      <c r="X12" s="36" t="n">
        <f>20</f>
        <v>20.0</v>
      </c>
    </row>
    <row r="13">
      <c r="A13" s="27" t="s">
        <v>42</v>
      </c>
      <c r="B13" s="27" t="s">
        <v>71</v>
      </c>
      <c r="C13" s="27" t="s">
        <v>72</v>
      </c>
      <c r="D13" s="27" t="s">
        <v>73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10.0</v>
      </c>
      <c r="K13" s="33" t="n">
        <f>2590</f>
        <v>2590.0</v>
      </c>
      <c r="L13" s="34" t="s">
        <v>48</v>
      </c>
      <c r="M13" s="33" t="n">
        <f>2600</f>
        <v>2600.0</v>
      </c>
      <c r="N13" s="34" t="s">
        <v>49</v>
      </c>
      <c r="O13" s="33" t="n">
        <f>1715</f>
        <v>1715.0</v>
      </c>
      <c r="P13" s="34" t="s">
        <v>66</v>
      </c>
      <c r="Q13" s="33" t="n">
        <f>2180</f>
        <v>2180.0</v>
      </c>
      <c r="R13" s="34" t="s">
        <v>51</v>
      </c>
      <c r="S13" s="35" t="n">
        <f>2216.63</f>
        <v>2216.63</v>
      </c>
      <c r="T13" s="32" t="n">
        <f>11530</f>
        <v>11530.0</v>
      </c>
      <c r="U13" s="32" t="str">
        <f>"－"</f>
        <v>－</v>
      </c>
      <c r="V13" s="32" t="n">
        <f>24418900</f>
        <v>2.44189E7</v>
      </c>
      <c r="W13" s="32" t="str">
        <f>"－"</f>
        <v>－</v>
      </c>
      <c r="X13" s="36" t="n">
        <f>19</f>
        <v>19.0</v>
      </c>
    </row>
    <row r="14">
      <c r="A14" s="27" t="s">
        <v>42</v>
      </c>
      <c r="B14" s="27" t="s">
        <v>74</v>
      </c>
      <c r="C14" s="27" t="s">
        <v>75</v>
      </c>
      <c r="D14" s="27" t="s">
        <v>76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1000.0</v>
      </c>
      <c r="K14" s="33" t="n">
        <f>301</f>
        <v>301.0</v>
      </c>
      <c r="L14" s="34" t="s">
        <v>48</v>
      </c>
      <c r="M14" s="33" t="n">
        <f>349</f>
        <v>349.0</v>
      </c>
      <c r="N14" s="34" t="s">
        <v>77</v>
      </c>
      <c r="O14" s="33" t="n">
        <f>270</f>
        <v>270.0</v>
      </c>
      <c r="P14" s="34" t="s">
        <v>50</v>
      </c>
      <c r="Q14" s="33" t="n">
        <f>300</f>
        <v>300.0</v>
      </c>
      <c r="R14" s="34" t="s">
        <v>51</v>
      </c>
      <c r="S14" s="35" t="n">
        <f>304.76</f>
        <v>304.76</v>
      </c>
      <c r="T14" s="32" t="n">
        <f>178000</f>
        <v>178000.0</v>
      </c>
      <c r="U14" s="32" t="str">
        <f>"－"</f>
        <v>－</v>
      </c>
      <c r="V14" s="32" t="n">
        <f>54953000</f>
        <v>5.4953E7</v>
      </c>
      <c r="W14" s="32" t="str">
        <f>"－"</f>
        <v>－</v>
      </c>
      <c r="X14" s="36" t="n">
        <f>17</f>
        <v>17.0</v>
      </c>
    </row>
    <row r="15">
      <c r="A15" s="27" t="s">
        <v>42</v>
      </c>
      <c r="B15" s="27" t="s">
        <v>78</v>
      </c>
      <c r="C15" s="27" t="s">
        <v>79</v>
      </c>
      <c r="D15" s="27" t="s">
        <v>80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1.0</v>
      </c>
      <c r="K15" s="33" t="n">
        <f>21450</f>
        <v>21450.0</v>
      </c>
      <c r="L15" s="34" t="s">
        <v>48</v>
      </c>
      <c r="M15" s="33" t="n">
        <f>22360</f>
        <v>22360.0</v>
      </c>
      <c r="N15" s="34" t="s">
        <v>49</v>
      </c>
      <c r="O15" s="33" t="n">
        <f>16830</f>
        <v>16830.0</v>
      </c>
      <c r="P15" s="34" t="s">
        <v>66</v>
      </c>
      <c r="Q15" s="33" t="n">
        <f>19620</f>
        <v>19620.0</v>
      </c>
      <c r="R15" s="34" t="s">
        <v>51</v>
      </c>
      <c r="S15" s="35" t="n">
        <f>19607.62</f>
        <v>19607.62</v>
      </c>
      <c r="T15" s="32" t="n">
        <f>3769350</f>
        <v>3769350.0</v>
      </c>
      <c r="U15" s="32" t="n">
        <f>137485</f>
        <v>137485.0</v>
      </c>
      <c r="V15" s="32" t="n">
        <f>73173981770</f>
        <v>7.317398177E10</v>
      </c>
      <c r="W15" s="32" t="n">
        <f>2928919620</f>
        <v>2.92891962E9</v>
      </c>
      <c r="X15" s="36" t="n">
        <f>21</f>
        <v>21.0</v>
      </c>
    </row>
    <row r="16">
      <c r="A16" s="27" t="s">
        <v>42</v>
      </c>
      <c r="B16" s="27" t="s">
        <v>81</v>
      </c>
      <c r="C16" s="27" t="s">
        <v>82</v>
      </c>
      <c r="D16" s="27" t="s">
        <v>83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1.0</v>
      </c>
      <c r="K16" s="33" t="n">
        <f>21490</f>
        <v>21490.0</v>
      </c>
      <c r="L16" s="34" t="s">
        <v>48</v>
      </c>
      <c r="M16" s="33" t="n">
        <f>22420</f>
        <v>22420.0</v>
      </c>
      <c r="N16" s="34" t="s">
        <v>49</v>
      </c>
      <c r="O16" s="33" t="n">
        <f>16900</f>
        <v>16900.0</v>
      </c>
      <c r="P16" s="34" t="s">
        <v>66</v>
      </c>
      <c r="Q16" s="33" t="n">
        <f>19700</f>
        <v>19700.0</v>
      </c>
      <c r="R16" s="34" t="s">
        <v>51</v>
      </c>
      <c r="S16" s="35" t="n">
        <f>19592.38</f>
        <v>19592.38</v>
      </c>
      <c r="T16" s="32" t="n">
        <f>19155812</f>
        <v>1.9155812E7</v>
      </c>
      <c r="U16" s="32" t="n">
        <f>623423</f>
        <v>623423.0</v>
      </c>
      <c r="V16" s="32" t="n">
        <f>366686082797</f>
        <v>3.66686082797E11</v>
      </c>
      <c r="W16" s="32" t="n">
        <f>13221501097</f>
        <v>1.3221501097E10</v>
      </c>
      <c r="X16" s="36" t="n">
        <f>21</f>
        <v>21.0</v>
      </c>
    </row>
    <row r="17">
      <c r="A17" s="27" t="s">
        <v>42</v>
      </c>
      <c r="B17" s="27" t="s">
        <v>84</v>
      </c>
      <c r="C17" s="27" t="s">
        <v>85</v>
      </c>
      <c r="D17" s="27" t="s">
        <v>86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10.0</v>
      </c>
      <c r="K17" s="33" t="n">
        <f>5640</f>
        <v>5640.0</v>
      </c>
      <c r="L17" s="34" t="s">
        <v>48</v>
      </c>
      <c r="M17" s="33" t="n">
        <f>6120</f>
        <v>6120.0</v>
      </c>
      <c r="N17" s="34" t="s">
        <v>49</v>
      </c>
      <c r="O17" s="33" t="n">
        <f>4810</f>
        <v>4810.0</v>
      </c>
      <c r="P17" s="34" t="s">
        <v>50</v>
      </c>
      <c r="Q17" s="33" t="n">
        <f>5540</f>
        <v>5540.0</v>
      </c>
      <c r="R17" s="34" t="s">
        <v>51</v>
      </c>
      <c r="S17" s="35" t="n">
        <f>5471.43</f>
        <v>5471.43</v>
      </c>
      <c r="T17" s="32" t="n">
        <f>16170</f>
        <v>16170.0</v>
      </c>
      <c r="U17" s="32" t="n">
        <f>470</f>
        <v>470.0</v>
      </c>
      <c r="V17" s="32" t="n">
        <f>88240500</f>
        <v>8.82405E7</v>
      </c>
      <c r="W17" s="32" t="n">
        <f>2433900</f>
        <v>2433900.0</v>
      </c>
      <c r="X17" s="36" t="n">
        <f>21</f>
        <v>21.0</v>
      </c>
    </row>
    <row r="18">
      <c r="A18" s="27" t="s">
        <v>42</v>
      </c>
      <c r="B18" s="27" t="s">
        <v>87</v>
      </c>
      <c r="C18" s="27" t="s">
        <v>88</v>
      </c>
      <c r="D18" s="27" t="s">
        <v>89</v>
      </c>
      <c r="E18" s="28" t="s">
        <v>46</v>
      </c>
      <c r="F18" s="29" t="s">
        <v>46</v>
      </c>
      <c r="G18" s="30" t="s">
        <v>46</v>
      </c>
      <c r="H18" s="31"/>
      <c r="I18" s="31" t="s">
        <v>47</v>
      </c>
      <c r="J18" s="32" t="n">
        <v>100.0</v>
      </c>
      <c r="K18" s="33" t="n">
        <f>362</f>
        <v>362.0</v>
      </c>
      <c r="L18" s="34" t="s">
        <v>48</v>
      </c>
      <c r="M18" s="33" t="n">
        <f>366</f>
        <v>366.0</v>
      </c>
      <c r="N18" s="34" t="s">
        <v>48</v>
      </c>
      <c r="O18" s="33" t="n">
        <f>231</f>
        <v>231.0</v>
      </c>
      <c r="P18" s="34" t="s">
        <v>62</v>
      </c>
      <c r="Q18" s="33" t="n">
        <f>276</f>
        <v>276.0</v>
      </c>
      <c r="R18" s="34" t="s">
        <v>51</v>
      </c>
      <c r="S18" s="35" t="n">
        <f>288.37</f>
        <v>288.37</v>
      </c>
      <c r="T18" s="32" t="n">
        <f>133100</f>
        <v>133100.0</v>
      </c>
      <c r="U18" s="32" t="n">
        <f>18800</f>
        <v>18800.0</v>
      </c>
      <c r="V18" s="32" t="n">
        <f>39463100</f>
        <v>3.94631E7</v>
      </c>
      <c r="W18" s="32" t="n">
        <f>5879600</f>
        <v>5879600.0</v>
      </c>
      <c r="X18" s="36" t="n">
        <f>19</f>
        <v>19.0</v>
      </c>
    </row>
    <row r="19">
      <c r="A19" s="27" t="s">
        <v>42</v>
      </c>
      <c r="B19" s="27" t="s">
        <v>90</v>
      </c>
      <c r="C19" s="27" t="s">
        <v>91</v>
      </c>
      <c r="D19" s="27" t="s">
        <v>92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100.0</v>
      </c>
      <c r="K19" s="33" t="n">
        <f>134</f>
        <v>134.0</v>
      </c>
      <c r="L19" s="34" t="s">
        <v>48</v>
      </c>
      <c r="M19" s="33" t="n">
        <f>147</f>
        <v>147.0</v>
      </c>
      <c r="N19" s="34" t="s">
        <v>77</v>
      </c>
      <c r="O19" s="33" t="n">
        <f>107</f>
        <v>107.0</v>
      </c>
      <c r="P19" s="34" t="s">
        <v>62</v>
      </c>
      <c r="Q19" s="33" t="n">
        <f>123</f>
        <v>123.0</v>
      </c>
      <c r="R19" s="34" t="s">
        <v>51</v>
      </c>
      <c r="S19" s="35" t="n">
        <f>126.38</f>
        <v>126.38</v>
      </c>
      <c r="T19" s="32" t="n">
        <f>1522900</f>
        <v>1522900.0</v>
      </c>
      <c r="U19" s="32" t="n">
        <f>17000</f>
        <v>17000.0</v>
      </c>
      <c r="V19" s="32" t="n">
        <f>192143467</f>
        <v>1.92143467E8</v>
      </c>
      <c r="W19" s="32" t="n">
        <f>2176967</f>
        <v>2176967.0</v>
      </c>
      <c r="X19" s="36" t="n">
        <f>21</f>
        <v>21.0</v>
      </c>
    </row>
    <row r="20">
      <c r="A20" s="27" t="s">
        <v>42</v>
      </c>
      <c r="B20" s="27" t="s">
        <v>93</v>
      </c>
      <c r="C20" s="27" t="s">
        <v>94</v>
      </c>
      <c r="D20" s="27" t="s">
        <v>95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100.0</v>
      </c>
      <c r="K20" s="33" t="n">
        <f>176</f>
        <v>176.0</v>
      </c>
      <c r="L20" s="34" t="s">
        <v>48</v>
      </c>
      <c r="M20" s="33" t="n">
        <f>190</f>
        <v>190.0</v>
      </c>
      <c r="N20" s="34" t="s">
        <v>49</v>
      </c>
      <c r="O20" s="33" t="n">
        <f>108</f>
        <v>108.0</v>
      </c>
      <c r="P20" s="34" t="s">
        <v>66</v>
      </c>
      <c r="Q20" s="33" t="n">
        <f>120</f>
        <v>120.0</v>
      </c>
      <c r="R20" s="34" t="s">
        <v>51</v>
      </c>
      <c r="S20" s="35" t="n">
        <f>141.9</f>
        <v>141.9</v>
      </c>
      <c r="T20" s="32" t="n">
        <f>1556500</f>
        <v>1556500.0</v>
      </c>
      <c r="U20" s="32" t="n">
        <f>6500</f>
        <v>6500.0</v>
      </c>
      <c r="V20" s="32" t="n">
        <f>214202400</f>
        <v>2.142024E8</v>
      </c>
      <c r="W20" s="32" t="n">
        <f>791800</f>
        <v>791800.0</v>
      </c>
      <c r="X20" s="36" t="n">
        <f>21</f>
        <v>21.0</v>
      </c>
    </row>
    <row r="21">
      <c r="A21" s="27" t="s">
        <v>42</v>
      </c>
      <c r="B21" s="27" t="s">
        <v>96</v>
      </c>
      <c r="C21" s="27" t="s">
        <v>97</v>
      </c>
      <c r="D21" s="27" t="s">
        <v>98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1.0</v>
      </c>
      <c r="K21" s="33" t="n">
        <f>16040</f>
        <v>16040.0</v>
      </c>
      <c r="L21" s="34" t="s">
        <v>48</v>
      </c>
      <c r="M21" s="33" t="n">
        <f>17160</f>
        <v>17160.0</v>
      </c>
      <c r="N21" s="34" t="s">
        <v>99</v>
      </c>
      <c r="O21" s="33" t="n">
        <f>14910</f>
        <v>14910.0</v>
      </c>
      <c r="P21" s="34" t="s">
        <v>50</v>
      </c>
      <c r="Q21" s="33" t="n">
        <f>16460</f>
        <v>16460.0</v>
      </c>
      <c r="R21" s="34" t="s">
        <v>51</v>
      </c>
      <c r="S21" s="35" t="n">
        <f>16130</f>
        <v>16130.0</v>
      </c>
      <c r="T21" s="32" t="n">
        <f>480722</f>
        <v>480722.0</v>
      </c>
      <c r="U21" s="32" t="str">
        <f>"－"</f>
        <v>－</v>
      </c>
      <c r="V21" s="32" t="n">
        <f>7769581240</f>
        <v>7.76958124E9</v>
      </c>
      <c r="W21" s="32" t="str">
        <f>"－"</f>
        <v>－</v>
      </c>
      <c r="X21" s="36" t="n">
        <f>21</f>
        <v>21.0</v>
      </c>
    </row>
    <row r="22">
      <c r="A22" s="27" t="s">
        <v>42</v>
      </c>
      <c r="B22" s="27" t="s">
        <v>100</v>
      </c>
      <c r="C22" s="27" t="s">
        <v>101</v>
      </c>
      <c r="D22" s="27" t="s">
        <v>102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1.0</v>
      </c>
      <c r="K22" s="33" t="n">
        <f>3005</f>
        <v>3005.0</v>
      </c>
      <c r="L22" s="34" t="s">
        <v>48</v>
      </c>
      <c r="M22" s="33" t="n">
        <f>3100</f>
        <v>3100.0</v>
      </c>
      <c r="N22" s="34" t="s">
        <v>103</v>
      </c>
      <c r="O22" s="33" t="n">
        <f>2499</f>
        <v>2499.0</v>
      </c>
      <c r="P22" s="34" t="s">
        <v>62</v>
      </c>
      <c r="Q22" s="33" t="n">
        <f>2601</f>
        <v>2601.0</v>
      </c>
      <c r="R22" s="34" t="s">
        <v>51</v>
      </c>
      <c r="S22" s="35" t="n">
        <f>2864.05</f>
        <v>2864.05</v>
      </c>
      <c r="T22" s="32" t="n">
        <f>2049</f>
        <v>2049.0</v>
      </c>
      <c r="U22" s="32" t="str">
        <f>"－"</f>
        <v>－</v>
      </c>
      <c r="V22" s="32" t="n">
        <f>5762634</f>
        <v>5762634.0</v>
      </c>
      <c r="W22" s="32" t="str">
        <f>"－"</f>
        <v>－</v>
      </c>
      <c r="X22" s="36" t="n">
        <f>21</f>
        <v>21.0</v>
      </c>
    </row>
    <row r="23">
      <c r="A23" s="27" t="s">
        <v>42</v>
      </c>
      <c r="B23" s="27" t="s">
        <v>104</v>
      </c>
      <c r="C23" s="27" t="s">
        <v>105</v>
      </c>
      <c r="D23" s="27" t="s">
        <v>106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10.0</v>
      </c>
      <c r="K23" s="33" t="n">
        <f>4645</f>
        <v>4645.0</v>
      </c>
      <c r="L23" s="34" t="s">
        <v>48</v>
      </c>
      <c r="M23" s="33" t="n">
        <f>4830</f>
        <v>4830.0</v>
      </c>
      <c r="N23" s="34" t="s">
        <v>99</v>
      </c>
      <c r="O23" s="33" t="n">
        <f>4005</f>
        <v>4005.0</v>
      </c>
      <c r="P23" s="34" t="s">
        <v>107</v>
      </c>
      <c r="Q23" s="33" t="n">
        <f>4605</f>
        <v>4605.0</v>
      </c>
      <c r="R23" s="34" t="s">
        <v>51</v>
      </c>
      <c r="S23" s="35" t="n">
        <f>4505.24</f>
        <v>4505.24</v>
      </c>
      <c r="T23" s="32" t="n">
        <f>349910</f>
        <v>349910.0</v>
      </c>
      <c r="U23" s="32" t="n">
        <f>130</f>
        <v>130.0</v>
      </c>
      <c r="V23" s="32" t="n">
        <f>1571011300</f>
        <v>1.5710113E9</v>
      </c>
      <c r="W23" s="32" t="n">
        <f>581950</f>
        <v>581950.0</v>
      </c>
      <c r="X23" s="36" t="n">
        <f>21</f>
        <v>21.0</v>
      </c>
    </row>
    <row r="24">
      <c r="A24" s="27" t="s">
        <v>42</v>
      </c>
      <c r="B24" s="27" t="s">
        <v>108</v>
      </c>
      <c r="C24" s="27" t="s">
        <v>109</v>
      </c>
      <c r="D24" s="27" t="s">
        <v>110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1.0</v>
      </c>
      <c r="K24" s="33" t="n">
        <f>21390</f>
        <v>21390.0</v>
      </c>
      <c r="L24" s="34" t="s">
        <v>48</v>
      </c>
      <c r="M24" s="33" t="n">
        <f>22320</f>
        <v>22320.0</v>
      </c>
      <c r="N24" s="34" t="s">
        <v>49</v>
      </c>
      <c r="O24" s="33" t="n">
        <f>16780</f>
        <v>16780.0</v>
      </c>
      <c r="P24" s="34" t="s">
        <v>66</v>
      </c>
      <c r="Q24" s="33" t="n">
        <f>19550</f>
        <v>19550.0</v>
      </c>
      <c r="R24" s="34" t="s">
        <v>51</v>
      </c>
      <c r="S24" s="35" t="n">
        <f>19460</f>
        <v>19460.0</v>
      </c>
      <c r="T24" s="32" t="n">
        <f>3434918</f>
        <v>3434918.0</v>
      </c>
      <c r="U24" s="32" t="n">
        <f>2008673</f>
        <v>2008673.0</v>
      </c>
      <c r="V24" s="32" t="n">
        <f>62385720230</f>
        <v>6.238572023E10</v>
      </c>
      <c r="W24" s="32" t="n">
        <f>34979423270</f>
        <v>3.497942327E10</v>
      </c>
      <c r="X24" s="36" t="n">
        <f>21</f>
        <v>21.0</v>
      </c>
    </row>
    <row r="25">
      <c r="A25" s="27" t="s">
        <v>42</v>
      </c>
      <c r="B25" s="27" t="s">
        <v>111</v>
      </c>
      <c r="C25" s="27" t="s">
        <v>112</v>
      </c>
      <c r="D25" s="27" t="s">
        <v>113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10.0</v>
      </c>
      <c r="K25" s="33" t="n">
        <f>21560</f>
        <v>21560.0</v>
      </c>
      <c r="L25" s="34" t="s">
        <v>48</v>
      </c>
      <c r="M25" s="33" t="n">
        <f>22470</f>
        <v>22470.0</v>
      </c>
      <c r="N25" s="34" t="s">
        <v>49</v>
      </c>
      <c r="O25" s="33" t="n">
        <f>16900</f>
        <v>16900.0</v>
      </c>
      <c r="P25" s="34" t="s">
        <v>50</v>
      </c>
      <c r="Q25" s="33" t="n">
        <f>19670</f>
        <v>19670.0</v>
      </c>
      <c r="R25" s="34" t="s">
        <v>51</v>
      </c>
      <c r="S25" s="35" t="n">
        <f>19609.52</f>
        <v>19609.52</v>
      </c>
      <c r="T25" s="32" t="n">
        <f>3023200</f>
        <v>3023200.0</v>
      </c>
      <c r="U25" s="32" t="n">
        <f>277640</f>
        <v>277640.0</v>
      </c>
      <c r="V25" s="32" t="n">
        <f>59153995805</f>
        <v>5.9153995805E10</v>
      </c>
      <c r="W25" s="32" t="n">
        <f>5761872905</f>
        <v>5.761872905E9</v>
      </c>
      <c r="X25" s="36" t="n">
        <f>21</f>
        <v>21.0</v>
      </c>
    </row>
    <row r="26">
      <c r="A26" s="27" t="s">
        <v>42</v>
      </c>
      <c r="B26" s="27" t="s">
        <v>114</v>
      </c>
      <c r="C26" s="27" t="s">
        <v>115</v>
      </c>
      <c r="D26" s="27" t="s">
        <v>116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10.0</v>
      </c>
      <c r="K26" s="33" t="n">
        <f>2121</f>
        <v>2121.0</v>
      </c>
      <c r="L26" s="34" t="s">
        <v>48</v>
      </c>
      <c r="M26" s="33" t="n">
        <f>2259</f>
        <v>2259.0</v>
      </c>
      <c r="N26" s="34" t="s">
        <v>103</v>
      </c>
      <c r="O26" s="33" t="n">
        <f>1235</f>
        <v>1235.0</v>
      </c>
      <c r="P26" s="34" t="s">
        <v>66</v>
      </c>
      <c r="Q26" s="33" t="n">
        <f>1679</f>
        <v>1679.0</v>
      </c>
      <c r="R26" s="34" t="s">
        <v>51</v>
      </c>
      <c r="S26" s="35" t="n">
        <f>1834.76</f>
        <v>1834.76</v>
      </c>
      <c r="T26" s="32" t="n">
        <f>23065000</f>
        <v>2.3065E7</v>
      </c>
      <c r="U26" s="32" t="n">
        <f>924860</f>
        <v>924860.0</v>
      </c>
      <c r="V26" s="32" t="n">
        <f>39885132502</f>
        <v>3.9885132502E10</v>
      </c>
      <c r="W26" s="32" t="n">
        <f>1739697932</f>
        <v>1.739697932E9</v>
      </c>
      <c r="X26" s="36" t="n">
        <f>21</f>
        <v>21.0</v>
      </c>
    </row>
    <row r="27">
      <c r="A27" s="27" t="s">
        <v>42</v>
      </c>
      <c r="B27" s="27" t="s">
        <v>117</v>
      </c>
      <c r="C27" s="27" t="s">
        <v>118</v>
      </c>
      <c r="D27" s="27" t="s">
        <v>119</v>
      </c>
      <c r="E27" s="28" t="s">
        <v>46</v>
      </c>
      <c r="F27" s="29" t="s">
        <v>46</v>
      </c>
      <c r="G27" s="30" t="s">
        <v>46</v>
      </c>
      <c r="H27" s="31"/>
      <c r="I27" s="31" t="s">
        <v>47</v>
      </c>
      <c r="J27" s="32" t="n">
        <v>10.0</v>
      </c>
      <c r="K27" s="33" t="n">
        <f>710</f>
        <v>710.0</v>
      </c>
      <c r="L27" s="34" t="s">
        <v>48</v>
      </c>
      <c r="M27" s="33" t="n">
        <f>718</f>
        <v>718.0</v>
      </c>
      <c r="N27" s="34" t="s">
        <v>49</v>
      </c>
      <c r="O27" s="33" t="n">
        <f>580</f>
        <v>580.0</v>
      </c>
      <c r="P27" s="34" t="s">
        <v>107</v>
      </c>
      <c r="Q27" s="33" t="n">
        <f>653</f>
        <v>653.0</v>
      </c>
      <c r="R27" s="34" t="s">
        <v>51</v>
      </c>
      <c r="S27" s="35" t="n">
        <f>643.24</f>
        <v>643.24</v>
      </c>
      <c r="T27" s="32" t="n">
        <f>39800</f>
        <v>39800.0</v>
      </c>
      <c r="U27" s="32" t="n">
        <f>400</f>
        <v>400.0</v>
      </c>
      <c r="V27" s="32" t="n">
        <f>26226580</f>
        <v>2.622658E7</v>
      </c>
      <c r="W27" s="32" t="n">
        <f>264520</f>
        <v>264520.0</v>
      </c>
      <c r="X27" s="36" t="n">
        <f>21</f>
        <v>21.0</v>
      </c>
    </row>
    <row r="28">
      <c r="A28" s="27" t="s">
        <v>42</v>
      </c>
      <c r="B28" s="27" t="s">
        <v>120</v>
      </c>
      <c r="C28" s="27" t="s">
        <v>121</v>
      </c>
      <c r="D28" s="27" t="s">
        <v>122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100.0</v>
      </c>
      <c r="K28" s="33" t="n">
        <f>2000</f>
        <v>2000.0</v>
      </c>
      <c r="L28" s="34" t="s">
        <v>48</v>
      </c>
      <c r="M28" s="33" t="n">
        <f>2125</f>
        <v>2125.0</v>
      </c>
      <c r="N28" s="34" t="s">
        <v>103</v>
      </c>
      <c r="O28" s="33" t="n">
        <f>1225</f>
        <v>1225.0</v>
      </c>
      <c r="P28" s="34" t="s">
        <v>62</v>
      </c>
      <c r="Q28" s="33" t="n">
        <f>1580</f>
        <v>1580.0</v>
      </c>
      <c r="R28" s="34" t="s">
        <v>51</v>
      </c>
      <c r="S28" s="35" t="n">
        <f>1718.43</f>
        <v>1718.43</v>
      </c>
      <c r="T28" s="32" t="n">
        <f>5734900</f>
        <v>5734900.0</v>
      </c>
      <c r="U28" s="32" t="n">
        <f>534600</f>
        <v>534600.0</v>
      </c>
      <c r="V28" s="32" t="n">
        <f>9606728474</f>
        <v>9.606728474E9</v>
      </c>
      <c r="W28" s="32" t="n">
        <f>973512874</f>
        <v>9.73512874E8</v>
      </c>
      <c r="X28" s="36" t="n">
        <f>21</f>
        <v>21.0</v>
      </c>
    </row>
    <row r="29">
      <c r="A29" s="27" t="s">
        <v>42</v>
      </c>
      <c r="B29" s="27" t="s">
        <v>123</v>
      </c>
      <c r="C29" s="27" t="s">
        <v>124</v>
      </c>
      <c r="D29" s="27" t="s">
        <v>125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1.0</v>
      </c>
      <c r="K29" s="33" t="n">
        <f>21420</f>
        <v>21420.0</v>
      </c>
      <c r="L29" s="34" t="s">
        <v>48</v>
      </c>
      <c r="M29" s="33" t="n">
        <f>22350</f>
        <v>22350.0</v>
      </c>
      <c r="N29" s="34" t="s">
        <v>49</v>
      </c>
      <c r="O29" s="33" t="n">
        <f>16820</f>
        <v>16820.0</v>
      </c>
      <c r="P29" s="34" t="s">
        <v>66</v>
      </c>
      <c r="Q29" s="33" t="n">
        <f>19570</f>
        <v>19570.0</v>
      </c>
      <c r="R29" s="34" t="s">
        <v>51</v>
      </c>
      <c r="S29" s="35" t="n">
        <f>19614.29</f>
        <v>19614.29</v>
      </c>
      <c r="T29" s="32" t="n">
        <f>1668602</f>
        <v>1668602.0</v>
      </c>
      <c r="U29" s="32" t="n">
        <f>585209</f>
        <v>585209.0</v>
      </c>
      <c r="V29" s="32" t="n">
        <f>33754547100</f>
        <v>3.37545471E10</v>
      </c>
      <c r="W29" s="32" t="n">
        <f>12672517400</f>
        <v>1.26725174E10</v>
      </c>
      <c r="X29" s="36" t="n">
        <f>21</f>
        <v>21.0</v>
      </c>
    </row>
    <row r="30">
      <c r="A30" s="27" t="s">
        <v>42</v>
      </c>
      <c r="B30" s="27" t="s">
        <v>126</v>
      </c>
      <c r="C30" s="27" t="s">
        <v>127</v>
      </c>
      <c r="D30" s="27" t="s">
        <v>128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10.0</v>
      </c>
      <c r="K30" s="33" t="n">
        <f>1528</f>
        <v>1528.0</v>
      </c>
      <c r="L30" s="34" t="s">
        <v>48</v>
      </c>
      <c r="M30" s="33" t="n">
        <f>1597</f>
        <v>1597.0</v>
      </c>
      <c r="N30" s="34" t="s">
        <v>49</v>
      </c>
      <c r="O30" s="33" t="n">
        <f>1232</f>
        <v>1232.0</v>
      </c>
      <c r="P30" s="34" t="s">
        <v>50</v>
      </c>
      <c r="Q30" s="33" t="n">
        <f>1463</f>
        <v>1463.0</v>
      </c>
      <c r="R30" s="34" t="s">
        <v>51</v>
      </c>
      <c r="S30" s="35" t="n">
        <f>1431.9</f>
        <v>1431.9</v>
      </c>
      <c r="T30" s="32" t="n">
        <f>5767830</f>
        <v>5767830.0</v>
      </c>
      <c r="U30" s="32" t="n">
        <f>894890</f>
        <v>894890.0</v>
      </c>
      <c r="V30" s="32" t="n">
        <f>8106426520</f>
        <v>8.10642652E9</v>
      </c>
      <c r="W30" s="32" t="n">
        <f>1278217770</f>
        <v>1.27821777E9</v>
      </c>
      <c r="X30" s="36" t="n">
        <f>21</f>
        <v>21.0</v>
      </c>
    </row>
    <row r="31">
      <c r="A31" s="27" t="s">
        <v>42</v>
      </c>
      <c r="B31" s="27" t="s">
        <v>129</v>
      </c>
      <c r="C31" s="27" t="s">
        <v>130</v>
      </c>
      <c r="D31" s="27" t="s">
        <v>131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1.0</v>
      </c>
      <c r="K31" s="33" t="n">
        <f>12870</f>
        <v>12870.0</v>
      </c>
      <c r="L31" s="34" t="s">
        <v>48</v>
      </c>
      <c r="M31" s="33" t="n">
        <f>12960</f>
        <v>12960.0</v>
      </c>
      <c r="N31" s="34" t="s">
        <v>48</v>
      </c>
      <c r="O31" s="33" t="n">
        <f>12080</f>
        <v>12080.0</v>
      </c>
      <c r="P31" s="34" t="s">
        <v>107</v>
      </c>
      <c r="Q31" s="33" t="n">
        <f>12320</f>
        <v>12320.0</v>
      </c>
      <c r="R31" s="34" t="s">
        <v>51</v>
      </c>
      <c r="S31" s="35" t="n">
        <f>12451.43</f>
        <v>12451.43</v>
      </c>
      <c r="T31" s="32" t="n">
        <f>1377</f>
        <v>1377.0</v>
      </c>
      <c r="U31" s="32" t="str">
        <f>"－"</f>
        <v>－</v>
      </c>
      <c r="V31" s="32" t="n">
        <f>17053050</f>
        <v>1.705305E7</v>
      </c>
      <c r="W31" s="32" t="str">
        <f>"－"</f>
        <v>－</v>
      </c>
      <c r="X31" s="36" t="n">
        <f>21</f>
        <v>21.0</v>
      </c>
    </row>
    <row r="32">
      <c r="A32" s="27" t="s">
        <v>42</v>
      </c>
      <c r="B32" s="27" t="s">
        <v>132</v>
      </c>
      <c r="C32" s="27" t="s">
        <v>133</v>
      </c>
      <c r="D32" s="27" t="s">
        <v>134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10.0</v>
      </c>
      <c r="K32" s="33" t="n">
        <f>2590</f>
        <v>2590.0</v>
      </c>
      <c r="L32" s="34" t="s">
        <v>48</v>
      </c>
      <c r="M32" s="33" t="n">
        <f>3880</f>
        <v>3880.0</v>
      </c>
      <c r="N32" s="34" t="s">
        <v>50</v>
      </c>
      <c r="O32" s="33" t="n">
        <f>2387</f>
        <v>2387.0</v>
      </c>
      <c r="P32" s="34" t="s">
        <v>49</v>
      </c>
      <c r="Q32" s="33" t="n">
        <f>2719</f>
        <v>2719.0</v>
      </c>
      <c r="R32" s="34" t="s">
        <v>51</v>
      </c>
      <c r="S32" s="35" t="n">
        <f>2936.52</f>
        <v>2936.52</v>
      </c>
      <c r="T32" s="32" t="n">
        <f>24625120</f>
        <v>2.462512E7</v>
      </c>
      <c r="U32" s="32" t="n">
        <f>320060</f>
        <v>320060.0</v>
      </c>
      <c r="V32" s="32" t="n">
        <f>74434742355</f>
        <v>7.4434742355E10</v>
      </c>
      <c r="W32" s="32" t="n">
        <f>1014270125</f>
        <v>1.014270125E9</v>
      </c>
      <c r="X32" s="36" t="n">
        <f>21</f>
        <v>21.0</v>
      </c>
    </row>
    <row r="33">
      <c r="A33" s="27" t="s">
        <v>42</v>
      </c>
      <c r="B33" s="27" t="s">
        <v>135</v>
      </c>
      <c r="C33" s="27" t="s">
        <v>136</v>
      </c>
      <c r="D33" s="27" t="s">
        <v>137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1.0</v>
      </c>
      <c r="K33" s="33" t="n">
        <f>1110</f>
        <v>1110.0</v>
      </c>
      <c r="L33" s="34" t="s">
        <v>48</v>
      </c>
      <c r="M33" s="33" t="n">
        <f>1730</f>
        <v>1730.0</v>
      </c>
      <c r="N33" s="34" t="s">
        <v>66</v>
      </c>
      <c r="O33" s="33" t="n">
        <f>1015</f>
        <v>1015.0</v>
      </c>
      <c r="P33" s="34" t="s">
        <v>49</v>
      </c>
      <c r="Q33" s="33" t="n">
        <f>1212</f>
        <v>1212.0</v>
      </c>
      <c r="R33" s="34" t="s">
        <v>51</v>
      </c>
      <c r="S33" s="35" t="n">
        <f>1312.19</f>
        <v>1312.19</v>
      </c>
      <c r="T33" s="32" t="n">
        <f>2889154269</f>
        <v>2.889154269E9</v>
      </c>
      <c r="U33" s="32" t="n">
        <f>7305935</f>
        <v>7305935.0</v>
      </c>
      <c r="V33" s="32" t="n">
        <f>3926395732508</f>
        <v>3.926395732508E12</v>
      </c>
      <c r="W33" s="32" t="n">
        <f>9802962249</f>
        <v>9.802962249E9</v>
      </c>
      <c r="X33" s="36" t="n">
        <f>21</f>
        <v>21.0</v>
      </c>
    </row>
    <row r="34">
      <c r="A34" s="27" t="s">
        <v>42</v>
      </c>
      <c r="B34" s="27" t="s">
        <v>138</v>
      </c>
      <c r="C34" s="27" t="s">
        <v>139</v>
      </c>
      <c r="D34" s="27" t="s">
        <v>140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16200</f>
        <v>16200.0</v>
      </c>
      <c r="L34" s="34" t="s">
        <v>48</v>
      </c>
      <c r="M34" s="33" t="n">
        <f>17620</f>
        <v>17620.0</v>
      </c>
      <c r="N34" s="34" t="s">
        <v>49</v>
      </c>
      <c r="O34" s="33" t="n">
        <f>9700</f>
        <v>9700.0</v>
      </c>
      <c r="P34" s="34" t="s">
        <v>50</v>
      </c>
      <c r="Q34" s="33" t="n">
        <f>12890</f>
        <v>12890.0</v>
      </c>
      <c r="R34" s="34" t="s">
        <v>51</v>
      </c>
      <c r="S34" s="35" t="n">
        <f>13246.67</f>
        <v>13246.67</v>
      </c>
      <c r="T34" s="32" t="n">
        <f>1835922</f>
        <v>1835922.0</v>
      </c>
      <c r="U34" s="32" t="n">
        <f>1382</f>
        <v>1382.0</v>
      </c>
      <c r="V34" s="32" t="n">
        <f>22767706600</f>
        <v>2.27677066E10</v>
      </c>
      <c r="W34" s="32" t="n">
        <f>18359670</f>
        <v>1.835967E7</v>
      </c>
      <c r="X34" s="36" t="n">
        <f>21</f>
        <v>21.0</v>
      </c>
    </row>
    <row r="35">
      <c r="A35" s="27" t="s">
        <v>42</v>
      </c>
      <c r="B35" s="27" t="s">
        <v>141</v>
      </c>
      <c r="C35" s="27" t="s">
        <v>142</v>
      </c>
      <c r="D35" s="27" t="s">
        <v>143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10.0</v>
      </c>
      <c r="K35" s="33" t="n">
        <f>2658</f>
        <v>2658.0</v>
      </c>
      <c r="L35" s="34" t="s">
        <v>48</v>
      </c>
      <c r="M35" s="33" t="n">
        <f>4180</f>
        <v>4180.0</v>
      </c>
      <c r="N35" s="34" t="s">
        <v>66</v>
      </c>
      <c r="O35" s="33" t="n">
        <f>2442</f>
        <v>2442.0</v>
      </c>
      <c r="P35" s="34" t="s">
        <v>49</v>
      </c>
      <c r="Q35" s="33" t="n">
        <f>2915</f>
        <v>2915.0</v>
      </c>
      <c r="R35" s="34" t="s">
        <v>51</v>
      </c>
      <c r="S35" s="35" t="n">
        <f>3167.62</f>
        <v>3167.62</v>
      </c>
      <c r="T35" s="32" t="n">
        <f>150658730</f>
        <v>1.5065873E8</v>
      </c>
      <c r="U35" s="32" t="n">
        <f>89330</f>
        <v>89330.0</v>
      </c>
      <c r="V35" s="32" t="n">
        <f>474031357030</f>
        <v>4.7403135703E11</v>
      </c>
      <c r="W35" s="32" t="n">
        <f>310416660</f>
        <v>3.1041666E8</v>
      </c>
      <c r="X35" s="36" t="n">
        <f>21</f>
        <v>21.0</v>
      </c>
    </row>
    <row r="36">
      <c r="A36" s="27" t="s">
        <v>42</v>
      </c>
      <c r="B36" s="27" t="s">
        <v>144</v>
      </c>
      <c r="C36" s="27" t="s">
        <v>145</v>
      </c>
      <c r="D36" s="27" t="s">
        <v>146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13550</f>
        <v>13550.0</v>
      </c>
      <c r="L36" s="34" t="s">
        <v>48</v>
      </c>
      <c r="M36" s="33" t="n">
        <f>14170</f>
        <v>14170.0</v>
      </c>
      <c r="N36" s="34" t="s">
        <v>49</v>
      </c>
      <c r="O36" s="33" t="n">
        <f>11000</f>
        <v>11000.0</v>
      </c>
      <c r="P36" s="34" t="s">
        <v>50</v>
      </c>
      <c r="Q36" s="33" t="n">
        <f>13040</f>
        <v>13040.0</v>
      </c>
      <c r="R36" s="34" t="s">
        <v>51</v>
      </c>
      <c r="S36" s="35" t="n">
        <f>12784.29</f>
        <v>12784.29</v>
      </c>
      <c r="T36" s="32" t="n">
        <f>29302</f>
        <v>29302.0</v>
      </c>
      <c r="U36" s="32" t="str">
        <f>"－"</f>
        <v>－</v>
      </c>
      <c r="V36" s="32" t="n">
        <f>368947790</f>
        <v>3.6894779E8</v>
      </c>
      <c r="W36" s="32" t="str">
        <f>"－"</f>
        <v>－</v>
      </c>
      <c r="X36" s="36" t="n">
        <f>21</f>
        <v>21.0</v>
      </c>
    </row>
    <row r="37">
      <c r="A37" s="27" t="s">
        <v>42</v>
      </c>
      <c r="B37" s="27" t="s">
        <v>147</v>
      </c>
      <c r="C37" s="27" t="s">
        <v>148</v>
      </c>
      <c r="D37" s="27" t="s">
        <v>149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13200</f>
        <v>13200.0</v>
      </c>
      <c r="L37" s="34" t="s">
        <v>48</v>
      </c>
      <c r="M37" s="33" t="n">
        <f>14360</f>
        <v>14360.0</v>
      </c>
      <c r="N37" s="34" t="s">
        <v>49</v>
      </c>
      <c r="O37" s="33" t="n">
        <f>7940</f>
        <v>7940.0</v>
      </c>
      <c r="P37" s="34" t="s">
        <v>66</v>
      </c>
      <c r="Q37" s="33" t="n">
        <f>10660</f>
        <v>10660.0</v>
      </c>
      <c r="R37" s="34" t="s">
        <v>51</v>
      </c>
      <c r="S37" s="35" t="n">
        <f>10853.33</f>
        <v>10853.33</v>
      </c>
      <c r="T37" s="32" t="n">
        <f>3224483</f>
        <v>3224483.0</v>
      </c>
      <c r="U37" s="32" t="n">
        <f>38069</f>
        <v>38069.0</v>
      </c>
      <c r="V37" s="32" t="n">
        <f>33295014399</f>
        <v>3.3295014399E10</v>
      </c>
      <c r="W37" s="32" t="n">
        <f>387824599</f>
        <v>3.87824599E8</v>
      </c>
      <c r="X37" s="36" t="n">
        <f>21</f>
        <v>21.0</v>
      </c>
    </row>
    <row r="38">
      <c r="A38" s="27" t="s">
        <v>42</v>
      </c>
      <c r="B38" s="27" t="s">
        <v>150</v>
      </c>
      <c r="C38" s="27" t="s">
        <v>151</v>
      </c>
      <c r="D38" s="27" t="s">
        <v>152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1.0</v>
      </c>
      <c r="K38" s="33" t="n">
        <f>2873</f>
        <v>2873.0</v>
      </c>
      <c r="L38" s="34" t="s">
        <v>48</v>
      </c>
      <c r="M38" s="33" t="n">
        <f>4505</f>
        <v>4505.0</v>
      </c>
      <c r="N38" s="34" t="s">
        <v>66</v>
      </c>
      <c r="O38" s="33" t="n">
        <f>2643</f>
        <v>2643.0</v>
      </c>
      <c r="P38" s="34" t="s">
        <v>49</v>
      </c>
      <c r="Q38" s="33" t="n">
        <f>3140</f>
        <v>3140.0</v>
      </c>
      <c r="R38" s="34" t="s">
        <v>51</v>
      </c>
      <c r="S38" s="35" t="n">
        <f>3415.95</f>
        <v>3415.95</v>
      </c>
      <c r="T38" s="32" t="n">
        <f>19958204</f>
        <v>1.9958204E7</v>
      </c>
      <c r="U38" s="32" t="n">
        <f>99655</f>
        <v>99655.0</v>
      </c>
      <c r="V38" s="32" t="n">
        <f>71025317589</f>
        <v>7.1025317589E10</v>
      </c>
      <c r="W38" s="32" t="n">
        <f>338838423</f>
        <v>3.38838423E8</v>
      </c>
      <c r="X38" s="36" t="n">
        <f>21</f>
        <v>21.0</v>
      </c>
    </row>
    <row r="39">
      <c r="A39" s="27" t="s">
        <v>42</v>
      </c>
      <c r="B39" s="27" t="s">
        <v>153</v>
      </c>
      <c r="C39" s="27" t="s">
        <v>154</v>
      </c>
      <c r="D39" s="27" t="s">
        <v>155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1.0</v>
      </c>
      <c r="K39" s="33" t="n">
        <f>10950</f>
        <v>10950.0</v>
      </c>
      <c r="L39" s="34" t="s">
        <v>48</v>
      </c>
      <c r="M39" s="33" t="n">
        <f>11850</f>
        <v>11850.0</v>
      </c>
      <c r="N39" s="34" t="s">
        <v>49</v>
      </c>
      <c r="O39" s="33" t="n">
        <f>6990</f>
        <v>6990.0</v>
      </c>
      <c r="P39" s="34" t="s">
        <v>50</v>
      </c>
      <c r="Q39" s="33" t="n">
        <f>9650</f>
        <v>9650.0</v>
      </c>
      <c r="R39" s="34" t="s">
        <v>51</v>
      </c>
      <c r="S39" s="35" t="n">
        <f>9430</f>
        <v>9430.0</v>
      </c>
      <c r="T39" s="32" t="n">
        <f>729497</f>
        <v>729497.0</v>
      </c>
      <c r="U39" s="32" t="n">
        <f>1899</f>
        <v>1899.0</v>
      </c>
      <c r="V39" s="32" t="n">
        <f>6575518850</f>
        <v>6.57551885E9</v>
      </c>
      <c r="W39" s="32" t="n">
        <f>18508110</f>
        <v>1.850811E7</v>
      </c>
      <c r="X39" s="36" t="n">
        <f>21</f>
        <v>21.0</v>
      </c>
    </row>
    <row r="40">
      <c r="A40" s="27" t="s">
        <v>42</v>
      </c>
      <c r="B40" s="27" t="s">
        <v>156</v>
      </c>
      <c r="C40" s="27" t="s">
        <v>157</v>
      </c>
      <c r="D40" s="27" t="s">
        <v>158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1.0</v>
      </c>
      <c r="K40" s="33" t="n">
        <f>3780</f>
        <v>3780.0</v>
      </c>
      <c r="L40" s="34" t="s">
        <v>48</v>
      </c>
      <c r="M40" s="33" t="n">
        <f>5750</f>
        <v>5750.0</v>
      </c>
      <c r="N40" s="34" t="s">
        <v>50</v>
      </c>
      <c r="O40" s="33" t="n">
        <f>3475</f>
        <v>3475.0</v>
      </c>
      <c r="P40" s="34" t="s">
        <v>49</v>
      </c>
      <c r="Q40" s="33" t="n">
        <f>3845</f>
        <v>3845.0</v>
      </c>
      <c r="R40" s="34" t="s">
        <v>51</v>
      </c>
      <c r="S40" s="35" t="n">
        <f>4285.71</f>
        <v>4285.71</v>
      </c>
      <c r="T40" s="32" t="n">
        <f>4997336</f>
        <v>4997336.0</v>
      </c>
      <c r="U40" s="32" t="n">
        <f>46882</f>
        <v>46882.0</v>
      </c>
      <c r="V40" s="32" t="n">
        <f>22023671850</f>
        <v>2.202367185E10</v>
      </c>
      <c r="W40" s="32" t="n">
        <f>172782305</f>
        <v>1.72782305E8</v>
      </c>
      <c r="X40" s="36" t="n">
        <f>21</f>
        <v>21.0</v>
      </c>
    </row>
    <row r="41">
      <c r="A41" s="27" t="s">
        <v>42</v>
      </c>
      <c r="B41" s="27" t="s">
        <v>159</v>
      </c>
      <c r="C41" s="27" t="s">
        <v>160</v>
      </c>
      <c r="D41" s="27" t="s">
        <v>161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20800</f>
        <v>20800.0</v>
      </c>
      <c r="L41" s="34" t="s">
        <v>48</v>
      </c>
      <c r="M41" s="33" t="n">
        <f>21700</f>
        <v>21700.0</v>
      </c>
      <c r="N41" s="34" t="s">
        <v>49</v>
      </c>
      <c r="O41" s="33" t="n">
        <f>16350</f>
        <v>16350.0</v>
      </c>
      <c r="P41" s="34" t="s">
        <v>66</v>
      </c>
      <c r="Q41" s="33" t="n">
        <f>19020</f>
        <v>19020.0</v>
      </c>
      <c r="R41" s="34" t="s">
        <v>51</v>
      </c>
      <c r="S41" s="35" t="n">
        <f>18978.1</f>
        <v>18978.1</v>
      </c>
      <c r="T41" s="32" t="n">
        <f>205585</f>
        <v>205585.0</v>
      </c>
      <c r="U41" s="32" t="n">
        <f>53560</f>
        <v>53560.0</v>
      </c>
      <c r="V41" s="32" t="n">
        <f>3822682480</f>
        <v>3.82268248E9</v>
      </c>
      <c r="W41" s="32" t="n">
        <f>1029194420</f>
        <v>1.02919442E9</v>
      </c>
      <c r="X41" s="36" t="n">
        <f>21</f>
        <v>21.0</v>
      </c>
    </row>
    <row r="42">
      <c r="A42" s="27" t="s">
        <v>42</v>
      </c>
      <c r="B42" s="27" t="s">
        <v>162</v>
      </c>
      <c r="C42" s="27" t="s">
        <v>163</v>
      </c>
      <c r="D42" s="27" t="s">
        <v>164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4080</f>
        <v>4080.0</v>
      </c>
      <c r="L42" s="34" t="s">
        <v>48</v>
      </c>
      <c r="M42" s="33" t="n">
        <f>4325</f>
        <v>4325.0</v>
      </c>
      <c r="N42" s="34" t="s">
        <v>48</v>
      </c>
      <c r="O42" s="33" t="n">
        <f>3315</f>
        <v>3315.0</v>
      </c>
      <c r="P42" s="34" t="s">
        <v>50</v>
      </c>
      <c r="Q42" s="33" t="n">
        <f>3500</f>
        <v>3500.0</v>
      </c>
      <c r="R42" s="34" t="s">
        <v>51</v>
      </c>
      <c r="S42" s="35" t="n">
        <f>3779.05</f>
        <v>3779.05</v>
      </c>
      <c r="T42" s="32" t="n">
        <f>8389</f>
        <v>8389.0</v>
      </c>
      <c r="U42" s="32" t="n">
        <f>290</f>
        <v>290.0</v>
      </c>
      <c r="V42" s="32" t="n">
        <f>31627485</f>
        <v>3.1627485E7</v>
      </c>
      <c r="W42" s="32" t="n">
        <f>1069395</f>
        <v>1069395.0</v>
      </c>
      <c r="X42" s="36" t="n">
        <f>21</f>
        <v>21.0</v>
      </c>
    </row>
    <row r="43">
      <c r="A43" s="27" t="s">
        <v>42</v>
      </c>
      <c r="B43" s="27" t="s">
        <v>165</v>
      </c>
      <c r="C43" s="27" t="s">
        <v>166</v>
      </c>
      <c r="D43" s="27" t="s">
        <v>167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8040</f>
        <v>8040.0</v>
      </c>
      <c r="L43" s="34" t="s">
        <v>48</v>
      </c>
      <c r="M43" s="33" t="n">
        <f>8430</f>
        <v>8430.0</v>
      </c>
      <c r="N43" s="34" t="s">
        <v>168</v>
      </c>
      <c r="O43" s="33" t="n">
        <f>6460</f>
        <v>6460.0</v>
      </c>
      <c r="P43" s="34" t="s">
        <v>169</v>
      </c>
      <c r="Q43" s="33" t="n">
        <f>6770</f>
        <v>6770.0</v>
      </c>
      <c r="R43" s="34" t="s">
        <v>51</v>
      </c>
      <c r="S43" s="35" t="n">
        <f>7489.44</f>
        <v>7489.44</v>
      </c>
      <c r="T43" s="32" t="n">
        <f>2004</f>
        <v>2004.0</v>
      </c>
      <c r="U43" s="32" t="str">
        <f>"－"</f>
        <v>－</v>
      </c>
      <c r="V43" s="32" t="n">
        <f>14846430</f>
        <v>1.484643E7</v>
      </c>
      <c r="W43" s="32" t="str">
        <f>"－"</f>
        <v>－</v>
      </c>
      <c r="X43" s="36" t="n">
        <f>18</f>
        <v>18.0</v>
      </c>
    </row>
    <row r="44">
      <c r="A44" s="27" t="s">
        <v>42</v>
      </c>
      <c r="B44" s="27" t="s">
        <v>170</v>
      </c>
      <c r="C44" s="27" t="s">
        <v>171</v>
      </c>
      <c r="D44" s="27" t="s">
        <v>172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15530</f>
        <v>15530.0</v>
      </c>
      <c r="L44" s="34" t="s">
        <v>48</v>
      </c>
      <c r="M44" s="33" t="n">
        <f>16330</f>
        <v>16330.0</v>
      </c>
      <c r="N44" s="34" t="s">
        <v>48</v>
      </c>
      <c r="O44" s="33" t="n">
        <f>9470</f>
        <v>9470.0</v>
      </c>
      <c r="P44" s="34" t="s">
        <v>50</v>
      </c>
      <c r="Q44" s="33" t="n">
        <f>12500</f>
        <v>12500.0</v>
      </c>
      <c r="R44" s="34" t="s">
        <v>51</v>
      </c>
      <c r="S44" s="35" t="n">
        <f>12273.89</f>
        <v>12273.89</v>
      </c>
      <c r="T44" s="32" t="n">
        <f>1030</f>
        <v>1030.0</v>
      </c>
      <c r="U44" s="32" t="str">
        <f>"－"</f>
        <v>－</v>
      </c>
      <c r="V44" s="32" t="n">
        <f>11456940</f>
        <v>1.145694E7</v>
      </c>
      <c r="W44" s="32" t="str">
        <f>"－"</f>
        <v>－</v>
      </c>
      <c r="X44" s="36" t="n">
        <f>18</f>
        <v>18.0</v>
      </c>
    </row>
    <row r="45">
      <c r="A45" s="27" t="s">
        <v>42</v>
      </c>
      <c r="B45" s="27" t="s">
        <v>173</v>
      </c>
      <c r="C45" s="27" t="s">
        <v>174</v>
      </c>
      <c r="D45" s="27" t="s">
        <v>175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12550</f>
        <v>12550.0</v>
      </c>
      <c r="L45" s="34" t="s">
        <v>48</v>
      </c>
      <c r="M45" s="33" t="n">
        <f>12550</f>
        <v>12550.0</v>
      </c>
      <c r="N45" s="34" t="s">
        <v>48</v>
      </c>
      <c r="O45" s="33" t="n">
        <f>7360</f>
        <v>7360.0</v>
      </c>
      <c r="P45" s="34" t="s">
        <v>66</v>
      </c>
      <c r="Q45" s="33" t="n">
        <f>8760</f>
        <v>8760.0</v>
      </c>
      <c r="R45" s="34" t="s">
        <v>169</v>
      </c>
      <c r="S45" s="35" t="n">
        <f>9056</f>
        <v>9056.0</v>
      </c>
      <c r="T45" s="32" t="n">
        <f>592</f>
        <v>592.0</v>
      </c>
      <c r="U45" s="32" t="str">
        <f>"－"</f>
        <v>－</v>
      </c>
      <c r="V45" s="32" t="n">
        <f>4730680</f>
        <v>4730680.0</v>
      </c>
      <c r="W45" s="32" t="str">
        <f>"－"</f>
        <v>－</v>
      </c>
      <c r="X45" s="36" t="n">
        <f>15</f>
        <v>15.0</v>
      </c>
    </row>
    <row r="46">
      <c r="A46" s="27" t="s">
        <v>42</v>
      </c>
      <c r="B46" s="27" t="s">
        <v>176</v>
      </c>
      <c r="C46" s="27" t="s">
        <v>177</v>
      </c>
      <c r="D46" s="27" t="s">
        <v>178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1.0</v>
      </c>
      <c r="K46" s="33" t="n">
        <f>9000</f>
        <v>9000.0</v>
      </c>
      <c r="L46" s="34" t="s">
        <v>48</v>
      </c>
      <c r="M46" s="33" t="n">
        <f>9720</f>
        <v>9720.0</v>
      </c>
      <c r="N46" s="34" t="s">
        <v>103</v>
      </c>
      <c r="O46" s="33" t="n">
        <f>7160</f>
        <v>7160.0</v>
      </c>
      <c r="P46" s="34" t="s">
        <v>66</v>
      </c>
      <c r="Q46" s="33" t="n">
        <f>8010</f>
        <v>8010.0</v>
      </c>
      <c r="R46" s="34" t="s">
        <v>51</v>
      </c>
      <c r="S46" s="35" t="n">
        <f>8362</f>
        <v>8362.0</v>
      </c>
      <c r="T46" s="32" t="n">
        <f>527</f>
        <v>527.0</v>
      </c>
      <c r="U46" s="32" t="str">
        <f>"－"</f>
        <v>－</v>
      </c>
      <c r="V46" s="32" t="n">
        <f>4465220</f>
        <v>4465220.0</v>
      </c>
      <c r="W46" s="32" t="str">
        <f>"－"</f>
        <v>－</v>
      </c>
      <c r="X46" s="36" t="n">
        <f>20</f>
        <v>20.0</v>
      </c>
    </row>
    <row r="47">
      <c r="A47" s="27" t="s">
        <v>42</v>
      </c>
      <c r="B47" s="27" t="s">
        <v>179</v>
      </c>
      <c r="C47" s="27" t="s">
        <v>180</v>
      </c>
      <c r="D47" s="27" t="s">
        <v>181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1.0</v>
      </c>
      <c r="K47" s="33" t="n">
        <f>4730</f>
        <v>4730.0</v>
      </c>
      <c r="L47" s="34" t="s">
        <v>48</v>
      </c>
      <c r="M47" s="33" t="n">
        <f>4770</f>
        <v>4770.0</v>
      </c>
      <c r="N47" s="34" t="s">
        <v>49</v>
      </c>
      <c r="O47" s="33" t="n">
        <f>3590</f>
        <v>3590.0</v>
      </c>
      <c r="P47" s="34" t="s">
        <v>182</v>
      </c>
      <c r="Q47" s="33" t="n">
        <f>3760</f>
        <v>3760.0</v>
      </c>
      <c r="R47" s="34" t="s">
        <v>51</v>
      </c>
      <c r="S47" s="35" t="n">
        <f>4238.5</f>
        <v>4238.5</v>
      </c>
      <c r="T47" s="32" t="n">
        <f>2369</f>
        <v>2369.0</v>
      </c>
      <c r="U47" s="32" t="str">
        <f>"－"</f>
        <v>－</v>
      </c>
      <c r="V47" s="32" t="n">
        <f>9714740</f>
        <v>9714740.0</v>
      </c>
      <c r="W47" s="32" t="str">
        <f>"－"</f>
        <v>－</v>
      </c>
      <c r="X47" s="36" t="n">
        <f>20</f>
        <v>20.0</v>
      </c>
    </row>
    <row r="48">
      <c r="A48" s="27" t="s">
        <v>42</v>
      </c>
      <c r="B48" s="27" t="s">
        <v>183</v>
      </c>
      <c r="C48" s="27" t="s">
        <v>184</v>
      </c>
      <c r="D48" s="27" t="s">
        <v>185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1.0</v>
      </c>
      <c r="K48" s="33" t="n">
        <f>2220</f>
        <v>2220.0</v>
      </c>
      <c r="L48" s="34" t="s">
        <v>48</v>
      </c>
      <c r="M48" s="33" t="n">
        <f>2351</f>
        <v>2351.0</v>
      </c>
      <c r="N48" s="34" t="s">
        <v>49</v>
      </c>
      <c r="O48" s="33" t="n">
        <f>1745</f>
        <v>1745.0</v>
      </c>
      <c r="P48" s="34" t="s">
        <v>107</v>
      </c>
      <c r="Q48" s="33" t="n">
        <f>2021</f>
        <v>2021.0</v>
      </c>
      <c r="R48" s="34" t="s">
        <v>51</v>
      </c>
      <c r="S48" s="35" t="n">
        <f>2000.67</f>
        <v>2000.67</v>
      </c>
      <c r="T48" s="32" t="n">
        <f>9972</f>
        <v>9972.0</v>
      </c>
      <c r="U48" s="32" t="n">
        <f>1128</f>
        <v>1128.0</v>
      </c>
      <c r="V48" s="32" t="n">
        <f>19985313</f>
        <v>1.9985313E7</v>
      </c>
      <c r="W48" s="32" t="n">
        <f>2332135</f>
        <v>2332135.0</v>
      </c>
      <c r="X48" s="36" t="n">
        <f>21</f>
        <v>21.0</v>
      </c>
    </row>
    <row r="49">
      <c r="A49" s="27" t="s">
        <v>42</v>
      </c>
      <c r="B49" s="27" t="s">
        <v>186</v>
      </c>
      <c r="C49" s="27" t="s">
        <v>187</v>
      </c>
      <c r="D49" s="27" t="s">
        <v>188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1.0</v>
      </c>
      <c r="K49" s="33" t="n">
        <f>2515</f>
        <v>2515.0</v>
      </c>
      <c r="L49" s="34" t="s">
        <v>48</v>
      </c>
      <c r="M49" s="33" t="n">
        <f>2610</f>
        <v>2610.0</v>
      </c>
      <c r="N49" s="34" t="s">
        <v>49</v>
      </c>
      <c r="O49" s="33" t="n">
        <f>1900</f>
        <v>1900.0</v>
      </c>
      <c r="P49" s="34" t="s">
        <v>70</v>
      </c>
      <c r="Q49" s="33" t="n">
        <f>2209</f>
        <v>2209.0</v>
      </c>
      <c r="R49" s="34" t="s">
        <v>51</v>
      </c>
      <c r="S49" s="35" t="n">
        <f>2272</f>
        <v>2272.0</v>
      </c>
      <c r="T49" s="32" t="n">
        <f>2413</f>
        <v>2413.0</v>
      </c>
      <c r="U49" s="32" t="n">
        <f>210</f>
        <v>210.0</v>
      </c>
      <c r="V49" s="32" t="n">
        <f>5236835</f>
        <v>5236835.0</v>
      </c>
      <c r="W49" s="32" t="n">
        <f>428604</f>
        <v>428604.0</v>
      </c>
      <c r="X49" s="36" t="n">
        <f>21</f>
        <v>21.0</v>
      </c>
    </row>
    <row r="50">
      <c r="A50" s="27" t="s">
        <v>42</v>
      </c>
      <c r="B50" s="27" t="s">
        <v>189</v>
      </c>
      <c r="C50" s="27" t="s">
        <v>190</v>
      </c>
      <c r="D50" s="27" t="s">
        <v>191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1.0</v>
      </c>
      <c r="K50" s="33" t="n">
        <f>31650</f>
        <v>31650.0</v>
      </c>
      <c r="L50" s="34" t="s">
        <v>48</v>
      </c>
      <c r="M50" s="33" t="n">
        <f>38000</f>
        <v>38000.0</v>
      </c>
      <c r="N50" s="34" t="s">
        <v>192</v>
      </c>
      <c r="O50" s="33" t="n">
        <f>25000</f>
        <v>25000.0</v>
      </c>
      <c r="P50" s="34" t="s">
        <v>107</v>
      </c>
      <c r="Q50" s="33" t="n">
        <f>28000</f>
        <v>28000.0</v>
      </c>
      <c r="R50" s="34" t="s">
        <v>51</v>
      </c>
      <c r="S50" s="35" t="n">
        <f>30351.9</f>
        <v>30351.9</v>
      </c>
      <c r="T50" s="32" t="n">
        <f>4542</f>
        <v>4542.0</v>
      </c>
      <c r="U50" s="32" t="str">
        <f>"－"</f>
        <v>－</v>
      </c>
      <c r="V50" s="32" t="n">
        <f>140176660</f>
        <v>1.4017666E8</v>
      </c>
      <c r="W50" s="32" t="str">
        <f>"－"</f>
        <v>－</v>
      </c>
      <c r="X50" s="36" t="n">
        <f>21</f>
        <v>21.0</v>
      </c>
    </row>
    <row r="51">
      <c r="A51" s="27" t="s">
        <v>42</v>
      </c>
      <c r="B51" s="27" t="s">
        <v>193</v>
      </c>
      <c r="C51" s="27" t="s">
        <v>194</v>
      </c>
      <c r="D51" s="27" t="s">
        <v>195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1.0</v>
      </c>
      <c r="K51" s="33" t="n">
        <f>24550</f>
        <v>24550.0</v>
      </c>
      <c r="L51" s="34" t="s">
        <v>48</v>
      </c>
      <c r="M51" s="33" t="n">
        <f>25670</f>
        <v>25670.0</v>
      </c>
      <c r="N51" s="34" t="s">
        <v>49</v>
      </c>
      <c r="O51" s="33" t="n">
        <f>17510</f>
        <v>17510.0</v>
      </c>
      <c r="P51" s="34" t="s">
        <v>66</v>
      </c>
      <c r="Q51" s="33" t="n">
        <f>19400</f>
        <v>19400.0</v>
      </c>
      <c r="R51" s="34" t="s">
        <v>51</v>
      </c>
      <c r="S51" s="35" t="n">
        <f>20496.84</f>
        <v>20496.84</v>
      </c>
      <c r="T51" s="32" t="n">
        <f>947</f>
        <v>947.0</v>
      </c>
      <c r="U51" s="32" t="str">
        <f>"－"</f>
        <v>－</v>
      </c>
      <c r="V51" s="32" t="n">
        <f>19673430</f>
        <v>1.967343E7</v>
      </c>
      <c r="W51" s="32" t="str">
        <f>"－"</f>
        <v>－</v>
      </c>
      <c r="X51" s="36" t="n">
        <f>19</f>
        <v>19.0</v>
      </c>
    </row>
    <row r="52">
      <c r="A52" s="27" t="s">
        <v>42</v>
      </c>
      <c r="B52" s="27" t="s">
        <v>196</v>
      </c>
      <c r="C52" s="27" t="s">
        <v>197</v>
      </c>
      <c r="D52" s="27" t="s">
        <v>198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1.0</v>
      </c>
      <c r="K52" s="33" t="n">
        <f>21070</f>
        <v>21070.0</v>
      </c>
      <c r="L52" s="34" t="s">
        <v>48</v>
      </c>
      <c r="M52" s="33" t="n">
        <f>21940</f>
        <v>21940.0</v>
      </c>
      <c r="N52" s="34" t="s">
        <v>49</v>
      </c>
      <c r="O52" s="33" t="n">
        <f>16540</f>
        <v>16540.0</v>
      </c>
      <c r="P52" s="34" t="s">
        <v>50</v>
      </c>
      <c r="Q52" s="33" t="n">
        <f>19160</f>
        <v>19160.0</v>
      </c>
      <c r="R52" s="34" t="s">
        <v>51</v>
      </c>
      <c r="S52" s="35" t="n">
        <f>19164.29</f>
        <v>19164.29</v>
      </c>
      <c r="T52" s="32" t="n">
        <f>122838</f>
        <v>122838.0</v>
      </c>
      <c r="U52" s="32" t="n">
        <f>114761</f>
        <v>114761.0</v>
      </c>
      <c r="V52" s="32" t="n">
        <f>2335875692</f>
        <v>2.335875692E9</v>
      </c>
      <c r="W52" s="32" t="n">
        <f>2181815832</f>
        <v>2.181815832E9</v>
      </c>
      <c r="X52" s="36" t="n">
        <f>21</f>
        <v>21.0</v>
      </c>
    </row>
    <row r="53">
      <c r="A53" s="27" t="s">
        <v>42</v>
      </c>
      <c r="B53" s="27" t="s">
        <v>199</v>
      </c>
      <c r="C53" s="27" t="s">
        <v>200</v>
      </c>
      <c r="D53" s="27" t="s">
        <v>201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10.0</v>
      </c>
      <c r="K53" s="33" t="n">
        <f>2018</f>
        <v>2018.0</v>
      </c>
      <c r="L53" s="34" t="s">
        <v>48</v>
      </c>
      <c r="M53" s="33" t="n">
        <f>2200</f>
        <v>2200.0</v>
      </c>
      <c r="N53" s="34" t="s">
        <v>49</v>
      </c>
      <c r="O53" s="33" t="n">
        <f>1175</f>
        <v>1175.0</v>
      </c>
      <c r="P53" s="34" t="s">
        <v>66</v>
      </c>
      <c r="Q53" s="33" t="n">
        <f>1610</f>
        <v>1610.0</v>
      </c>
      <c r="R53" s="34" t="s">
        <v>51</v>
      </c>
      <c r="S53" s="35" t="n">
        <f>1743.86</f>
        <v>1743.86</v>
      </c>
      <c r="T53" s="32" t="n">
        <f>932670</f>
        <v>932670.0</v>
      </c>
      <c r="U53" s="32" t="n">
        <f>255000</f>
        <v>255000.0</v>
      </c>
      <c r="V53" s="32" t="n">
        <f>1720980040</f>
        <v>1.72098004E9</v>
      </c>
      <c r="W53" s="32" t="n">
        <f>413892750</f>
        <v>4.1389275E8</v>
      </c>
      <c r="X53" s="36" t="n">
        <f>21</f>
        <v>21.0</v>
      </c>
    </row>
    <row r="54">
      <c r="A54" s="27" t="s">
        <v>42</v>
      </c>
      <c r="B54" s="27" t="s">
        <v>202</v>
      </c>
      <c r="C54" s="27" t="s">
        <v>203</v>
      </c>
      <c r="D54" s="27" t="s">
        <v>204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10.0</v>
      </c>
      <c r="K54" s="33" t="n">
        <f>1394</f>
        <v>1394.0</v>
      </c>
      <c r="L54" s="34" t="s">
        <v>48</v>
      </c>
      <c r="M54" s="33" t="n">
        <f>1420</f>
        <v>1420.0</v>
      </c>
      <c r="N54" s="34" t="s">
        <v>49</v>
      </c>
      <c r="O54" s="33" t="n">
        <f>1108</f>
        <v>1108.0</v>
      </c>
      <c r="P54" s="34" t="s">
        <v>50</v>
      </c>
      <c r="Q54" s="33" t="n">
        <f>1303</f>
        <v>1303.0</v>
      </c>
      <c r="R54" s="34" t="s">
        <v>51</v>
      </c>
      <c r="S54" s="35" t="n">
        <f>1270.67</f>
        <v>1270.67</v>
      </c>
      <c r="T54" s="32" t="n">
        <f>29400</f>
        <v>29400.0</v>
      </c>
      <c r="U54" s="32" t="str">
        <f>"－"</f>
        <v>－</v>
      </c>
      <c r="V54" s="32" t="n">
        <f>35104770</f>
        <v>3.510477E7</v>
      </c>
      <c r="W54" s="32" t="str">
        <f>"－"</f>
        <v>－</v>
      </c>
      <c r="X54" s="36" t="n">
        <f>21</f>
        <v>21.0</v>
      </c>
    </row>
    <row r="55">
      <c r="A55" s="27" t="s">
        <v>42</v>
      </c>
      <c r="B55" s="27" t="s">
        <v>205</v>
      </c>
      <c r="C55" s="27" t="s">
        <v>206</v>
      </c>
      <c r="D55" s="27" t="s">
        <v>207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6850</f>
        <v>6850.0</v>
      </c>
      <c r="L55" s="34" t="s">
        <v>48</v>
      </c>
      <c r="M55" s="33" t="n">
        <f>8610</f>
        <v>8610.0</v>
      </c>
      <c r="N55" s="34" t="s">
        <v>66</v>
      </c>
      <c r="O55" s="33" t="n">
        <f>6550</f>
        <v>6550.0</v>
      </c>
      <c r="P55" s="34" t="s">
        <v>49</v>
      </c>
      <c r="Q55" s="33" t="n">
        <f>7280</f>
        <v>7280.0</v>
      </c>
      <c r="R55" s="34" t="s">
        <v>51</v>
      </c>
      <c r="S55" s="35" t="n">
        <f>7477.62</f>
        <v>7477.62</v>
      </c>
      <c r="T55" s="32" t="n">
        <f>2079519</f>
        <v>2079519.0</v>
      </c>
      <c r="U55" s="32" t="n">
        <f>721000</f>
        <v>721000.0</v>
      </c>
      <c r="V55" s="32" t="n">
        <f>16159370490</f>
        <v>1.615937049E10</v>
      </c>
      <c r="W55" s="32" t="n">
        <f>5637350800</f>
        <v>5.6373508E9</v>
      </c>
      <c r="X55" s="36" t="n">
        <f>21</f>
        <v>21.0</v>
      </c>
    </row>
    <row r="56">
      <c r="A56" s="27" t="s">
        <v>42</v>
      </c>
      <c r="B56" s="27" t="s">
        <v>208</v>
      </c>
      <c r="C56" s="27" t="s">
        <v>209</v>
      </c>
      <c r="D56" s="27" t="s">
        <v>210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7850</f>
        <v>7850.0</v>
      </c>
      <c r="L56" s="34" t="s">
        <v>48</v>
      </c>
      <c r="M56" s="33" t="n">
        <f>9590</f>
        <v>9590.0</v>
      </c>
      <c r="N56" s="34" t="s">
        <v>50</v>
      </c>
      <c r="O56" s="33" t="n">
        <f>7490</f>
        <v>7490.0</v>
      </c>
      <c r="P56" s="34" t="s">
        <v>49</v>
      </c>
      <c r="Q56" s="33" t="n">
        <f>7980</f>
        <v>7980.0</v>
      </c>
      <c r="R56" s="34" t="s">
        <v>51</v>
      </c>
      <c r="S56" s="35" t="n">
        <f>8327.62</f>
        <v>8327.62</v>
      </c>
      <c r="T56" s="32" t="n">
        <f>981542</f>
        <v>981542.0</v>
      </c>
      <c r="U56" s="32" t="n">
        <f>30514</f>
        <v>30514.0</v>
      </c>
      <c r="V56" s="32" t="n">
        <f>8411337260</f>
        <v>8.41133726E9</v>
      </c>
      <c r="W56" s="32" t="n">
        <f>235891430</f>
        <v>2.3589143E8</v>
      </c>
      <c r="X56" s="36" t="n">
        <f>21</f>
        <v>21.0</v>
      </c>
    </row>
    <row r="57">
      <c r="A57" s="27" t="s">
        <v>42</v>
      </c>
      <c r="B57" s="27" t="s">
        <v>211</v>
      </c>
      <c r="C57" s="27" t="s">
        <v>212</v>
      </c>
      <c r="D57" s="27" t="s">
        <v>213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9940</f>
        <v>9940.0</v>
      </c>
      <c r="L57" s="34" t="s">
        <v>48</v>
      </c>
      <c r="M57" s="33" t="n">
        <f>10810</f>
        <v>10810.0</v>
      </c>
      <c r="N57" s="34" t="s">
        <v>49</v>
      </c>
      <c r="O57" s="33" t="n">
        <f>5990</f>
        <v>5990.0</v>
      </c>
      <c r="P57" s="34" t="s">
        <v>66</v>
      </c>
      <c r="Q57" s="33" t="n">
        <f>8060</f>
        <v>8060.0</v>
      </c>
      <c r="R57" s="34" t="s">
        <v>51</v>
      </c>
      <c r="S57" s="35" t="n">
        <f>8200.95</f>
        <v>8200.95</v>
      </c>
      <c r="T57" s="32" t="n">
        <f>14185124</f>
        <v>1.4185124E7</v>
      </c>
      <c r="U57" s="32" t="n">
        <f>9805</f>
        <v>9805.0</v>
      </c>
      <c r="V57" s="32" t="n">
        <f>113140863059</f>
        <v>1.13140863059E11</v>
      </c>
      <c r="W57" s="32" t="n">
        <f>76191549</f>
        <v>7.6191549E7</v>
      </c>
      <c r="X57" s="36" t="n">
        <f>21</f>
        <v>21.0</v>
      </c>
    </row>
    <row r="58">
      <c r="A58" s="27" t="s">
        <v>42</v>
      </c>
      <c r="B58" s="27" t="s">
        <v>214</v>
      </c>
      <c r="C58" s="27" t="s">
        <v>215</v>
      </c>
      <c r="D58" s="27" t="s">
        <v>216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4335</f>
        <v>4335.0</v>
      </c>
      <c r="L58" s="34" t="s">
        <v>48</v>
      </c>
      <c r="M58" s="33" t="n">
        <f>6830</f>
        <v>6830.0</v>
      </c>
      <c r="N58" s="34" t="s">
        <v>66</v>
      </c>
      <c r="O58" s="33" t="n">
        <f>3980</f>
        <v>3980.0</v>
      </c>
      <c r="P58" s="34" t="s">
        <v>49</v>
      </c>
      <c r="Q58" s="33" t="n">
        <f>4805</f>
        <v>4805.0</v>
      </c>
      <c r="R58" s="34" t="s">
        <v>51</v>
      </c>
      <c r="S58" s="35" t="n">
        <f>5170.71</f>
        <v>5170.71</v>
      </c>
      <c r="T58" s="32" t="n">
        <f>39100834</f>
        <v>3.9100834E7</v>
      </c>
      <c r="U58" s="32" t="n">
        <f>35275</f>
        <v>35275.0</v>
      </c>
      <c r="V58" s="32" t="n">
        <f>202944248977</f>
        <v>2.02944248977E11</v>
      </c>
      <c r="W58" s="32" t="n">
        <f>193991452</f>
        <v>1.93991452E8</v>
      </c>
      <c r="X58" s="36" t="n">
        <f>21</f>
        <v>21.0</v>
      </c>
    </row>
    <row r="59">
      <c r="A59" s="27" t="s">
        <v>42</v>
      </c>
      <c r="B59" s="27" t="s">
        <v>217</v>
      </c>
      <c r="C59" s="27" t="s">
        <v>218</v>
      </c>
      <c r="D59" s="27" t="s">
        <v>219</v>
      </c>
      <c r="E59" s="28" t="s">
        <v>46</v>
      </c>
      <c r="F59" s="29" t="s">
        <v>46</v>
      </c>
      <c r="G59" s="30" t="s">
        <v>46</v>
      </c>
      <c r="H59" s="31"/>
      <c r="I59" s="31" t="s">
        <v>47</v>
      </c>
      <c r="J59" s="32" t="n">
        <v>1.0</v>
      </c>
      <c r="K59" s="33" t="n">
        <f>18410</f>
        <v>18410.0</v>
      </c>
      <c r="L59" s="34" t="s">
        <v>48</v>
      </c>
      <c r="M59" s="33" t="n">
        <f>18850</f>
        <v>18850.0</v>
      </c>
      <c r="N59" s="34" t="s">
        <v>103</v>
      </c>
      <c r="O59" s="33" t="n">
        <f>15260</f>
        <v>15260.0</v>
      </c>
      <c r="P59" s="34" t="s">
        <v>51</v>
      </c>
      <c r="Q59" s="33" t="n">
        <f>16860</f>
        <v>16860.0</v>
      </c>
      <c r="R59" s="34" t="s">
        <v>51</v>
      </c>
      <c r="S59" s="35" t="n">
        <f>17340.71</f>
        <v>17340.71</v>
      </c>
      <c r="T59" s="32" t="n">
        <f>328</f>
        <v>328.0</v>
      </c>
      <c r="U59" s="32" t="str">
        <f>"－"</f>
        <v>－</v>
      </c>
      <c r="V59" s="32" t="n">
        <f>5543420</f>
        <v>5543420.0</v>
      </c>
      <c r="W59" s="32" t="str">
        <f>"－"</f>
        <v>－</v>
      </c>
      <c r="X59" s="36" t="n">
        <f>14</f>
        <v>14.0</v>
      </c>
    </row>
    <row r="60">
      <c r="A60" s="27" t="s">
        <v>42</v>
      </c>
      <c r="B60" s="27" t="s">
        <v>220</v>
      </c>
      <c r="C60" s="27" t="s">
        <v>221</v>
      </c>
      <c r="D60" s="27" t="s">
        <v>222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1.0</v>
      </c>
      <c r="K60" s="33" t="n">
        <f>8610</f>
        <v>8610.0</v>
      </c>
      <c r="L60" s="34" t="s">
        <v>48</v>
      </c>
      <c r="M60" s="33" t="n">
        <f>9400</f>
        <v>9400.0</v>
      </c>
      <c r="N60" s="34" t="s">
        <v>49</v>
      </c>
      <c r="O60" s="33" t="n">
        <f>5480</f>
        <v>5480.0</v>
      </c>
      <c r="P60" s="34" t="s">
        <v>50</v>
      </c>
      <c r="Q60" s="33" t="n">
        <f>7690</f>
        <v>7690.0</v>
      </c>
      <c r="R60" s="34" t="s">
        <v>51</v>
      </c>
      <c r="S60" s="35" t="n">
        <f>7405.24</f>
        <v>7405.24</v>
      </c>
      <c r="T60" s="32" t="n">
        <f>33517</f>
        <v>33517.0</v>
      </c>
      <c r="U60" s="32" t="n">
        <f>3</f>
        <v>3.0</v>
      </c>
      <c r="V60" s="32" t="n">
        <f>248086260</f>
        <v>2.4808626E8</v>
      </c>
      <c r="W60" s="32" t="n">
        <f>22440</f>
        <v>22440.0</v>
      </c>
      <c r="X60" s="36" t="n">
        <f>21</f>
        <v>21.0</v>
      </c>
    </row>
    <row r="61">
      <c r="A61" s="27" t="s">
        <v>42</v>
      </c>
      <c r="B61" s="27" t="s">
        <v>223</v>
      </c>
      <c r="C61" s="27" t="s">
        <v>224</v>
      </c>
      <c r="D61" s="27" t="s">
        <v>225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1.0</v>
      </c>
      <c r="K61" s="33" t="n">
        <f>7680</f>
        <v>7680.0</v>
      </c>
      <c r="L61" s="34" t="s">
        <v>48</v>
      </c>
      <c r="M61" s="33" t="n">
        <f>9470</f>
        <v>9470.0</v>
      </c>
      <c r="N61" s="34" t="s">
        <v>50</v>
      </c>
      <c r="O61" s="33" t="n">
        <f>7320</f>
        <v>7320.0</v>
      </c>
      <c r="P61" s="34" t="s">
        <v>49</v>
      </c>
      <c r="Q61" s="33" t="n">
        <f>7820</f>
        <v>7820.0</v>
      </c>
      <c r="R61" s="34" t="s">
        <v>51</v>
      </c>
      <c r="S61" s="35" t="n">
        <f>8183.81</f>
        <v>8183.81</v>
      </c>
      <c r="T61" s="32" t="n">
        <f>18992</f>
        <v>18992.0</v>
      </c>
      <c r="U61" s="32" t="str">
        <f>"－"</f>
        <v>－</v>
      </c>
      <c r="V61" s="32" t="n">
        <f>156877450</f>
        <v>1.5687745E8</v>
      </c>
      <c r="W61" s="32" t="str">
        <f>"－"</f>
        <v>－</v>
      </c>
      <c r="X61" s="36" t="n">
        <f>21</f>
        <v>21.0</v>
      </c>
    </row>
    <row r="62">
      <c r="A62" s="27" t="s">
        <v>42</v>
      </c>
      <c r="B62" s="27" t="s">
        <v>226</v>
      </c>
      <c r="C62" s="27" t="s">
        <v>227</v>
      </c>
      <c r="D62" s="27" t="s">
        <v>228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1.0</v>
      </c>
      <c r="K62" s="33" t="n">
        <f>5000</f>
        <v>5000.0</v>
      </c>
      <c r="L62" s="34" t="s">
        <v>48</v>
      </c>
      <c r="M62" s="33" t="n">
        <f>7990</f>
        <v>7990.0</v>
      </c>
      <c r="N62" s="34" t="s">
        <v>50</v>
      </c>
      <c r="O62" s="33" t="n">
        <f>4630</f>
        <v>4630.0</v>
      </c>
      <c r="P62" s="34" t="s">
        <v>49</v>
      </c>
      <c r="Q62" s="33" t="n">
        <f>5300</f>
        <v>5300.0</v>
      </c>
      <c r="R62" s="34" t="s">
        <v>51</v>
      </c>
      <c r="S62" s="35" t="n">
        <f>5830.95</f>
        <v>5830.95</v>
      </c>
      <c r="T62" s="32" t="n">
        <f>183265</f>
        <v>183265.0</v>
      </c>
      <c r="U62" s="32" t="n">
        <f>81</f>
        <v>81.0</v>
      </c>
      <c r="V62" s="32" t="n">
        <f>1098020560</f>
        <v>1.09802056E9</v>
      </c>
      <c r="W62" s="32" t="n">
        <f>558900</f>
        <v>558900.0</v>
      </c>
      <c r="X62" s="36" t="n">
        <f>21</f>
        <v>21.0</v>
      </c>
    </row>
    <row r="63">
      <c r="A63" s="27" t="s">
        <v>42</v>
      </c>
      <c r="B63" s="27" t="s">
        <v>229</v>
      </c>
      <c r="C63" s="27" t="s">
        <v>230</v>
      </c>
      <c r="D63" s="27" t="s">
        <v>231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10.0</v>
      </c>
      <c r="K63" s="33" t="n">
        <f>8560</f>
        <v>8560.0</v>
      </c>
      <c r="L63" s="34" t="s">
        <v>48</v>
      </c>
      <c r="M63" s="33" t="n">
        <f>9650</f>
        <v>9650.0</v>
      </c>
      <c r="N63" s="34" t="s">
        <v>49</v>
      </c>
      <c r="O63" s="33" t="n">
        <f>5500</f>
        <v>5500.0</v>
      </c>
      <c r="P63" s="34" t="s">
        <v>50</v>
      </c>
      <c r="Q63" s="33" t="n">
        <f>7200</f>
        <v>7200.0</v>
      </c>
      <c r="R63" s="34" t="s">
        <v>51</v>
      </c>
      <c r="S63" s="35" t="n">
        <f>7342.86</f>
        <v>7342.86</v>
      </c>
      <c r="T63" s="32" t="n">
        <f>76960</f>
        <v>76960.0</v>
      </c>
      <c r="U63" s="32" t="n">
        <f>1290</f>
        <v>1290.0</v>
      </c>
      <c r="V63" s="32" t="n">
        <f>553763600</f>
        <v>5.537636E8</v>
      </c>
      <c r="W63" s="32" t="n">
        <f>8496500</f>
        <v>8496500.0</v>
      </c>
      <c r="X63" s="36" t="n">
        <f>21</f>
        <v>21.0</v>
      </c>
    </row>
    <row r="64">
      <c r="A64" s="27" t="s">
        <v>42</v>
      </c>
      <c r="B64" s="27" t="s">
        <v>232</v>
      </c>
      <c r="C64" s="27" t="s">
        <v>233</v>
      </c>
      <c r="D64" s="27" t="s">
        <v>234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10.0</v>
      </c>
      <c r="K64" s="33" t="n">
        <f>7770</f>
        <v>7770.0</v>
      </c>
      <c r="L64" s="34" t="s">
        <v>48</v>
      </c>
      <c r="M64" s="33" t="n">
        <f>9630</f>
        <v>9630.0</v>
      </c>
      <c r="N64" s="34" t="s">
        <v>50</v>
      </c>
      <c r="O64" s="33" t="n">
        <f>7270</f>
        <v>7270.0</v>
      </c>
      <c r="P64" s="34" t="s">
        <v>48</v>
      </c>
      <c r="Q64" s="33" t="n">
        <f>8050</f>
        <v>8050.0</v>
      </c>
      <c r="R64" s="34" t="s">
        <v>51</v>
      </c>
      <c r="S64" s="35" t="n">
        <f>8165.71</f>
        <v>8165.71</v>
      </c>
      <c r="T64" s="32" t="n">
        <f>13110</f>
        <v>13110.0</v>
      </c>
      <c r="U64" s="32" t="str">
        <f>"－"</f>
        <v>－</v>
      </c>
      <c r="V64" s="32" t="n">
        <f>108470100</f>
        <v>1.084701E8</v>
      </c>
      <c r="W64" s="32" t="str">
        <f>"－"</f>
        <v>－</v>
      </c>
      <c r="X64" s="36" t="n">
        <f>21</f>
        <v>21.0</v>
      </c>
    </row>
    <row r="65">
      <c r="A65" s="27" t="s">
        <v>42</v>
      </c>
      <c r="B65" s="27" t="s">
        <v>235</v>
      </c>
      <c r="C65" s="27" t="s">
        <v>236</v>
      </c>
      <c r="D65" s="27" t="s">
        <v>237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10.0</v>
      </c>
      <c r="K65" s="33" t="n">
        <f>5120</f>
        <v>5120.0</v>
      </c>
      <c r="L65" s="34" t="s">
        <v>48</v>
      </c>
      <c r="M65" s="33" t="n">
        <f>7500</f>
        <v>7500.0</v>
      </c>
      <c r="N65" s="34" t="s">
        <v>50</v>
      </c>
      <c r="O65" s="33" t="n">
        <f>4525</f>
        <v>4525.0</v>
      </c>
      <c r="P65" s="34" t="s">
        <v>49</v>
      </c>
      <c r="Q65" s="33" t="n">
        <f>5120</f>
        <v>5120.0</v>
      </c>
      <c r="R65" s="34" t="s">
        <v>51</v>
      </c>
      <c r="S65" s="35" t="n">
        <f>5661.67</f>
        <v>5661.67</v>
      </c>
      <c r="T65" s="32" t="n">
        <f>581680</f>
        <v>581680.0</v>
      </c>
      <c r="U65" s="32" t="n">
        <f>136500</f>
        <v>136500.0</v>
      </c>
      <c r="V65" s="32" t="n">
        <f>3380988850</f>
        <v>3.38098885E9</v>
      </c>
      <c r="W65" s="32" t="n">
        <f>754776050</f>
        <v>7.5477605E8</v>
      </c>
      <c r="X65" s="36" t="n">
        <f>21</f>
        <v>21.0</v>
      </c>
    </row>
    <row r="66">
      <c r="A66" s="27" t="s">
        <v>42</v>
      </c>
      <c r="B66" s="27" t="s">
        <v>238</v>
      </c>
      <c r="C66" s="27" t="s">
        <v>239</v>
      </c>
      <c r="D66" s="27" t="s">
        <v>240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1.0</v>
      </c>
      <c r="K66" s="33" t="n">
        <f>17150</f>
        <v>17150.0</v>
      </c>
      <c r="L66" s="34" t="s">
        <v>48</v>
      </c>
      <c r="M66" s="33" t="n">
        <f>19000</f>
        <v>19000.0</v>
      </c>
      <c r="N66" s="34" t="s">
        <v>49</v>
      </c>
      <c r="O66" s="33" t="n">
        <f>11500</f>
        <v>11500.0</v>
      </c>
      <c r="P66" s="34" t="s">
        <v>50</v>
      </c>
      <c r="Q66" s="33" t="n">
        <f>15320</f>
        <v>15320.0</v>
      </c>
      <c r="R66" s="34" t="s">
        <v>51</v>
      </c>
      <c r="S66" s="35" t="n">
        <f>14976.19</f>
        <v>14976.19</v>
      </c>
      <c r="T66" s="32" t="n">
        <f>19142</f>
        <v>19142.0</v>
      </c>
      <c r="U66" s="32" t="str">
        <f>"－"</f>
        <v>－</v>
      </c>
      <c r="V66" s="32" t="n">
        <f>282833230</f>
        <v>2.8283323E8</v>
      </c>
      <c r="W66" s="32" t="str">
        <f>"－"</f>
        <v>－</v>
      </c>
      <c r="X66" s="36" t="n">
        <f>21</f>
        <v>21.0</v>
      </c>
    </row>
    <row r="67">
      <c r="A67" s="27" t="s">
        <v>42</v>
      </c>
      <c r="B67" s="27" t="s">
        <v>241</v>
      </c>
      <c r="C67" s="27" t="s">
        <v>242</v>
      </c>
      <c r="D67" s="27" t="s">
        <v>243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5140</f>
        <v>5140.0</v>
      </c>
      <c r="L67" s="34" t="s">
        <v>48</v>
      </c>
      <c r="M67" s="33" t="n">
        <f>6440</f>
        <v>6440.0</v>
      </c>
      <c r="N67" s="34" t="s">
        <v>107</v>
      </c>
      <c r="O67" s="33" t="n">
        <f>4700</f>
        <v>4700.0</v>
      </c>
      <c r="P67" s="34" t="s">
        <v>49</v>
      </c>
      <c r="Q67" s="33" t="n">
        <f>4940</f>
        <v>4940.0</v>
      </c>
      <c r="R67" s="34" t="s">
        <v>51</v>
      </c>
      <c r="S67" s="35" t="n">
        <f>5290.71</f>
        <v>5290.71</v>
      </c>
      <c r="T67" s="32" t="n">
        <f>21710</f>
        <v>21710.0</v>
      </c>
      <c r="U67" s="32" t="str">
        <f>"－"</f>
        <v>－</v>
      </c>
      <c r="V67" s="32" t="n">
        <f>117181200</f>
        <v>1.171812E8</v>
      </c>
      <c r="W67" s="32" t="str">
        <f>"－"</f>
        <v>－</v>
      </c>
      <c r="X67" s="36" t="n">
        <f>21</f>
        <v>21.0</v>
      </c>
    </row>
    <row r="68">
      <c r="A68" s="27" t="s">
        <v>42</v>
      </c>
      <c r="B68" s="27" t="s">
        <v>244</v>
      </c>
      <c r="C68" s="27" t="s">
        <v>245</v>
      </c>
      <c r="D68" s="27" t="s">
        <v>246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1.0</v>
      </c>
      <c r="K68" s="33" t="n">
        <f>2154</f>
        <v>2154.0</v>
      </c>
      <c r="L68" s="34" t="s">
        <v>48</v>
      </c>
      <c r="M68" s="33" t="n">
        <f>3150</f>
        <v>3150.0</v>
      </c>
      <c r="N68" s="34" t="s">
        <v>50</v>
      </c>
      <c r="O68" s="33" t="n">
        <f>1811</f>
        <v>1811.0</v>
      </c>
      <c r="P68" s="34" t="s">
        <v>49</v>
      </c>
      <c r="Q68" s="33" t="n">
        <f>2050</f>
        <v>2050.0</v>
      </c>
      <c r="R68" s="34" t="s">
        <v>51</v>
      </c>
      <c r="S68" s="35" t="n">
        <f>2273.71</f>
        <v>2273.71</v>
      </c>
      <c r="T68" s="32" t="n">
        <f>1092530</f>
        <v>1092530.0</v>
      </c>
      <c r="U68" s="32" t="n">
        <f>206</f>
        <v>206.0</v>
      </c>
      <c r="V68" s="32" t="n">
        <f>2651692216</f>
        <v>2.651692216E9</v>
      </c>
      <c r="W68" s="32" t="n">
        <f>449698</f>
        <v>449698.0</v>
      </c>
      <c r="X68" s="36" t="n">
        <f>21</f>
        <v>21.0</v>
      </c>
    </row>
    <row r="69">
      <c r="A69" s="27" t="s">
        <v>42</v>
      </c>
      <c r="B69" s="27" t="s">
        <v>247</v>
      </c>
      <c r="C69" s="27" t="s">
        <v>248</v>
      </c>
      <c r="D69" s="27" t="s">
        <v>249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10.0</v>
      </c>
      <c r="K69" s="33" t="n">
        <f>1495</f>
        <v>1495.0</v>
      </c>
      <c r="L69" s="34" t="s">
        <v>48</v>
      </c>
      <c r="M69" s="33" t="n">
        <f>1562</f>
        <v>1562.0</v>
      </c>
      <c r="N69" s="34" t="s">
        <v>49</v>
      </c>
      <c r="O69" s="33" t="n">
        <f>1218</f>
        <v>1218.0</v>
      </c>
      <c r="P69" s="34" t="s">
        <v>50</v>
      </c>
      <c r="Q69" s="33" t="n">
        <f>1438</f>
        <v>1438.0</v>
      </c>
      <c r="R69" s="34" t="s">
        <v>51</v>
      </c>
      <c r="S69" s="35" t="n">
        <f>1399.67</f>
        <v>1399.67</v>
      </c>
      <c r="T69" s="32" t="n">
        <f>783850</f>
        <v>783850.0</v>
      </c>
      <c r="U69" s="32" t="n">
        <f>391080</f>
        <v>391080.0</v>
      </c>
      <c r="V69" s="32" t="n">
        <f>1122997016</f>
        <v>1.122997016E9</v>
      </c>
      <c r="W69" s="32" t="n">
        <f>544584956</f>
        <v>5.44584956E8</v>
      </c>
      <c r="X69" s="36" t="n">
        <f>21</f>
        <v>21.0</v>
      </c>
    </row>
    <row r="70">
      <c r="A70" s="27" t="s">
        <v>42</v>
      </c>
      <c r="B70" s="27" t="s">
        <v>250</v>
      </c>
      <c r="C70" s="27" t="s">
        <v>251</v>
      </c>
      <c r="D70" s="27" t="s">
        <v>252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1.0</v>
      </c>
      <c r="K70" s="33" t="n">
        <f>13420</f>
        <v>13420.0</v>
      </c>
      <c r="L70" s="34" t="s">
        <v>48</v>
      </c>
      <c r="M70" s="33" t="n">
        <f>14030</f>
        <v>14030.0</v>
      </c>
      <c r="N70" s="34" t="s">
        <v>49</v>
      </c>
      <c r="O70" s="33" t="n">
        <f>10860</f>
        <v>10860.0</v>
      </c>
      <c r="P70" s="34" t="s">
        <v>50</v>
      </c>
      <c r="Q70" s="33" t="n">
        <f>12970</f>
        <v>12970.0</v>
      </c>
      <c r="R70" s="34" t="s">
        <v>51</v>
      </c>
      <c r="S70" s="35" t="n">
        <f>12517.62</f>
        <v>12517.62</v>
      </c>
      <c r="T70" s="32" t="n">
        <f>26553</f>
        <v>26553.0</v>
      </c>
      <c r="U70" s="32" t="str">
        <f>"－"</f>
        <v>－</v>
      </c>
      <c r="V70" s="32" t="n">
        <f>330623650</f>
        <v>3.3062365E8</v>
      </c>
      <c r="W70" s="32" t="str">
        <f>"－"</f>
        <v>－</v>
      </c>
      <c r="X70" s="36" t="n">
        <f>21</f>
        <v>21.0</v>
      </c>
    </row>
    <row r="71">
      <c r="A71" s="27" t="s">
        <v>42</v>
      </c>
      <c r="B71" s="27" t="s">
        <v>253</v>
      </c>
      <c r="C71" s="27" t="s">
        <v>254</v>
      </c>
      <c r="D71" s="27" t="s">
        <v>255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1504</f>
        <v>1504.0</v>
      </c>
      <c r="L71" s="34" t="s">
        <v>48</v>
      </c>
      <c r="M71" s="33" t="n">
        <f>1570</f>
        <v>1570.0</v>
      </c>
      <c r="N71" s="34" t="s">
        <v>49</v>
      </c>
      <c r="O71" s="33" t="n">
        <f>1215</f>
        <v>1215.0</v>
      </c>
      <c r="P71" s="34" t="s">
        <v>107</v>
      </c>
      <c r="Q71" s="33" t="n">
        <f>1436</f>
        <v>1436.0</v>
      </c>
      <c r="R71" s="34" t="s">
        <v>51</v>
      </c>
      <c r="S71" s="35" t="n">
        <f>1404.86</f>
        <v>1404.86</v>
      </c>
      <c r="T71" s="32" t="n">
        <f>7677093</f>
        <v>7677093.0</v>
      </c>
      <c r="U71" s="32" t="n">
        <f>255748</f>
        <v>255748.0</v>
      </c>
      <c r="V71" s="32" t="n">
        <f>10648103631</f>
        <v>1.0648103631E10</v>
      </c>
      <c r="W71" s="32" t="n">
        <f>374305113</f>
        <v>3.74305113E8</v>
      </c>
      <c r="X71" s="36" t="n">
        <f>21</f>
        <v>21.0</v>
      </c>
    </row>
    <row r="72">
      <c r="A72" s="27" t="s">
        <v>42</v>
      </c>
      <c r="B72" s="27" t="s">
        <v>256</v>
      </c>
      <c r="C72" s="27" t="s">
        <v>257</v>
      </c>
      <c r="D72" s="27" t="s">
        <v>258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2050</f>
        <v>2050.0</v>
      </c>
      <c r="L72" s="34" t="s">
        <v>48</v>
      </c>
      <c r="M72" s="33" t="n">
        <f>2166</f>
        <v>2166.0</v>
      </c>
      <c r="N72" s="34" t="s">
        <v>103</v>
      </c>
      <c r="O72" s="33" t="n">
        <f>1229</f>
        <v>1229.0</v>
      </c>
      <c r="P72" s="34" t="s">
        <v>66</v>
      </c>
      <c r="Q72" s="33" t="n">
        <f>1660</f>
        <v>1660.0</v>
      </c>
      <c r="R72" s="34" t="s">
        <v>51</v>
      </c>
      <c r="S72" s="35" t="n">
        <f>1759.67</f>
        <v>1759.67</v>
      </c>
      <c r="T72" s="32" t="n">
        <f>7504301</f>
        <v>7504301.0</v>
      </c>
      <c r="U72" s="32" t="n">
        <f>2828755</f>
        <v>2828755.0</v>
      </c>
      <c r="V72" s="32" t="n">
        <f>13564333680</f>
        <v>1.356433368E10</v>
      </c>
      <c r="W72" s="32" t="n">
        <f>4939056917</f>
        <v>4.939056917E9</v>
      </c>
      <c r="X72" s="36" t="n">
        <f>21</f>
        <v>21.0</v>
      </c>
    </row>
    <row r="73">
      <c r="A73" s="27" t="s">
        <v>42</v>
      </c>
      <c r="B73" s="27" t="s">
        <v>259</v>
      </c>
      <c r="C73" s="27" t="s">
        <v>260</v>
      </c>
      <c r="D73" s="27" t="s">
        <v>261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1635</f>
        <v>1635.0</v>
      </c>
      <c r="L73" s="34" t="s">
        <v>48</v>
      </c>
      <c r="M73" s="33" t="n">
        <f>1700</f>
        <v>1700.0</v>
      </c>
      <c r="N73" s="34" t="s">
        <v>49</v>
      </c>
      <c r="O73" s="33" t="n">
        <f>1379</f>
        <v>1379.0</v>
      </c>
      <c r="P73" s="34" t="s">
        <v>107</v>
      </c>
      <c r="Q73" s="33" t="n">
        <f>1619</f>
        <v>1619.0</v>
      </c>
      <c r="R73" s="34" t="s">
        <v>51</v>
      </c>
      <c r="S73" s="35" t="n">
        <f>1572.1</f>
        <v>1572.1</v>
      </c>
      <c r="T73" s="32" t="n">
        <f>76241</f>
        <v>76241.0</v>
      </c>
      <c r="U73" s="32" t="n">
        <f>18</f>
        <v>18.0</v>
      </c>
      <c r="V73" s="32" t="n">
        <f>116642840</f>
        <v>1.1664284E8</v>
      </c>
      <c r="W73" s="32" t="n">
        <f>27290</f>
        <v>27290.0</v>
      </c>
      <c r="X73" s="36" t="n">
        <f>21</f>
        <v>21.0</v>
      </c>
    </row>
    <row r="74">
      <c r="A74" s="27" t="s">
        <v>42</v>
      </c>
      <c r="B74" s="27" t="s">
        <v>262</v>
      </c>
      <c r="C74" s="27" t="s">
        <v>263</v>
      </c>
      <c r="D74" s="27" t="s">
        <v>264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1.0</v>
      </c>
      <c r="K74" s="33" t="n">
        <f>1744</f>
        <v>1744.0</v>
      </c>
      <c r="L74" s="34" t="s">
        <v>48</v>
      </c>
      <c r="M74" s="33" t="n">
        <f>1808</f>
        <v>1808.0</v>
      </c>
      <c r="N74" s="34" t="s">
        <v>49</v>
      </c>
      <c r="O74" s="33" t="n">
        <f>1414</f>
        <v>1414.0</v>
      </c>
      <c r="P74" s="34" t="s">
        <v>107</v>
      </c>
      <c r="Q74" s="33" t="n">
        <f>1672</f>
        <v>1672.0</v>
      </c>
      <c r="R74" s="34" t="s">
        <v>51</v>
      </c>
      <c r="S74" s="35" t="n">
        <f>1626.19</f>
        <v>1626.19</v>
      </c>
      <c r="T74" s="32" t="n">
        <f>456485</f>
        <v>456485.0</v>
      </c>
      <c r="U74" s="32" t="n">
        <f>48603</f>
        <v>48603.0</v>
      </c>
      <c r="V74" s="32" t="n">
        <f>737993499</f>
        <v>7.37993499E8</v>
      </c>
      <c r="W74" s="32" t="n">
        <f>80180124</f>
        <v>8.0180124E7</v>
      </c>
      <c r="X74" s="36" t="n">
        <f>21</f>
        <v>21.0</v>
      </c>
    </row>
    <row r="75">
      <c r="A75" s="27" t="s">
        <v>42</v>
      </c>
      <c r="B75" s="27" t="s">
        <v>265</v>
      </c>
      <c r="C75" s="27" t="s">
        <v>266</v>
      </c>
      <c r="D75" s="27" t="s">
        <v>267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1.0</v>
      </c>
      <c r="K75" s="33" t="n">
        <f>18210</f>
        <v>18210.0</v>
      </c>
      <c r="L75" s="34" t="s">
        <v>48</v>
      </c>
      <c r="M75" s="33" t="n">
        <f>18540</f>
        <v>18540.0</v>
      </c>
      <c r="N75" s="34" t="s">
        <v>49</v>
      </c>
      <c r="O75" s="33" t="n">
        <f>15010</f>
        <v>15010.0</v>
      </c>
      <c r="P75" s="34" t="s">
        <v>107</v>
      </c>
      <c r="Q75" s="33" t="n">
        <f>17690</f>
        <v>17690.0</v>
      </c>
      <c r="R75" s="34" t="s">
        <v>51</v>
      </c>
      <c r="S75" s="35" t="n">
        <f>16956.32</f>
        <v>16956.32</v>
      </c>
      <c r="T75" s="32" t="n">
        <f>22434</f>
        <v>22434.0</v>
      </c>
      <c r="U75" s="32" t="str">
        <f>"－"</f>
        <v>－</v>
      </c>
      <c r="V75" s="32" t="n">
        <f>367594750</f>
        <v>3.6759475E8</v>
      </c>
      <c r="W75" s="32" t="str">
        <f>"－"</f>
        <v>－</v>
      </c>
      <c r="X75" s="36" t="n">
        <f>19</f>
        <v>19.0</v>
      </c>
    </row>
    <row r="76">
      <c r="A76" s="27" t="s">
        <v>42</v>
      </c>
      <c r="B76" s="27" t="s">
        <v>268</v>
      </c>
      <c r="C76" s="27" t="s">
        <v>269</v>
      </c>
      <c r="D76" s="27" t="s">
        <v>270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1.0</v>
      </c>
      <c r="K76" s="33" t="n">
        <f>14980</f>
        <v>14980.0</v>
      </c>
      <c r="L76" s="34" t="s">
        <v>48</v>
      </c>
      <c r="M76" s="33" t="n">
        <f>15180</f>
        <v>15180.0</v>
      </c>
      <c r="N76" s="34" t="s">
        <v>49</v>
      </c>
      <c r="O76" s="33" t="n">
        <f>12010</f>
        <v>12010.0</v>
      </c>
      <c r="P76" s="34" t="s">
        <v>107</v>
      </c>
      <c r="Q76" s="33" t="n">
        <f>13950</f>
        <v>13950.0</v>
      </c>
      <c r="R76" s="34" t="s">
        <v>51</v>
      </c>
      <c r="S76" s="35" t="n">
        <f>13674.44</f>
        <v>13674.44</v>
      </c>
      <c r="T76" s="32" t="n">
        <f>5954</f>
        <v>5954.0</v>
      </c>
      <c r="U76" s="32" t="str">
        <f>"－"</f>
        <v>－</v>
      </c>
      <c r="V76" s="32" t="n">
        <f>77995000</f>
        <v>7.7995E7</v>
      </c>
      <c r="W76" s="32" t="str">
        <f>"－"</f>
        <v>－</v>
      </c>
      <c r="X76" s="36" t="n">
        <f>18</f>
        <v>18.0</v>
      </c>
    </row>
    <row r="77">
      <c r="A77" s="27" t="s">
        <v>42</v>
      </c>
      <c r="B77" s="27" t="s">
        <v>271</v>
      </c>
      <c r="C77" s="27" t="s">
        <v>272</v>
      </c>
      <c r="D77" s="27" t="s">
        <v>273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1.0</v>
      </c>
      <c r="K77" s="33" t="n">
        <f>1444</f>
        <v>1444.0</v>
      </c>
      <c r="L77" s="34" t="s">
        <v>48</v>
      </c>
      <c r="M77" s="33" t="n">
        <f>1504</f>
        <v>1504.0</v>
      </c>
      <c r="N77" s="34" t="s">
        <v>49</v>
      </c>
      <c r="O77" s="33" t="n">
        <f>1199</f>
        <v>1199.0</v>
      </c>
      <c r="P77" s="34" t="s">
        <v>107</v>
      </c>
      <c r="Q77" s="33" t="n">
        <f>1420</f>
        <v>1420.0</v>
      </c>
      <c r="R77" s="34" t="s">
        <v>51</v>
      </c>
      <c r="S77" s="35" t="n">
        <f>1371.57</f>
        <v>1371.57</v>
      </c>
      <c r="T77" s="32" t="n">
        <f>691591</f>
        <v>691591.0</v>
      </c>
      <c r="U77" s="32" t="n">
        <f>420000</f>
        <v>420000.0</v>
      </c>
      <c r="V77" s="32" t="n">
        <f>895306389</f>
        <v>8.95306389E8</v>
      </c>
      <c r="W77" s="32" t="n">
        <f>533820000</f>
        <v>5.3382E8</v>
      </c>
      <c r="X77" s="36" t="n">
        <f>21</f>
        <v>21.0</v>
      </c>
    </row>
    <row r="78">
      <c r="A78" s="27" t="s">
        <v>42</v>
      </c>
      <c r="B78" s="27" t="s">
        <v>274</v>
      </c>
      <c r="C78" s="27" t="s">
        <v>275</v>
      </c>
      <c r="D78" s="27" t="s">
        <v>276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1.0</v>
      </c>
      <c r="K78" s="33" t="n">
        <f>2430</f>
        <v>2430.0</v>
      </c>
      <c r="L78" s="34" t="s">
        <v>48</v>
      </c>
      <c r="M78" s="33" t="n">
        <f>2595</f>
        <v>2595.0</v>
      </c>
      <c r="N78" s="34" t="s">
        <v>277</v>
      </c>
      <c r="O78" s="33" t="n">
        <f>2374</f>
        <v>2374.0</v>
      </c>
      <c r="P78" s="34" t="s">
        <v>66</v>
      </c>
      <c r="Q78" s="33" t="n">
        <f>2533</f>
        <v>2533.0</v>
      </c>
      <c r="R78" s="34" t="s">
        <v>51</v>
      </c>
      <c r="S78" s="35" t="n">
        <f>2482.33</f>
        <v>2482.33</v>
      </c>
      <c r="T78" s="32" t="n">
        <f>1009273</f>
        <v>1009273.0</v>
      </c>
      <c r="U78" s="32" t="n">
        <f>537884</f>
        <v>537884.0</v>
      </c>
      <c r="V78" s="32" t="n">
        <f>2506213082</f>
        <v>2.506213082E9</v>
      </c>
      <c r="W78" s="32" t="n">
        <f>1339095173</f>
        <v>1.339095173E9</v>
      </c>
      <c r="X78" s="36" t="n">
        <f>21</f>
        <v>21.0</v>
      </c>
    </row>
    <row r="79">
      <c r="A79" s="27" t="s">
        <v>42</v>
      </c>
      <c r="B79" s="27" t="s">
        <v>278</v>
      </c>
      <c r="C79" s="27" t="s">
        <v>279</v>
      </c>
      <c r="D79" s="27" t="s">
        <v>280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1.0</v>
      </c>
      <c r="K79" s="33" t="n">
        <f>1601</f>
        <v>1601.0</v>
      </c>
      <c r="L79" s="34" t="s">
        <v>48</v>
      </c>
      <c r="M79" s="33" t="n">
        <f>1769</f>
        <v>1769.0</v>
      </c>
      <c r="N79" s="34" t="s">
        <v>99</v>
      </c>
      <c r="O79" s="33" t="n">
        <f>1300</f>
        <v>1300.0</v>
      </c>
      <c r="P79" s="34" t="s">
        <v>99</v>
      </c>
      <c r="Q79" s="33" t="n">
        <f>1350</f>
        <v>1350.0</v>
      </c>
      <c r="R79" s="34" t="s">
        <v>51</v>
      </c>
      <c r="S79" s="35" t="n">
        <f>1486.45</f>
        <v>1486.45</v>
      </c>
      <c r="T79" s="32" t="n">
        <f>4287</f>
        <v>4287.0</v>
      </c>
      <c r="U79" s="32" t="str">
        <f>"－"</f>
        <v>－</v>
      </c>
      <c r="V79" s="32" t="n">
        <f>5920374</f>
        <v>5920374.0</v>
      </c>
      <c r="W79" s="32" t="str">
        <f>"－"</f>
        <v>－</v>
      </c>
      <c r="X79" s="36" t="n">
        <f>20</f>
        <v>20.0</v>
      </c>
    </row>
    <row r="80">
      <c r="A80" s="27" t="s">
        <v>42</v>
      </c>
      <c r="B80" s="27" t="s">
        <v>281</v>
      </c>
      <c r="C80" s="27" t="s">
        <v>282</v>
      </c>
      <c r="D80" s="27" t="s">
        <v>283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10.0</v>
      </c>
      <c r="K80" s="33" t="n">
        <f>1460</f>
        <v>1460.0</v>
      </c>
      <c r="L80" s="34" t="s">
        <v>48</v>
      </c>
      <c r="M80" s="33" t="n">
        <f>1460</f>
        <v>1460.0</v>
      </c>
      <c r="N80" s="34" t="s">
        <v>48</v>
      </c>
      <c r="O80" s="33" t="n">
        <f>1175</f>
        <v>1175.0</v>
      </c>
      <c r="P80" s="34" t="s">
        <v>107</v>
      </c>
      <c r="Q80" s="33" t="n">
        <f>1397</f>
        <v>1397.0</v>
      </c>
      <c r="R80" s="34" t="s">
        <v>51</v>
      </c>
      <c r="S80" s="35" t="n">
        <f>1353.71</f>
        <v>1353.71</v>
      </c>
      <c r="T80" s="32" t="n">
        <f>31850</f>
        <v>31850.0</v>
      </c>
      <c r="U80" s="32" t="str">
        <f>"－"</f>
        <v>－</v>
      </c>
      <c r="V80" s="32" t="n">
        <f>40800410</f>
        <v>4.080041E7</v>
      </c>
      <c r="W80" s="32" t="str">
        <f>"－"</f>
        <v>－</v>
      </c>
      <c r="X80" s="36" t="n">
        <f>21</f>
        <v>21.0</v>
      </c>
    </row>
    <row r="81">
      <c r="A81" s="27" t="s">
        <v>42</v>
      </c>
      <c r="B81" s="27" t="s">
        <v>284</v>
      </c>
      <c r="C81" s="27" t="s">
        <v>285</v>
      </c>
      <c r="D81" s="27" t="s">
        <v>286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1.0</v>
      </c>
      <c r="K81" s="33" t="n">
        <f>25510</f>
        <v>25510.0</v>
      </c>
      <c r="L81" s="34" t="s">
        <v>48</v>
      </c>
      <c r="M81" s="33" t="n">
        <f>26230</f>
        <v>26230.0</v>
      </c>
      <c r="N81" s="34" t="s">
        <v>61</v>
      </c>
      <c r="O81" s="33" t="n">
        <f>20500</f>
        <v>20500.0</v>
      </c>
      <c r="P81" s="34" t="s">
        <v>99</v>
      </c>
      <c r="Q81" s="33" t="n">
        <f>20500</f>
        <v>20500.0</v>
      </c>
      <c r="R81" s="34" t="s">
        <v>99</v>
      </c>
      <c r="S81" s="35" t="n">
        <f>24097.27</f>
        <v>24097.27</v>
      </c>
      <c r="T81" s="32" t="n">
        <f>70</f>
        <v>70.0</v>
      </c>
      <c r="U81" s="32" t="str">
        <f>"－"</f>
        <v>－</v>
      </c>
      <c r="V81" s="32" t="n">
        <f>1713320</f>
        <v>1713320.0</v>
      </c>
      <c r="W81" s="32" t="str">
        <f>"－"</f>
        <v>－</v>
      </c>
      <c r="X81" s="36" t="n">
        <f>11</f>
        <v>11.0</v>
      </c>
    </row>
    <row r="82">
      <c r="A82" s="27" t="s">
        <v>42</v>
      </c>
      <c r="B82" s="27" t="s">
        <v>287</v>
      </c>
      <c r="C82" s="27" t="s">
        <v>288</v>
      </c>
      <c r="D82" s="27" t="s">
        <v>289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1.0</v>
      </c>
      <c r="K82" s="33" t="n">
        <f>21710</f>
        <v>21710.0</v>
      </c>
      <c r="L82" s="34" t="s">
        <v>48</v>
      </c>
      <c r="M82" s="33" t="n">
        <f>22990</f>
        <v>22990.0</v>
      </c>
      <c r="N82" s="34" t="s">
        <v>290</v>
      </c>
      <c r="O82" s="33" t="n">
        <f>21280</f>
        <v>21280.0</v>
      </c>
      <c r="P82" s="34" t="s">
        <v>291</v>
      </c>
      <c r="Q82" s="33" t="n">
        <f>22790</f>
        <v>22790.0</v>
      </c>
      <c r="R82" s="34" t="s">
        <v>51</v>
      </c>
      <c r="S82" s="35" t="n">
        <f>22046.67</f>
        <v>22046.67</v>
      </c>
      <c r="T82" s="32" t="n">
        <f>95109</f>
        <v>95109.0</v>
      </c>
      <c r="U82" s="32" t="n">
        <f>92000</f>
        <v>92000.0</v>
      </c>
      <c r="V82" s="32" t="n">
        <f>2075747930</f>
        <v>2.07574793E9</v>
      </c>
      <c r="W82" s="32" t="n">
        <f>2007683800</f>
        <v>2.0076838E9</v>
      </c>
      <c r="X82" s="36" t="n">
        <f>21</f>
        <v>21.0</v>
      </c>
    </row>
    <row r="83">
      <c r="A83" s="27" t="s">
        <v>42</v>
      </c>
      <c r="B83" s="27" t="s">
        <v>292</v>
      </c>
      <c r="C83" s="27" t="s">
        <v>293</v>
      </c>
      <c r="D83" s="27" t="s">
        <v>294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1.0</v>
      </c>
      <c r="K83" s="33" t="n">
        <f>19120</f>
        <v>19120.0</v>
      </c>
      <c r="L83" s="34" t="s">
        <v>48</v>
      </c>
      <c r="M83" s="33" t="n">
        <f>22000</f>
        <v>22000.0</v>
      </c>
      <c r="N83" s="34" t="s">
        <v>277</v>
      </c>
      <c r="O83" s="33" t="n">
        <f>18610</f>
        <v>18610.0</v>
      </c>
      <c r="P83" s="34" t="s">
        <v>66</v>
      </c>
      <c r="Q83" s="33" t="n">
        <f>19800</f>
        <v>19800.0</v>
      </c>
      <c r="R83" s="34" t="s">
        <v>51</v>
      </c>
      <c r="S83" s="35" t="n">
        <f>19456</f>
        <v>19456.0</v>
      </c>
      <c r="T83" s="32" t="n">
        <f>97112</f>
        <v>97112.0</v>
      </c>
      <c r="U83" s="32" t="n">
        <f>77000</f>
        <v>77000.0</v>
      </c>
      <c r="V83" s="32" t="n">
        <f>1883407740</f>
        <v>1.88340774E9</v>
      </c>
      <c r="W83" s="32" t="n">
        <f>1490790000</f>
        <v>1.49079E9</v>
      </c>
      <c r="X83" s="36" t="n">
        <f>20</f>
        <v>20.0</v>
      </c>
    </row>
    <row r="84">
      <c r="A84" s="27" t="s">
        <v>42</v>
      </c>
      <c r="B84" s="27" t="s">
        <v>295</v>
      </c>
      <c r="C84" s="27" t="s">
        <v>296</v>
      </c>
      <c r="D84" s="27" t="s">
        <v>297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10.0</v>
      </c>
      <c r="K84" s="33" t="n">
        <f>2060</f>
        <v>2060.0</v>
      </c>
      <c r="L84" s="34" t="s">
        <v>48</v>
      </c>
      <c r="M84" s="33" t="n">
        <f>2169</f>
        <v>2169.0</v>
      </c>
      <c r="N84" s="34" t="s">
        <v>48</v>
      </c>
      <c r="O84" s="33" t="n">
        <f>1184</f>
        <v>1184.0</v>
      </c>
      <c r="P84" s="34" t="s">
        <v>66</v>
      </c>
      <c r="Q84" s="33" t="n">
        <f>1620</f>
        <v>1620.0</v>
      </c>
      <c r="R84" s="34" t="s">
        <v>51</v>
      </c>
      <c r="S84" s="35" t="n">
        <f>1763.76</f>
        <v>1763.76</v>
      </c>
      <c r="T84" s="32" t="n">
        <f>2336030</f>
        <v>2336030.0</v>
      </c>
      <c r="U84" s="32" t="n">
        <f>557300</f>
        <v>557300.0</v>
      </c>
      <c r="V84" s="32" t="n">
        <f>4367524985</f>
        <v>4.367524985E9</v>
      </c>
      <c r="W84" s="32" t="n">
        <f>1013588495</f>
        <v>1.013588495E9</v>
      </c>
      <c r="X84" s="36" t="n">
        <f>21</f>
        <v>21.0</v>
      </c>
    </row>
    <row r="85">
      <c r="A85" s="27" t="s">
        <v>42</v>
      </c>
      <c r="B85" s="27" t="s">
        <v>298</v>
      </c>
      <c r="C85" s="27" t="s">
        <v>299</v>
      </c>
      <c r="D85" s="27" t="s">
        <v>300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1.0</v>
      </c>
      <c r="K85" s="33" t="n">
        <f>29840</f>
        <v>29840.0</v>
      </c>
      <c r="L85" s="34" t="s">
        <v>48</v>
      </c>
      <c r="M85" s="33" t="n">
        <f>30900</f>
        <v>30900.0</v>
      </c>
      <c r="N85" s="34" t="s">
        <v>49</v>
      </c>
      <c r="O85" s="33" t="n">
        <f>23320</f>
        <v>23320.0</v>
      </c>
      <c r="P85" s="34" t="s">
        <v>50</v>
      </c>
      <c r="Q85" s="33" t="n">
        <f>27030</f>
        <v>27030.0</v>
      </c>
      <c r="R85" s="34" t="s">
        <v>51</v>
      </c>
      <c r="S85" s="35" t="n">
        <f>26976.19</f>
        <v>26976.19</v>
      </c>
      <c r="T85" s="32" t="n">
        <f>92864</f>
        <v>92864.0</v>
      </c>
      <c r="U85" s="32" t="n">
        <f>61</f>
        <v>61.0</v>
      </c>
      <c r="V85" s="32" t="n">
        <f>2491675610</f>
        <v>2.49167561E9</v>
      </c>
      <c r="W85" s="32" t="n">
        <f>1633810</f>
        <v>1633810.0</v>
      </c>
      <c r="X85" s="36" t="n">
        <f>21</f>
        <v>21.0</v>
      </c>
    </row>
    <row r="86">
      <c r="A86" s="27" t="s">
        <v>42</v>
      </c>
      <c r="B86" s="27" t="s">
        <v>301</v>
      </c>
      <c r="C86" s="27" t="s">
        <v>302</v>
      </c>
      <c r="D86" s="27" t="s">
        <v>303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10.0</v>
      </c>
      <c r="K86" s="33" t="n">
        <f>9010</f>
        <v>9010.0</v>
      </c>
      <c r="L86" s="34" t="s">
        <v>48</v>
      </c>
      <c r="M86" s="33" t="n">
        <f>9050</f>
        <v>9050.0</v>
      </c>
      <c r="N86" s="34" t="s">
        <v>168</v>
      </c>
      <c r="O86" s="33" t="n">
        <f>8650</f>
        <v>8650.0</v>
      </c>
      <c r="P86" s="34" t="s">
        <v>107</v>
      </c>
      <c r="Q86" s="33" t="n">
        <f>8860</f>
        <v>8860.0</v>
      </c>
      <c r="R86" s="34" t="s">
        <v>99</v>
      </c>
      <c r="S86" s="35" t="n">
        <f>8909.09</f>
        <v>8909.09</v>
      </c>
      <c r="T86" s="32" t="n">
        <f>200920</f>
        <v>200920.0</v>
      </c>
      <c r="U86" s="32" t="n">
        <f>200000</f>
        <v>200000.0</v>
      </c>
      <c r="V86" s="32" t="n">
        <f>1800349800</f>
        <v>1.8003498E9</v>
      </c>
      <c r="W86" s="32" t="n">
        <f>1792116000</f>
        <v>1.792116E9</v>
      </c>
      <c r="X86" s="36" t="n">
        <f>11</f>
        <v>11.0</v>
      </c>
    </row>
    <row r="87">
      <c r="A87" s="27" t="s">
        <v>42</v>
      </c>
      <c r="B87" s="27" t="s">
        <v>304</v>
      </c>
      <c r="C87" s="27" t="s">
        <v>305</v>
      </c>
      <c r="D87" s="27" t="s">
        <v>306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12150</f>
        <v>12150.0</v>
      </c>
      <c r="L87" s="34" t="s">
        <v>48</v>
      </c>
      <c r="M87" s="33" t="n">
        <f>12730</f>
        <v>12730.0</v>
      </c>
      <c r="N87" s="34" t="s">
        <v>49</v>
      </c>
      <c r="O87" s="33" t="n">
        <f>9400</f>
        <v>9400.0</v>
      </c>
      <c r="P87" s="34" t="s">
        <v>50</v>
      </c>
      <c r="Q87" s="33" t="n">
        <f>11380</f>
        <v>11380.0</v>
      </c>
      <c r="R87" s="34" t="s">
        <v>51</v>
      </c>
      <c r="S87" s="35" t="n">
        <f>11071.43</f>
        <v>11071.43</v>
      </c>
      <c r="T87" s="32" t="n">
        <f>3037</f>
        <v>3037.0</v>
      </c>
      <c r="U87" s="32" t="str">
        <f>"－"</f>
        <v>－</v>
      </c>
      <c r="V87" s="32" t="n">
        <f>34309460</f>
        <v>3.430946E7</v>
      </c>
      <c r="W87" s="32" t="str">
        <f>"－"</f>
        <v>－</v>
      </c>
      <c r="X87" s="36" t="n">
        <f>21</f>
        <v>21.0</v>
      </c>
    </row>
    <row r="88">
      <c r="A88" s="27" t="s">
        <v>42</v>
      </c>
      <c r="B88" s="27" t="s">
        <v>307</v>
      </c>
      <c r="C88" s="27" t="s">
        <v>308</v>
      </c>
      <c r="D88" s="27" t="s">
        <v>309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11910</f>
        <v>11910.0</v>
      </c>
      <c r="L88" s="34" t="s">
        <v>48</v>
      </c>
      <c r="M88" s="33" t="n">
        <f>12810</f>
        <v>12810.0</v>
      </c>
      <c r="N88" s="34" t="s">
        <v>49</v>
      </c>
      <c r="O88" s="33" t="n">
        <f>9500</f>
        <v>9500.0</v>
      </c>
      <c r="P88" s="34" t="s">
        <v>107</v>
      </c>
      <c r="Q88" s="33" t="n">
        <f>10540</f>
        <v>10540.0</v>
      </c>
      <c r="R88" s="34" t="s">
        <v>51</v>
      </c>
      <c r="S88" s="35" t="n">
        <f>10966.5</f>
        <v>10966.5</v>
      </c>
      <c r="T88" s="32" t="n">
        <f>4849</f>
        <v>4849.0</v>
      </c>
      <c r="U88" s="32" t="str">
        <f>"－"</f>
        <v>－</v>
      </c>
      <c r="V88" s="32" t="n">
        <f>55442110</f>
        <v>5.544211E7</v>
      </c>
      <c r="W88" s="32" t="str">
        <f>"－"</f>
        <v>－</v>
      </c>
      <c r="X88" s="36" t="n">
        <f>20</f>
        <v>20.0</v>
      </c>
    </row>
    <row r="89">
      <c r="A89" s="27" t="s">
        <v>42</v>
      </c>
      <c r="B89" s="27" t="s">
        <v>310</v>
      </c>
      <c r="C89" s="27" t="s">
        <v>311</v>
      </c>
      <c r="D89" s="27" t="s">
        <v>312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1.0</v>
      </c>
      <c r="K89" s="33" t="n">
        <f>16000</f>
        <v>16000.0</v>
      </c>
      <c r="L89" s="34" t="s">
        <v>48</v>
      </c>
      <c r="M89" s="33" t="n">
        <f>16550</f>
        <v>16550.0</v>
      </c>
      <c r="N89" s="34" t="s">
        <v>49</v>
      </c>
      <c r="O89" s="33" t="n">
        <f>12850</f>
        <v>12850.0</v>
      </c>
      <c r="P89" s="34" t="s">
        <v>50</v>
      </c>
      <c r="Q89" s="33" t="n">
        <f>15000</f>
        <v>15000.0</v>
      </c>
      <c r="R89" s="34" t="s">
        <v>51</v>
      </c>
      <c r="S89" s="35" t="n">
        <f>14737.14</f>
        <v>14737.14</v>
      </c>
      <c r="T89" s="32" t="n">
        <f>6182</f>
        <v>6182.0</v>
      </c>
      <c r="U89" s="32" t="n">
        <f>2900</f>
        <v>2900.0</v>
      </c>
      <c r="V89" s="32" t="n">
        <f>88576530</f>
        <v>8.857653E7</v>
      </c>
      <c r="W89" s="32" t="n">
        <f>42180500</f>
        <v>4.21805E7</v>
      </c>
      <c r="X89" s="36" t="n">
        <f>21</f>
        <v>21.0</v>
      </c>
    </row>
    <row r="90">
      <c r="A90" s="27" t="s">
        <v>42</v>
      </c>
      <c r="B90" s="27" t="s">
        <v>313</v>
      </c>
      <c r="C90" s="27" t="s">
        <v>314</v>
      </c>
      <c r="D90" s="27" t="s">
        <v>315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10.0</v>
      </c>
      <c r="K90" s="33" t="n">
        <f>11070</f>
        <v>11070.0</v>
      </c>
      <c r="L90" s="34" t="s">
        <v>48</v>
      </c>
      <c r="M90" s="33" t="n">
        <f>11350</f>
        <v>11350.0</v>
      </c>
      <c r="N90" s="34" t="s">
        <v>103</v>
      </c>
      <c r="O90" s="33" t="n">
        <f>7230</f>
        <v>7230.0</v>
      </c>
      <c r="P90" s="34" t="s">
        <v>62</v>
      </c>
      <c r="Q90" s="33" t="n">
        <f>9000</f>
        <v>9000.0</v>
      </c>
      <c r="R90" s="34" t="s">
        <v>51</v>
      </c>
      <c r="S90" s="35" t="n">
        <f>9644.76</f>
        <v>9644.76</v>
      </c>
      <c r="T90" s="32" t="n">
        <f>21320</f>
        <v>21320.0</v>
      </c>
      <c r="U90" s="32" t="n">
        <f>10</f>
        <v>10.0</v>
      </c>
      <c r="V90" s="32" t="n">
        <f>192883800</f>
        <v>1.928838E8</v>
      </c>
      <c r="W90" s="32" t="n">
        <f>94700</f>
        <v>94700.0</v>
      </c>
      <c r="X90" s="36" t="n">
        <f>21</f>
        <v>21.0</v>
      </c>
    </row>
    <row r="91">
      <c r="A91" s="27" t="s">
        <v>42</v>
      </c>
      <c r="B91" s="27" t="s">
        <v>316</v>
      </c>
      <c r="C91" s="27" t="s">
        <v>317</v>
      </c>
      <c r="D91" s="27" t="s">
        <v>318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1.0</v>
      </c>
      <c r="K91" s="33" t="n">
        <f>2596</f>
        <v>2596.0</v>
      </c>
      <c r="L91" s="34" t="s">
        <v>48</v>
      </c>
      <c r="M91" s="33" t="n">
        <f>2670</f>
        <v>2670.0</v>
      </c>
      <c r="N91" s="34" t="s">
        <v>277</v>
      </c>
      <c r="O91" s="33" t="n">
        <f>2050</f>
        <v>2050.0</v>
      </c>
      <c r="P91" s="34" t="s">
        <v>62</v>
      </c>
      <c r="Q91" s="33" t="n">
        <f>2410</f>
        <v>2410.0</v>
      </c>
      <c r="R91" s="34" t="s">
        <v>51</v>
      </c>
      <c r="S91" s="35" t="n">
        <f>2410.9</f>
        <v>2410.9</v>
      </c>
      <c r="T91" s="32" t="n">
        <f>416274</f>
        <v>416274.0</v>
      </c>
      <c r="U91" s="32" t="n">
        <f>83446</f>
        <v>83446.0</v>
      </c>
      <c r="V91" s="32" t="n">
        <f>1031251259</f>
        <v>1.031251259E9</v>
      </c>
      <c r="W91" s="32" t="n">
        <f>204971199</f>
        <v>2.04971199E8</v>
      </c>
      <c r="X91" s="36" t="n">
        <f>21</f>
        <v>21.0</v>
      </c>
    </row>
    <row r="92">
      <c r="A92" s="27" t="s">
        <v>42</v>
      </c>
      <c r="B92" s="27" t="s">
        <v>319</v>
      </c>
      <c r="C92" s="27" t="s">
        <v>320</v>
      </c>
      <c r="D92" s="27" t="s">
        <v>321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1.0</v>
      </c>
      <c r="K92" s="33" t="n">
        <f>2350</f>
        <v>2350.0</v>
      </c>
      <c r="L92" s="34" t="s">
        <v>48</v>
      </c>
      <c r="M92" s="33" t="n">
        <f>2376</f>
        <v>2376.0</v>
      </c>
      <c r="N92" s="34" t="s">
        <v>103</v>
      </c>
      <c r="O92" s="33" t="n">
        <f>1795</f>
        <v>1795.0</v>
      </c>
      <c r="P92" s="34" t="s">
        <v>182</v>
      </c>
      <c r="Q92" s="33" t="n">
        <f>2100</f>
        <v>2100.0</v>
      </c>
      <c r="R92" s="34" t="s">
        <v>51</v>
      </c>
      <c r="S92" s="35" t="n">
        <f>2125.62</f>
        <v>2125.62</v>
      </c>
      <c r="T92" s="32" t="n">
        <f>617219</f>
        <v>617219.0</v>
      </c>
      <c r="U92" s="32" t="n">
        <f>301189</f>
        <v>301189.0</v>
      </c>
      <c r="V92" s="32" t="n">
        <f>1305287467</f>
        <v>1.305287467E9</v>
      </c>
      <c r="W92" s="32" t="n">
        <f>650933263</f>
        <v>6.50933263E8</v>
      </c>
      <c r="X92" s="36" t="n">
        <f>21</f>
        <v>21.0</v>
      </c>
    </row>
    <row r="93">
      <c r="A93" s="27" t="s">
        <v>42</v>
      </c>
      <c r="B93" s="27" t="s">
        <v>322</v>
      </c>
      <c r="C93" s="27" t="s">
        <v>323</v>
      </c>
      <c r="D93" s="27" t="s">
        <v>324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1.0</v>
      </c>
      <c r="K93" s="33" t="n">
        <f>11440</f>
        <v>11440.0</v>
      </c>
      <c r="L93" s="34" t="s">
        <v>48</v>
      </c>
      <c r="M93" s="33" t="n">
        <f>11920</f>
        <v>11920.0</v>
      </c>
      <c r="N93" s="34" t="s">
        <v>49</v>
      </c>
      <c r="O93" s="33" t="n">
        <f>9370</f>
        <v>9370.0</v>
      </c>
      <c r="P93" s="34" t="s">
        <v>107</v>
      </c>
      <c r="Q93" s="33" t="n">
        <f>10850</f>
        <v>10850.0</v>
      </c>
      <c r="R93" s="34" t="s">
        <v>51</v>
      </c>
      <c r="S93" s="35" t="n">
        <f>10639.52</f>
        <v>10639.52</v>
      </c>
      <c r="T93" s="32" t="n">
        <f>12537</f>
        <v>12537.0</v>
      </c>
      <c r="U93" s="32" t="str">
        <f>"－"</f>
        <v>－</v>
      </c>
      <c r="V93" s="32" t="n">
        <f>141445580</f>
        <v>1.4144558E8</v>
      </c>
      <c r="W93" s="32" t="str">
        <f>"－"</f>
        <v>－</v>
      </c>
      <c r="X93" s="36" t="n">
        <f>21</f>
        <v>21.0</v>
      </c>
    </row>
    <row r="94">
      <c r="A94" s="27" t="s">
        <v>42</v>
      </c>
      <c r="B94" s="27" t="s">
        <v>325</v>
      </c>
      <c r="C94" s="27" t="s">
        <v>326</v>
      </c>
      <c r="D94" s="27" t="s">
        <v>327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1.0</v>
      </c>
      <c r="K94" s="33" t="n">
        <f>8920</f>
        <v>8920.0</v>
      </c>
      <c r="L94" s="34" t="s">
        <v>48</v>
      </c>
      <c r="M94" s="33" t="n">
        <f>9200</f>
        <v>9200.0</v>
      </c>
      <c r="N94" s="34" t="s">
        <v>328</v>
      </c>
      <c r="O94" s="33" t="n">
        <f>7760</f>
        <v>7760.0</v>
      </c>
      <c r="P94" s="34" t="s">
        <v>50</v>
      </c>
      <c r="Q94" s="33" t="n">
        <f>8800</f>
        <v>8800.0</v>
      </c>
      <c r="R94" s="34" t="s">
        <v>51</v>
      </c>
      <c r="S94" s="35" t="n">
        <f>8643.81</f>
        <v>8643.81</v>
      </c>
      <c r="T94" s="32" t="n">
        <f>2100</f>
        <v>2100.0</v>
      </c>
      <c r="U94" s="32" t="n">
        <f>455</f>
        <v>455.0</v>
      </c>
      <c r="V94" s="32" t="n">
        <f>18272860</f>
        <v>1.827286E7</v>
      </c>
      <c r="W94" s="32" t="n">
        <f>3964730</f>
        <v>3964730.0</v>
      </c>
      <c r="X94" s="36" t="n">
        <f>21</f>
        <v>21.0</v>
      </c>
    </row>
    <row r="95">
      <c r="A95" s="27" t="s">
        <v>42</v>
      </c>
      <c r="B95" s="27" t="s">
        <v>329</v>
      </c>
      <c r="C95" s="27" t="s">
        <v>330</v>
      </c>
      <c r="D95" s="27" t="s">
        <v>331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1.0</v>
      </c>
      <c r="K95" s="33" t="n">
        <f>5260</f>
        <v>5260.0</v>
      </c>
      <c r="L95" s="34" t="s">
        <v>48</v>
      </c>
      <c r="M95" s="33" t="n">
        <f>5770</f>
        <v>5770.0</v>
      </c>
      <c r="N95" s="34" t="s">
        <v>277</v>
      </c>
      <c r="O95" s="33" t="n">
        <f>4900</f>
        <v>4900.0</v>
      </c>
      <c r="P95" s="34" t="s">
        <v>50</v>
      </c>
      <c r="Q95" s="33" t="n">
        <f>5400</f>
        <v>5400.0</v>
      </c>
      <c r="R95" s="34" t="s">
        <v>51</v>
      </c>
      <c r="S95" s="35" t="n">
        <f>5317.62</f>
        <v>5317.62</v>
      </c>
      <c r="T95" s="32" t="n">
        <f>4176280</f>
        <v>4176280.0</v>
      </c>
      <c r="U95" s="32" t="n">
        <f>53611</f>
        <v>53611.0</v>
      </c>
      <c r="V95" s="32" t="n">
        <f>22299206531</f>
        <v>2.2299206531E10</v>
      </c>
      <c r="W95" s="32" t="n">
        <f>294702791</f>
        <v>2.94702791E8</v>
      </c>
      <c r="X95" s="36" t="n">
        <f>21</f>
        <v>21.0</v>
      </c>
    </row>
    <row r="96">
      <c r="A96" s="27" t="s">
        <v>42</v>
      </c>
      <c r="B96" s="27" t="s">
        <v>332</v>
      </c>
      <c r="C96" s="27" t="s">
        <v>333</v>
      </c>
      <c r="D96" s="27" t="s">
        <v>334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1.0</v>
      </c>
      <c r="K96" s="33" t="n">
        <f>2792</f>
        <v>2792.0</v>
      </c>
      <c r="L96" s="34" t="s">
        <v>48</v>
      </c>
      <c r="M96" s="33" t="n">
        <f>2900</f>
        <v>2900.0</v>
      </c>
      <c r="N96" s="34" t="s">
        <v>48</v>
      </c>
      <c r="O96" s="33" t="n">
        <f>2032</f>
        <v>2032.0</v>
      </c>
      <c r="P96" s="34" t="s">
        <v>66</v>
      </c>
      <c r="Q96" s="33" t="n">
        <f>2484</f>
        <v>2484.0</v>
      </c>
      <c r="R96" s="34" t="s">
        <v>51</v>
      </c>
      <c r="S96" s="35" t="n">
        <f>2558.1</f>
        <v>2558.1</v>
      </c>
      <c r="T96" s="32" t="n">
        <f>1069037</f>
        <v>1069037.0</v>
      </c>
      <c r="U96" s="32" t="n">
        <f>614</f>
        <v>614.0</v>
      </c>
      <c r="V96" s="32" t="n">
        <f>2585930337</f>
        <v>2.585930337E9</v>
      </c>
      <c r="W96" s="32" t="n">
        <f>1357021</f>
        <v>1357021.0</v>
      </c>
      <c r="X96" s="36" t="n">
        <f>21</f>
        <v>21.0</v>
      </c>
    </row>
    <row r="97">
      <c r="A97" s="27" t="s">
        <v>42</v>
      </c>
      <c r="B97" s="27" t="s">
        <v>335</v>
      </c>
      <c r="C97" s="27" t="s">
        <v>336</v>
      </c>
      <c r="D97" s="27" t="s">
        <v>337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1.0</v>
      </c>
      <c r="K97" s="33" t="n">
        <f>5350</f>
        <v>5350.0</v>
      </c>
      <c r="L97" s="34" t="s">
        <v>48</v>
      </c>
      <c r="M97" s="33" t="n">
        <f>5570</f>
        <v>5570.0</v>
      </c>
      <c r="N97" s="34" t="s">
        <v>61</v>
      </c>
      <c r="O97" s="33" t="n">
        <f>3990</f>
        <v>3990.0</v>
      </c>
      <c r="P97" s="34" t="s">
        <v>66</v>
      </c>
      <c r="Q97" s="33" t="n">
        <f>4825</f>
        <v>4825.0</v>
      </c>
      <c r="R97" s="34" t="s">
        <v>51</v>
      </c>
      <c r="S97" s="35" t="n">
        <f>4927.62</f>
        <v>4927.62</v>
      </c>
      <c r="T97" s="32" t="n">
        <f>195255</f>
        <v>195255.0</v>
      </c>
      <c r="U97" s="32" t="n">
        <f>245</f>
        <v>245.0</v>
      </c>
      <c r="V97" s="32" t="n">
        <f>932888987</f>
        <v>9.32888987E8</v>
      </c>
      <c r="W97" s="32" t="n">
        <f>1234857</f>
        <v>1234857.0</v>
      </c>
      <c r="X97" s="36" t="n">
        <f>21</f>
        <v>21.0</v>
      </c>
    </row>
    <row r="98">
      <c r="A98" s="27" t="s">
        <v>42</v>
      </c>
      <c r="B98" s="27" t="s">
        <v>338</v>
      </c>
      <c r="C98" s="27" t="s">
        <v>339</v>
      </c>
      <c r="D98" s="27" t="s">
        <v>340</v>
      </c>
      <c r="E98" s="28" t="s">
        <v>46</v>
      </c>
      <c r="F98" s="29" t="s">
        <v>46</v>
      </c>
      <c r="G98" s="30" t="s">
        <v>46</v>
      </c>
      <c r="H98" s="31"/>
      <c r="I98" s="31" t="s">
        <v>47</v>
      </c>
      <c r="J98" s="32" t="n">
        <v>1.0</v>
      </c>
      <c r="K98" s="33" t="n">
        <f>81300</f>
        <v>81300.0</v>
      </c>
      <c r="L98" s="34" t="s">
        <v>48</v>
      </c>
      <c r="M98" s="33" t="n">
        <f>87800</f>
        <v>87800.0</v>
      </c>
      <c r="N98" s="34" t="s">
        <v>48</v>
      </c>
      <c r="O98" s="33" t="n">
        <f>49150</f>
        <v>49150.0</v>
      </c>
      <c r="P98" s="34" t="s">
        <v>50</v>
      </c>
      <c r="Q98" s="33" t="n">
        <f>77800</f>
        <v>77800.0</v>
      </c>
      <c r="R98" s="34" t="s">
        <v>51</v>
      </c>
      <c r="S98" s="35" t="n">
        <f>70009.52</f>
        <v>70009.52</v>
      </c>
      <c r="T98" s="32" t="n">
        <f>10180</f>
        <v>10180.0</v>
      </c>
      <c r="U98" s="32" t="n">
        <f>34</f>
        <v>34.0</v>
      </c>
      <c r="V98" s="32" t="n">
        <f>702261950</f>
        <v>7.0226195E8</v>
      </c>
      <c r="W98" s="32" t="n">
        <f>2515600</f>
        <v>2515600.0</v>
      </c>
      <c r="X98" s="36" t="n">
        <f>21</f>
        <v>21.0</v>
      </c>
    </row>
    <row r="99">
      <c r="A99" s="27" t="s">
        <v>42</v>
      </c>
      <c r="B99" s="27" t="s">
        <v>341</v>
      </c>
      <c r="C99" s="27" t="s">
        <v>342</v>
      </c>
      <c r="D99" s="27" t="s">
        <v>343</v>
      </c>
      <c r="E99" s="28" t="s">
        <v>46</v>
      </c>
      <c r="F99" s="29" t="s">
        <v>46</v>
      </c>
      <c r="G99" s="30" t="s">
        <v>46</v>
      </c>
      <c r="H99" s="31"/>
      <c r="I99" s="31" t="s">
        <v>47</v>
      </c>
      <c r="J99" s="32" t="n">
        <v>10.0</v>
      </c>
      <c r="K99" s="33" t="n">
        <f>9130</f>
        <v>9130.0</v>
      </c>
      <c r="L99" s="34" t="s">
        <v>48</v>
      </c>
      <c r="M99" s="33" t="n">
        <f>9780</f>
        <v>9780.0</v>
      </c>
      <c r="N99" s="34" t="s">
        <v>49</v>
      </c>
      <c r="O99" s="33" t="n">
        <f>7380</f>
        <v>7380.0</v>
      </c>
      <c r="P99" s="34" t="s">
        <v>107</v>
      </c>
      <c r="Q99" s="33" t="n">
        <f>8630</f>
        <v>8630.0</v>
      </c>
      <c r="R99" s="34" t="s">
        <v>51</v>
      </c>
      <c r="S99" s="35" t="n">
        <f>8488.57</f>
        <v>8488.57</v>
      </c>
      <c r="T99" s="32" t="n">
        <f>1770000</f>
        <v>1770000.0</v>
      </c>
      <c r="U99" s="32" t="n">
        <f>87880</f>
        <v>87880.0</v>
      </c>
      <c r="V99" s="32" t="n">
        <f>15090152322</f>
        <v>1.5090152322E10</v>
      </c>
      <c r="W99" s="32" t="n">
        <f>726673022</f>
        <v>7.26673022E8</v>
      </c>
      <c r="X99" s="36" t="n">
        <f>21</f>
        <v>21.0</v>
      </c>
    </row>
    <row r="100">
      <c r="A100" s="27" t="s">
        <v>42</v>
      </c>
      <c r="B100" s="27" t="s">
        <v>344</v>
      </c>
      <c r="C100" s="27" t="s">
        <v>345</v>
      </c>
      <c r="D100" s="27" t="s">
        <v>346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1.0</v>
      </c>
      <c r="K100" s="33" t="n">
        <f>26960</f>
        <v>26960.0</v>
      </c>
      <c r="L100" s="34" t="s">
        <v>48</v>
      </c>
      <c r="M100" s="33" t="n">
        <f>28410</f>
        <v>28410.0</v>
      </c>
      <c r="N100" s="34" t="s">
        <v>49</v>
      </c>
      <c r="O100" s="33" t="n">
        <f>19540</f>
        <v>19540.0</v>
      </c>
      <c r="P100" s="34" t="s">
        <v>62</v>
      </c>
      <c r="Q100" s="33" t="n">
        <f>23430</f>
        <v>23430.0</v>
      </c>
      <c r="R100" s="34" t="s">
        <v>51</v>
      </c>
      <c r="S100" s="35" t="n">
        <f>23804.29</f>
        <v>23804.29</v>
      </c>
      <c r="T100" s="32" t="n">
        <f>892834</f>
        <v>892834.0</v>
      </c>
      <c r="U100" s="32" t="n">
        <f>46538</f>
        <v>46538.0</v>
      </c>
      <c r="V100" s="32" t="n">
        <f>21024579603</f>
        <v>2.1024579603E10</v>
      </c>
      <c r="W100" s="32" t="n">
        <f>1058528893</f>
        <v>1.058528893E9</v>
      </c>
      <c r="X100" s="36" t="n">
        <f>21</f>
        <v>21.0</v>
      </c>
    </row>
    <row r="101">
      <c r="A101" s="27" t="s">
        <v>42</v>
      </c>
      <c r="B101" s="27" t="s">
        <v>347</v>
      </c>
      <c r="C101" s="27" t="s">
        <v>348</v>
      </c>
      <c r="D101" s="27" t="s">
        <v>349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10.0</v>
      </c>
      <c r="K101" s="33" t="n">
        <f>3410</f>
        <v>3410.0</v>
      </c>
      <c r="L101" s="34" t="s">
        <v>48</v>
      </c>
      <c r="M101" s="33" t="n">
        <f>3635</f>
        <v>3635.0</v>
      </c>
      <c r="N101" s="34" t="s">
        <v>49</v>
      </c>
      <c r="O101" s="33" t="n">
        <f>2605</f>
        <v>2605.0</v>
      </c>
      <c r="P101" s="34" t="s">
        <v>62</v>
      </c>
      <c r="Q101" s="33" t="n">
        <f>3065</f>
        <v>3065.0</v>
      </c>
      <c r="R101" s="34" t="s">
        <v>51</v>
      </c>
      <c r="S101" s="35" t="n">
        <f>3080</f>
        <v>3080.0</v>
      </c>
      <c r="T101" s="32" t="n">
        <f>5271820</f>
        <v>5271820.0</v>
      </c>
      <c r="U101" s="32" t="n">
        <f>1905690</f>
        <v>1905690.0</v>
      </c>
      <c r="V101" s="32" t="n">
        <f>16281157118</f>
        <v>1.6281157118E10</v>
      </c>
      <c r="W101" s="32" t="n">
        <f>5800692018</f>
        <v>5.800692018E9</v>
      </c>
      <c r="X101" s="36" t="n">
        <f>21</f>
        <v>21.0</v>
      </c>
    </row>
    <row r="102">
      <c r="A102" s="27" t="s">
        <v>42</v>
      </c>
      <c r="B102" s="27" t="s">
        <v>350</v>
      </c>
      <c r="C102" s="27" t="s">
        <v>351</v>
      </c>
      <c r="D102" s="27" t="s">
        <v>352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10.0</v>
      </c>
      <c r="K102" s="33" t="n">
        <f>2340</f>
        <v>2340.0</v>
      </c>
      <c r="L102" s="34" t="s">
        <v>48</v>
      </c>
      <c r="M102" s="33" t="n">
        <f>2520</f>
        <v>2520.0</v>
      </c>
      <c r="N102" s="34" t="s">
        <v>49</v>
      </c>
      <c r="O102" s="33" t="n">
        <f>1755</f>
        <v>1755.0</v>
      </c>
      <c r="P102" s="34" t="s">
        <v>62</v>
      </c>
      <c r="Q102" s="33" t="n">
        <f>2042</f>
        <v>2042.0</v>
      </c>
      <c r="R102" s="34" t="s">
        <v>51</v>
      </c>
      <c r="S102" s="35" t="n">
        <f>2086.1</f>
        <v>2086.1</v>
      </c>
      <c r="T102" s="32" t="n">
        <f>570740</f>
        <v>570740.0</v>
      </c>
      <c r="U102" s="32" t="n">
        <f>22250</f>
        <v>22250.0</v>
      </c>
      <c r="V102" s="32" t="n">
        <f>1197731490</f>
        <v>1.19773149E9</v>
      </c>
      <c r="W102" s="32" t="n">
        <f>50923650</f>
        <v>5.092365E7</v>
      </c>
      <c r="X102" s="36" t="n">
        <f>21</f>
        <v>21.0</v>
      </c>
    </row>
    <row r="103">
      <c r="A103" s="27" t="s">
        <v>42</v>
      </c>
      <c r="B103" s="27" t="s">
        <v>353</v>
      </c>
      <c r="C103" s="27" t="s">
        <v>354</v>
      </c>
      <c r="D103" s="27" t="s">
        <v>355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10.0</v>
      </c>
      <c r="K103" s="33" t="n">
        <f>3665</f>
        <v>3665.0</v>
      </c>
      <c r="L103" s="34" t="s">
        <v>48</v>
      </c>
      <c r="M103" s="33" t="n">
        <f>4085</f>
        <v>4085.0</v>
      </c>
      <c r="N103" s="34" t="s">
        <v>49</v>
      </c>
      <c r="O103" s="33" t="n">
        <f>2900</f>
        <v>2900.0</v>
      </c>
      <c r="P103" s="34" t="s">
        <v>50</v>
      </c>
      <c r="Q103" s="33" t="n">
        <f>3260</f>
        <v>3260.0</v>
      </c>
      <c r="R103" s="34" t="s">
        <v>51</v>
      </c>
      <c r="S103" s="35" t="n">
        <f>3381.43</f>
        <v>3381.43</v>
      </c>
      <c r="T103" s="32" t="n">
        <f>63960</f>
        <v>63960.0</v>
      </c>
      <c r="U103" s="32" t="n">
        <f>130</f>
        <v>130.0</v>
      </c>
      <c r="V103" s="32" t="n">
        <f>217571030</f>
        <v>2.1757103E8</v>
      </c>
      <c r="W103" s="32" t="n">
        <f>455000</f>
        <v>455000.0</v>
      </c>
      <c r="X103" s="36" t="n">
        <f>21</f>
        <v>21.0</v>
      </c>
    </row>
    <row r="104">
      <c r="A104" s="27" t="s">
        <v>42</v>
      </c>
      <c r="B104" s="27" t="s">
        <v>356</v>
      </c>
      <c r="C104" s="27" t="s">
        <v>357</v>
      </c>
      <c r="D104" s="27" t="s">
        <v>358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1.0</v>
      </c>
      <c r="K104" s="33" t="n">
        <f>8140</f>
        <v>8140.0</v>
      </c>
      <c r="L104" s="34" t="s">
        <v>48</v>
      </c>
      <c r="M104" s="33" t="n">
        <f>27080</f>
        <v>27080.0</v>
      </c>
      <c r="N104" s="34" t="s">
        <v>66</v>
      </c>
      <c r="O104" s="33" t="n">
        <f>7460</f>
        <v>7460.0</v>
      </c>
      <c r="P104" s="34" t="s">
        <v>49</v>
      </c>
      <c r="Q104" s="33" t="n">
        <f>17020</f>
        <v>17020.0</v>
      </c>
      <c r="R104" s="34" t="s">
        <v>51</v>
      </c>
      <c r="S104" s="35" t="n">
        <f>15016.67</f>
        <v>15016.67</v>
      </c>
      <c r="T104" s="32" t="n">
        <f>22274546</f>
        <v>2.2274546E7</v>
      </c>
      <c r="U104" s="32" t="n">
        <f>94967</f>
        <v>94967.0</v>
      </c>
      <c r="V104" s="32" t="n">
        <f>328655905413</f>
        <v>3.28655905413E11</v>
      </c>
      <c r="W104" s="32" t="n">
        <f>1324852203</f>
        <v>1.324852203E9</v>
      </c>
      <c r="X104" s="36" t="n">
        <f>21</f>
        <v>21.0</v>
      </c>
    </row>
    <row r="105">
      <c r="A105" s="27" t="s">
        <v>42</v>
      </c>
      <c r="B105" s="27" t="s">
        <v>359</v>
      </c>
      <c r="C105" s="27" t="s">
        <v>360</v>
      </c>
      <c r="D105" s="27" t="s">
        <v>361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10.0</v>
      </c>
      <c r="K105" s="33" t="n">
        <f>2000</f>
        <v>2000.0</v>
      </c>
      <c r="L105" s="34" t="s">
        <v>48</v>
      </c>
      <c r="M105" s="33" t="n">
        <f>2165</f>
        <v>2165.0</v>
      </c>
      <c r="N105" s="34" t="s">
        <v>49</v>
      </c>
      <c r="O105" s="33" t="n">
        <f>1531</f>
        <v>1531.0</v>
      </c>
      <c r="P105" s="34" t="s">
        <v>62</v>
      </c>
      <c r="Q105" s="33" t="n">
        <f>1770</f>
        <v>1770.0</v>
      </c>
      <c r="R105" s="34" t="s">
        <v>51</v>
      </c>
      <c r="S105" s="35" t="n">
        <f>1827</f>
        <v>1827.0</v>
      </c>
      <c r="T105" s="32" t="n">
        <f>333640</f>
        <v>333640.0</v>
      </c>
      <c r="U105" s="32" t="n">
        <f>7570</f>
        <v>7570.0</v>
      </c>
      <c r="V105" s="32" t="n">
        <f>598712380</f>
        <v>5.9871238E8</v>
      </c>
      <c r="W105" s="32" t="n">
        <f>14147410</f>
        <v>1.414741E7</v>
      </c>
      <c r="X105" s="36" t="n">
        <f>21</f>
        <v>21.0</v>
      </c>
    </row>
    <row r="106">
      <c r="A106" s="27" t="s">
        <v>42</v>
      </c>
      <c r="B106" s="27" t="s">
        <v>362</v>
      </c>
      <c r="C106" s="27" t="s">
        <v>363</v>
      </c>
      <c r="D106" s="27" t="s">
        <v>364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10.0</v>
      </c>
      <c r="K106" s="33" t="n">
        <f>1550</f>
        <v>1550.0</v>
      </c>
      <c r="L106" s="34" t="s">
        <v>48</v>
      </c>
      <c r="M106" s="33" t="n">
        <f>1592</f>
        <v>1592.0</v>
      </c>
      <c r="N106" s="34" t="s">
        <v>103</v>
      </c>
      <c r="O106" s="33" t="n">
        <f>789</f>
        <v>789.0</v>
      </c>
      <c r="P106" s="34" t="s">
        <v>62</v>
      </c>
      <c r="Q106" s="33" t="n">
        <f>960</f>
        <v>960.0</v>
      </c>
      <c r="R106" s="34" t="s">
        <v>51</v>
      </c>
      <c r="S106" s="35" t="n">
        <f>1184.9</f>
        <v>1184.9</v>
      </c>
      <c r="T106" s="32" t="n">
        <f>1321290</f>
        <v>1321290.0</v>
      </c>
      <c r="U106" s="32" t="n">
        <f>36190</f>
        <v>36190.0</v>
      </c>
      <c r="V106" s="32" t="n">
        <f>1398401220</f>
        <v>1.39840122E9</v>
      </c>
      <c r="W106" s="32" t="n">
        <f>51424360</f>
        <v>5.142436E7</v>
      </c>
      <c r="X106" s="36" t="n">
        <f>21</f>
        <v>21.0</v>
      </c>
    </row>
    <row r="107">
      <c r="A107" s="27" t="s">
        <v>42</v>
      </c>
      <c r="B107" s="27" t="s">
        <v>365</v>
      </c>
      <c r="C107" s="27" t="s">
        <v>366</v>
      </c>
      <c r="D107" s="27" t="s">
        <v>367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1.0</v>
      </c>
      <c r="K107" s="33" t="n">
        <f>31550</f>
        <v>31550.0</v>
      </c>
      <c r="L107" s="34" t="s">
        <v>48</v>
      </c>
      <c r="M107" s="33" t="n">
        <f>33650</f>
        <v>33650.0</v>
      </c>
      <c r="N107" s="34" t="s">
        <v>49</v>
      </c>
      <c r="O107" s="33" t="n">
        <f>24000</f>
        <v>24000.0</v>
      </c>
      <c r="P107" s="34" t="s">
        <v>62</v>
      </c>
      <c r="Q107" s="33" t="n">
        <f>28240</f>
        <v>28240.0</v>
      </c>
      <c r="R107" s="34" t="s">
        <v>51</v>
      </c>
      <c r="S107" s="35" t="n">
        <f>28480.48</f>
        <v>28480.48</v>
      </c>
      <c r="T107" s="32" t="n">
        <f>751896</f>
        <v>751896.0</v>
      </c>
      <c r="U107" s="32" t="n">
        <f>71</f>
        <v>71.0</v>
      </c>
      <c r="V107" s="32" t="n">
        <f>21625234310</f>
        <v>2.162523431E10</v>
      </c>
      <c r="W107" s="32" t="n">
        <f>1856540</f>
        <v>1856540.0</v>
      </c>
      <c r="X107" s="36" t="n">
        <f>21</f>
        <v>21.0</v>
      </c>
    </row>
    <row r="108">
      <c r="A108" s="27" t="s">
        <v>42</v>
      </c>
      <c r="B108" s="27" t="s">
        <v>368</v>
      </c>
      <c r="C108" s="27" t="s">
        <v>369</v>
      </c>
      <c r="D108" s="27" t="s">
        <v>370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1.0</v>
      </c>
      <c r="K108" s="33" t="n">
        <f>2860</f>
        <v>2860.0</v>
      </c>
      <c r="L108" s="34" t="s">
        <v>48</v>
      </c>
      <c r="M108" s="33" t="n">
        <f>3065</f>
        <v>3065.0</v>
      </c>
      <c r="N108" s="34" t="s">
        <v>77</v>
      </c>
      <c r="O108" s="33" t="n">
        <f>2250</f>
        <v>2250.0</v>
      </c>
      <c r="P108" s="34" t="s">
        <v>182</v>
      </c>
      <c r="Q108" s="33" t="n">
        <f>2489</f>
        <v>2489.0</v>
      </c>
      <c r="R108" s="34" t="s">
        <v>51</v>
      </c>
      <c r="S108" s="35" t="n">
        <f>2618.29</f>
        <v>2618.29</v>
      </c>
      <c r="T108" s="32" t="n">
        <f>23203</f>
        <v>23203.0</v>
      </c>
      <c r="U108" s="32" t="n">
        <f>236</f>
        <v>236.0</v>
      </c>
      <c r="V108" s="32" t="n">
        <f>60857568</f>
        <v>6.0857568E7</v>
      </c>
      <c r="W108" s="32" t="n">
        <f>600657</f>
        <v>600657.0</v>
      </c>
      <c r="X108" s="36" t="n">
        <f>21</f>
        <v>21.0</v>
      </c>
    </row>
    <row r="109">
      <c r="A109" s="27" t="s">
        <v>42</v>
      </c>
      <c r="B109" s="27" t="s">
        <v>371</v>
      </c>
      <c r="C109" s="27" t="s">
        <v>372</v>
      </c>
      <c r="D109" s="27" t="s">
        <v>373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1.0</v>
      </c>
      <c r="K109" s="33" t="n">
        <f>3665</f>
        <v>3665.0</v>
      </c>
      <c r="L109" s="34" t="s">
        <v>48</v>
      </c>
      <c r="M109" s="33" t="n">
        <f>3775</f>
        <v>3775.0</v>
      </c>
      <c r="N109" s="34" t="s">
        <v>49</v>
      </c>
      <c r="O109" s="33" t="n">
        <f>2975</f>
        <v>2975.0</v>
      </c>
      <c r="P109" s="34" t="s">
        <v>62</v>
      </c>
      <c r="Q109" s="33" t="n">
        <f>3250</f>
        <v>3250.0</v>
      </c>
      <c r="R109" s="34" t="s">
        <v>51</v>
      </c>
      <c r="S109" s="35" t="n">
        <f>3327.62</f>
        <v>3327.62</v>
      </c>
      <c r="T109" s="32" t="n">
        <f>11181</f>
        <v>11181.0</v>
      </c>
      <c r="U109" s="32" t="n">
        <f>311</f>
        <v>311.0</v>
      </c>
      <c r="V109" s="32" t="n">
        <f>36867688</f>
        <v>3.6867688E7</v>
      </c>
      <c r="W109" s="32" t="n">
        <f>1021635</f>
        <v>1021635.0</v>
      </c>
      <c r="X109" s="36" t="n">
        <f>21</f>
        <v>21.0</v>
      </c>
    </row>
    <row r="110">
      <c r="A110" s="27" t="s">
        <v>42</v>
      </c>
      <c r="B110" s="27" t="s">
        <v>374</v>
      </c>
      <c r="C110" s="27" t="s">
        <v>375</v>
      </c>
      <c r="D110" s="27" t="s">
        <v>376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1.0</v>
      </c>
      <c r="K110" s="33" t="n">
        <f>2238</f>
        <v>2238.0</v>
      </c>
      <c r="L110" s="34" t="s">
        <v>48</v>
      </c>
      <c r="M110" s="33" t="n">
        <f>2358</f>
        <v>2358.0</v>
      </c>
      <c r="N110" s="34" t="s">
        <v>77</v>
      </c>
      <c r="O110" s="33" t="n">
        <f>1645</f>
        <v>1645.0</v>
      </c>
      <c r="P110" s="34" t="s">
        <v>107</v>
      </c>
      <c r="Q110" s="33" t="n">
        <f>1963</f>
        <v>1963.0</v>
      </c>
      <c r="R110" s="34" t="s">
        <v>51</v>
      </c>
      <c r="S110" s="35" t="n">
        <f>1985.71</f>
        <v>1985.71</v>
      </c>
      <c r="T110" s="32" t="n">
        <f>139896</f>
        <v>139896.0</v>
      </c>
      <c r="U110" s="32" t="n">
        <f>196</f>
        <v>196.0</v>
      </c>
      <c r="V110" s="32" t="n">
        <f>282515980</f>
        <v>2.8251598E8</v>
      </c>
      <c r="W110" s="32" t="n">
        <f>445249</f>
        <v>445249.0</v>
      </c>
      <c r="X110" s="36" t="n">
        <f>21</f>
        <v>21.0</v>
      </c>
    </row>
    <row r="111">
      <c r="A111" s="27" t="s">
        <v>42</v>
      </c>
      <c r="B111" s="27" t="s">
        <v>377</v>
      </c>
      <c r="C111" s="27" t="s">
        <v>378</v>
      </c>
      <c r="D111" s="27" t="s">
        <v>379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1.0</v>
      </c>
      <c r="K111" s="33" t="n">
        <f>46150</f>
        <v>46150.0</v>
      </c>
      <c r="L111" s="34" t="s">
        <v>48</v>
      </c>
      <c r="M111" s="33" t="n">
        <f>47100</f>
        <v>47100.0</v>
      </c>
      <c r="N111" s="34" t="s">
        <v>103</v>
      </c>
      <c r="O111" s="33" t="n">
        <f>40000</f>
        <v>40000.0</v>
      </c>
      <c r="P111" s="34" t="s">
        <v>62</v>
      </c>
      <c r="Q111" s="33" t="n">
        <f>41500</f>
        <v>41500.0</v>
      </c>
      <c r="R111" s="34" t="s">
        <v>51</v>
      </c>
      <c r="S111" s="35" t="n">
        <f>43090.48</f>
        <v>43090.48</v>
      </c>
      <c r="T111" s="32" t="n">
        <f>45285</f>
        <v>45285.0</v>
      </c>
      <c r="U111" s="32" t="n">
        <f>134</f>
        <v>134.0</v>
      </c>
      <c r="V111" s="32" t="n">
        <f>1968493145</f>
        <v>1.968493145E9</v>
      </c>
      <c r="W111" s="32" t="n">
        <f>5826995</f>
        <v>5826995.0</v>
      </c>
      <c r="X111" s="36" t="n">
        <f>21</f>
        <v>21.0</v>
      </c>
    </row>
    <row r="112">
      <c r="A112" s="27" t="s">
        <v>42</v>
      </c>
      <c r="B112" s="27" t="s">
        <v>380</v>
      </c>
      <c r="C112" s="27" t="s">
        <v>381</v>
      </c>
      <c r="D112" s="27" t="s">
        <v>382</v>
      </c>
      <c r="E112" s="28" t="s">
        <v>46</v>
      </c>
      <c r="F112" s="29" t="s">
        <v>46</v>
      </c>
      <c r="G112" s="30" t="s">
        <v>46</v>
      </c>
      <c r="H112" s="31"/>
      <c r="I112" s="31" t="s">
        <v>47</v>
      </c>
      <c r="J112" s="32" t="n">
        <v>10.0</v>
      </c>
      <c r="K112" s="33" t="n">
        <f>1132</f>
        <v>1132.0</v>
      </c>
      <c r="L112" s="34" t="s">
        <v>48</v>
      </c>
      <c r="M112" s="33" t="n">
        <f>1280</f>
        <v>1280.0</v>
      </c>
      <c r="N112" s="34" t="s">
        <v>49</v>
      </c>
      <c r="O112" s="33" t="n">
        <f>975</f>
        <v>975.0</v>
      </c>
      <c r="P112" s="34" t="s">
        <v>70</v>
      </c>
      <c r="Q112" s="33" t="n">
        <f>982</f>
        <v>982.0</v>
      </c>
      <c r="R112" s="34" t="s">
        <v>169</v>
      </c>
      <c r="S112" s="35" t="n">
        <f>1091.82</f>
        <v>1091.82</v>
      </c>
      <c r="T112" s="32" t="n">
        <f>4910</f>
        <v>4910.0</v>
      </c>
      <c r="U112" s="32" t="n">
        <f>210</f>
        <v>210.0</v>
      </c>
      <c r="V112" s="32" t="n">
        <f>5751180</f>
        <v>5751180.0</v>
      </c>
      <c r="W112" s="32" t="n">
        <f>258980</f>
        <v>258980.0</v>
      </c>
      <c r="X112" s="36" t="n">
        <f>11</f>
        <v>11.0</v>
      </c>
    </row>
    <row r="113">
      <c r="A113" s="27" t="s">
        <v>42</v>
      </c>
      <c r="B113" s="27" t="s">
        <v>383</v>
      </c>
      <c r="C113" s="27" t="s">
        <v>384</v>
      </c>
      <c r="D113" s="27" t="s">
        <v>385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10.0</v>
      </c>
      <c r="K113" s="33" t="n">
        <f>14120</f>
        <v>14120.0</v>
      </c>
      <c r="L113" s="34" t="s">
        <v>48</v>
      </c>
      <c r="M113" s="33" t="n">
        <f>15270</f>
        <v>15270.0</v>
      </c>
      <c r="N113" s="34" t="s">
        <v>49</v>
      </c>
      <c r="O113" s="33" t="n">
        <f>8930</f>
        <v>8930.0</v>
      </c>
      <c r="P113" s="34" t="s">
        <v>50</v>
      </c>
      <c r="Q113" s="33" t="n">
        <f>12420</f>
        <v>12420.0</v>
      </c>
      <c r="R113" s="34" t="s">
        <v>51</v>
      </c>
      <c r="S113" s="35" t="n">
        <f>12117.14</f>
        <v>12117.14</v>
      </c>
      <c r="T113" s="32" t="n">
        <f>8697740</f>
        <v>8697740.0</v>
      </c>
      <c r="U113" s="32" t="n">
        <f>60890</f>
        <v>60890.0</v>
      </c>
      <c r="V113" s="32" t="n">
        <f>102442294660</f>
        <v>1.0244229466E11</v>
      </c>
      <c r="W113" s="32" t="n">
        <f>751753560</f>
        <v>7.5175356E8</v>
      </c>
      <c r="X113" s="36" t="n">
        <f>21</f>
        <v>21.0</v>
      </c>
    </row>
    <row r="114">
      <c r="A114" s="27" t="s">
        <v>42</v>
      </c>
      <c r="B114" s="27" t="s">
        <v>386</v>
      </c>
      <c r="C114" s="27" t="s">
        <v>387</v>
      </c>
      <c r="D114" s="27" t="s">
        <v>388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10.0</v>
      </c>
      <c r="K114" s="33" t="n">
        <f>3295</f>
        <v>3295.0</v>
      </c>
      <c r="L114" s="34" t="s">
        <v>48</v>
      </c>
      <c r="M114" s="33" t="n">
        <f>4040</f>
        <v>4040.0</v>
      </c>
      <c r="N114" s="34" t="s">
        <v>50</v>
      </c>
      <c r="O114" s="33" t="n">
        <f>3140</f>
        <v>3140.0</v>
      </c>
      <c r="P114" s="34" t="s">
        <v>49</v>
      </c>
      <c r="Q114" s="33" t="n">
        <f>3355</f>
        <v>3355.0</v>
      </c>
      <c r="R114" s="34" t="s">
        <v>51</v>
      </c>
      <c r="S114" s="35" t="n">
        <f>3495</f>
        <v>3495.0</v>
      </c>
      <c r="T114" s="32" t="n">
        <f>2347690</f>
        <v>2347690.0</v>
      </c>
      <c r="U114" s="32" t="n">
        <f>756450</f>
        <v>756450.0</v>
      </c>
      <c r="V114" s="32" t="n">
        <f>8504339729</f>
        <v>8.504339729E9</v>
      </c>
      <c r="W114" s="32" t="n">
        <f>2765031279</f>
        <v>2.765031279E9</v>
      </c>
      <c r="X114" s="36" t="n">
        <f>21</f>
        <v>21.0</v>
      </c>
    </row>
    <row r="115">
      <c r="A115" s="27" t="s">
        <v>42</v>
      </c>
      <c r="B115" s="27" t="s">
        <v>389</v>
      </c>
      <c r="C115" s="27" t="s">
        <v>390</v>
      </c>
      <c r="D115" s="27" t="s">
        <v>391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1.0</v>
      </c>
      <c r="K115" s="33" t="n">
        <f>17230</f>
        <v>17230.0</v>
      </c>
      <c r="L115" s="34" t="s">
        <v>48</v>
      </c>
      <c r="M115" s="33" t="n">
        <f>18720</f>
        <v>18720.0</v>
      </c>
      <c r="N115" s="34" t="s">
        <v>49</v>
      </c>
      <c r="O115" s="33" t="n">
        <f>10330</f>
        <v>10330.0</v>
      </c>
      <c r="P115" s="34" t="s">
        <v>66</v>
      </c>
      <c r="Q115" s="33" t="n">
        <f>13890</f>
        <v>13890.0</v>
      </c>
      <c r="R115" s="34" t="s">
        <v>51</v>
      </c>
      <c r="S115" s="35" t="n">
        <f>14136.19</f>
        <v>14136.19</v>
      </c>
      <c r="T115" s="32" t="n">
        <f>488945691</f>
        <v>4.88945691E8</v>
      </c>
      <c r="U115" s="32" t="n">
        <f>213413</f>
        <v>213413.0</v>
      </c>
      <c r="V115" s="32" t="n">
        <f>6629412623510</f>
        <v>6.62941262351E12</v>
      </c>
      <c r="W115" s="32" t="n">
        <f>3191859530</f>
        <v>3.19185953E9</v>
      </c>
      <c r="X115" s="36" t="n">
        <f>21</f>
        <v>21.0</v>
      </c>
    </row>
    <row r="116">
      <c r="A116" s="27" t="s">
        <v>42</v>
      </c>
      <c r="B116" s="27" t="s">
        <v>392</v>
      </c>
      <c r="C116" s="27" t="s">
        <v>393</v>
      </c>
      <c r="D116" s="27" t="s">
        <v>394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1.0</v>
      </c>
      <c r="K116" s="33" t="n">
        <f>1585</f>
        <v>1585.0</v>
      </c>
      <c r="L116" s="34" t="s">
        <v>48</v>
      </c>
      <c r="M116" s="33" t="n">
        <f>1995</f>
        <v>1995.0</v>
      </c>
      <c r="N116" s="34" t="s">
        <v>66</v>
      </c>
      <c r="O116" s="33" t="n">
        <f>1517</f>
        <v>1517.0</v>
      </c>
      <c r="P116" s="34" t="s">
        <v>49</v>
      </c>
      <c r="Q116" s="33" t="n">
        <f>1691</f>
        <v>1691.0</v>
      </c>
      <c r="R116" s="34" t="s">
        <v>51</v>
      </c>
      <c r="S116" s="35" t="n">
        <f>1733.86</f>
        <v>1733.86</v>
      </c>
      <c r="T116" s="32" t="n">
        <f>53341081</f>
        <v>5.3341081E7</v>
      </c>
      <c r="U116" s="32" t="n">
        <f>1309908</f>
        <v>1309908.0</v>
      </c>
      <c r="V116" s="32" t="n">
        <f>93917373663</f>
        <v>9.3917373663E10</v>
      </c>
      <c r="W116" s="32" t="n">
        <f>2199735650</f>
        <v>2.19973565E9</v>
      </c>
      <c r="X116" s="36" t="n">
        <f>21</f>
        <v>21.0</v>
      </c>
    </row>
    <row r="117">
      <c r="A117" s="27" t="s">
        <v>42</v>
      </c>
      <c r="B117" s="27" t="s">
        <v>395</v>
      </c>
      <c r="C117" s="27" t="s">
        <v>396</v>
      </c>
      <c r="D117" s="27" t="s">
        <v>397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10.0</v>
      </c>
      <c r="K117" s="33" t="n">
        <f>10500</f>
        <v>10500.0</v>
      </c>
      <c r="L117" s="34" t="s">
        <v>48</v>
      </c>
      <c r="M117" s="33" t="n">
        <f>11500</f>
        <v>11500.0</v>
      </c>
      <c r="N117" s="34" t="s">
        <v>49</v>
      </c>
      <c r="O117" s="33" t="n">
        <f>7570</f>
        <v>7570.0</v>
      </c>
      <c r="P117" s="34" t="s">
        <v>50</v>
      </c>
      <c r="Q117" s="33" t="n">
        <f>9410</f>
        <v>9410.0</v>
      </c>
      <c r="R117" s="34" t="s">
        <v>51</v>
      </c>
      <c r="S117" s="35" t="n">
        <f>9392.86</f>
        <v>9392.86</v>
      </c>
      <c r="T117" s="32" t="n">
        <f>19250</f>
        <v>19250.0</v>
      </c>
      <c r="U117" s="32" t="n">
        <f>20</f>
        <v>20.0</v>
      </c>
      <c r="V117" s="32" t="n">
        <f>180235900</f>
        <v>1.802359E8</v>
      </c>
      <c r="W117" s="32" t="n">
        <f>191600</f>
        <v>191600.0</v>
      </c>
      <c r="X117" s="36" t="n">
        <f>21</f>
        <v>21.0</v>
      </c>
    </row>
    <row r="118">
      <c r="A118" s="27" t="s">
        <v>42</v>
      </c>
      <c r="B118" s="27" t="s">
        <v>398</v>
      </c>
      <c r="C118" s="27" t="s">
        <v>399</v>
      </c>
      <c r="D118" s="27" t="s">
        <v>400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10.0</v>
      </c>
      <c r="K118" s="33" t="n">
        <f>8050</f>
        <v>8050.0</v>
      </c>
      <c r="L118" s="34" t="s">
        <v>48</v>
      </c>
      <c r="M118" s="33" t="n">
        <f>9690</f>
        <v>9690.0</v>
      </c>
      <c r="N118" s="34" t="s">
        <v>66</v>
      </c>
      <c r="O118" s="33" t="n">
        <f>7470</f>
        <v>7470.0</v>
      </c>
      <c r="P118" s="34" t="s">
        <v>61</v>
      </c>
      <c r="Q118" s="33" t="n">
        <f>8240</f>
        <v>8240.0</v>
      </c>
      <c r="R118" s="34" t="s">
        <v>51</v>
      </c>
      <c r="S118" s="35" t="n">
        <f>8232.86</f>
        <v>8232.86</v>
      </c>
      <c r="T118" s="32" t="n">
        <f>93550</f>
        <v>93550.0</v>
      </c>
      <c r="U118" s="32" t="str">
        <f>"－"</f>
        <v>－</v>
      </c>
      <c r="V118" s="32" t="n">
        <f>778814800</f>
        <v>7.788148E8</v>
      </c>
      <c r="W118" s="32" t="str">
        <f>"－"</f>
        <v>－</v>
      </c>
      <c r="X118" s="36" t="n">
        <f>21</f>
        <v>21.0</v>
      </c>
    </row>
    <row r="119">
      <c r="A119" s="27" t="s">
        <v>42</v>
      </c>
      <c r="B119" s="27" t="s">
        <v>401</v>
      </c>
      <c r="C119" s="27" t="s">
        <v>402</v>
      </c>
      <c r="D119" s="27" t="s">
        <v>403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10.0</v>
      </c>
      <c r="K119" s="33" t="n">
        <f>1497</f>
        <v>1497.0</v>
      </c>
      <c r="L119" s="34" t="s">
        <v>48</v>
      </c>
      <c r="M119" s="33" t="n">
        <f>1497</f>
        <v>1497.0</v>
      </c>
      <c r="N119" s="34" t="s">
        <v>48</v>
      </c>
      <c r="O119" s="33" t="n">
        <f>1301</f>
        <v>1301.0</v>
      </c>
      <c r="P119" s="34" t="s">
        <v>50</v>
      </c>
      <c r="Q119" s="33" t="n">
        <f>1301</f>
        <v>1301.0</v>
      </c>
      <c r="R119" s="34" t="s">
        <v>50</v>
      </c>
      <c r="S119" s="35" t="n">
        <f>1420.67</f>
        <v>1420.67</v>
      </c>
      <c r="T119" s="32" t="n">
        <f>70</f>
        <v>70.0</v>
      </c>
      <c r="U119" s="32" t="str">
        <f>"－"</f>
        <v>－</v>
      </c>
      <c r="V119" s="32" t="n">
        <f>101560</f>
        <v>101560.0</v>
      </c>
      <c r="W119" s="32" t="str">
        <f>"－"</f>
        <v>－</v>
      </c>
      <c r="X119" s="36" t="n">
        <f>3</f>
        <v>3.0</v>
      </c>
    </row>
    <row r="120">
      <c r="A120" s="27" t="s">
        <v>42</v>
      </c>
      <c r="B120" s="27" t="s">
        <v>404</v>
      </c>
      <c r="C120" s="27" t="s">
        <v>405</v>
      </c>
      <c r="D120" s="27" t="s">
        <v>406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10.0</v>
      </c>
      <c r="K120" s="33" t="n">
        <f>654</f>
        <v>654.0</v>
      </c>
      <c r="L120" s="34" t="s">
        <v>48</v>
      </c>
      <c r="M120" s="33" t="n">
        <f>660</f>
        <v>660.0</v>
      </c>
      <c r="N120" s="34" t="s">
        <v>103</v>
      </c>
      <c r="O120" s="33" t="n">
        <f>531</f>
        <v>531.0</v>
      </c>
      <c r="P120" s="34" t="s">
        <v>107</v>
      </c>
      <c r="Q120" s="33" t="n">
        <f>576</f>
        <v>576.0</v>
      </c>
      <c r="R120" s="34" t="s">
        <v>51</v>
      </c>
      <c r="S120" s="35" t="n">
        <f>603.19</f>
        <v>603.19</v>
      </c>
      <c r="T120" s="32" t="n">
        <f>18880</f>
        <v>18880.0</v>
      </c>
      <c r="U120" s="32" t="n">
        <f>80</f>
        <v>80.0</v>
      </c>
      <c r="V120" s="32" t="n">
        <f>11326670</f>
        <v>1.132667E7</v>
      </c>
      <c r="W120" s="32" t="n">
        <f>48360</f>
        <v>48360.0</v>
      </c>
      <c r="X120" s="36" t="n">
        <f>21</f>
        <v>21.0</v>
      </c>
    </row>
    <row r="121">
      <c r="A121" s="27" t="s">
        <v>42</v>
      </c>
      <c r="B121" s="27" t="s">
        <v>407</v>
      </c>
      <c r="C121" s="27" t="s">
        <v>408</v>
      </c>
      <c r="D121" s="27" t="s">
        <v>409</v>
      </c>
      <c r="E121" s="28" t="s">
        <v>46</v>
      </c>
      <c r="F121" s="29" t="s">
        <v>46</v>
      </c>
      <c r="G121" s="30" t="s">
        <v>46</v>
      </c>
      <c r="H121" s="31"/>
      <c r="I121" s="31" t="s">
        <v>47</v>
      </c>
      <c r="J121" s="32" t="n">
        <v>10.0</v>
      </c>
      <c r="K121" s="33" t="n">
        <f>586</f>
        <v>586.0</v>
      </c>
      <c r="L121" s="34" t="s">
        <v>48</v>
      </c>
      <c r="M121" s="33" t="n">
        <f>689</f>
        <v>689.0</v>
      </c>
      <c r="N121" s="34" t="s">
        <v>328</v>
      </c>
      <c r="O121" s="33" t="n">
        <f>517</f>
        <v>517.0</v>
      </c>
      <c r="P121" s="34" t="s">
        <v>50</v>
      </c>
      <c r="Q121" s="33" t="n">
        <f>550</f>
        <v>550.0</v>
      </c>
      <c r="R121" s="34" t="s">
        <v>51</v>
      </c>
      <c r="S121" s="35" t="n">
        <f>564.61</f>
        <v>564.61</v>
      </c>
      <c r="T121" s="32" t="n">
        <f>26160</f>
        <v>26160.0</v>
      </c>
      <c r="U121" s="32" t="str">
        <f>"－"</f>
        <v>－</v>
      </c>
      <c r="V121" s="32" t="n">
        <f>14995420</f>
        <v>1.499542E7</v>
      </c>
      <c r="W121" s="32" t="str">
        <f>"－"</f>
        <v>－</v>
      </c>
      <c r="X121" s="36" t="n">
        <f>18</f>
        <v>18.0</v>
      </c>
    </row>
    <row r="122">
      <c r="A122" s="27" t="s">
        <v>42</v>
      </c>
      <c r="B122" s="27" t="s">
        <v>410</v>
      </c>
      <c r="C122" s="27" t="s">
        <v>411</v>
      </c>
      <c r="D122" s="27" t="s">
        <v>412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1.0</v>
      </c>
      <c r="K122" s="33" t="n">
        <f>19740</f>
        <v>19740.0</v>
      </c>
      <c r="L122" s="34" t="s">
        <v>48</v>
      </c>
      <c r="M122" s="33" t="n">
        <f>20430</f>
        <v>20430.0</v>
      </c>
      <c r="N122" s="34" t="s">
        <v>49</v>
      </c>
      <c r="O122" s="33" t="n">
        <f>15490</f>
        <v>15490.0</v>
      </c>
      <c r="P122" s="34" t="s">
        <v>50</v>
      </c>
      <c r="Q122" s="33" t="n">
        <f>18060</f>
        <v>18060.0</v>
      </c>
      <c r="R122" s="34" t="s">
        <v>51</v>
      </c>
      <c r="S122" s="35" t="n">
        <f>17963.81</f>
        <v>17963.81</v>
      </c>
      <c r="T122" s="32" t="n">
        <f>234023</f>
        <v>234023.0</v>
      </c>
      <c r="U122" s="32" t="n">
        <f>44114</f>
        <v>44114.0</v>
      </c>
      <c r="V122" s="32" t="n">
        <f>4291262848</f>
        <v>4.291262848E9</v>
      </c>
      <c r="W122" s="32" t="n">
        <f>859814398</f>
        <v>8.59814398E8</v>
      </c>
      <c r="X122" s="36" t="n">
        <f>21</f>
        <v>21.0</v>
      </c>
    </row>
    <row r="123">
      <c r="A123" s="27" t="s">
        <v>42</v>
      </c>
      <c r="B123" s="27" t="s">
        <v>413</v>
      </c>
      <c r="C123" s="27" t="s">
        <v>414</v>
      </c>
      <c r="D123" s="27" t="s">
        <v>415</v>
      </c>
      <c r="E123" s="28" t="s">
        <v>46</v>
      </c>
      <c r="F123" s="29" t="s">
        <v>46</v>
      </c>
      <c r="G123" s="30" t="s">
        <v>46</v>
      </c>
      <c r="H123" s="31"/>
      <c r="I123" s="31" t="s">
        <v>47</v>
      </c>
      <c r="J123" s="32" t="n">
        <v>1.0</v>
      </c>
      <c r="K123" s="33" t="n">
        <f>1663</f>
        <v>1663.0</v>
      </c>
      <c r="L123" s="34" t="s">
        <v>48</v>
      </c>
      <c r="M123" s="33" t="n">
        <f>1806</f>
        <v>1806.0</v>
      </c>
      <c r="N123" s="34" t="s">
        <v>49</v>
      </c>
      <c r="O123" s="33" t="n">
        <f>1303</f>
        <v>1303.0</v>
      </c>
      <c r="P123" s="34" t="s">
        <v>66</v>
      </c>
      <c r="Q123" s="33" t="n">
        <f>1515</f>
        <v>1515.0</v>
      </c>
      <c r="R123" s="34" t="s">
        <v>51</v>
      </c>
      <c r="S123" s="35" t="n">
        <f>1516.76</f>
        <v>1516.76</v>
      </c>
      <c r="T123" s="32" t="n">
        <f>606256</f>
        <v>606256.0</v>
      </c>
      <c r="U123" s="32" t="n">
        <f>4</f>
        <v>4.0</v>
      </c>
      <c r="V123" s="32" t="n">
        <f>857423236</f>
        <v>8.57423236E8</v>
      </c>
      <c r="W123" s="32" t="n">
        <f>5484</f>
        <v>5484.0</v>
      </c>
      <c r="X123" s="36" t="n">
        <f>21</f>
        <v>21.0</v>
      </c>
    </row>
    <row r="124">
      <c r="A124" s="27" t="s">
        <v>42</v>
      </c>
      <c r="B124" s="27" t="s">
        <v>416</v>
      </c>
      <c r="C124" s="27" t="s">
        <v>417</v>
      </c>
      <c r="D124" s="27" t="s">
        <v>418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10.0</v>
      </c>
      <c r="K124" s="33" t="n">
        <f>18260</f>
        <v>18260.0</v>
      </c>
      <c r="L124" s="34" t="s">
        <v>48</v>
      </c>
      <c r="M124" s="33" t="n">
        <f>19850</f>
        <v>19850.0</v>
      </c>
      <c r="N124" s="34" t="s">
        <v>49</v>
      </c>
      <c r="O124" s="33" t="n">
        <f>11000</f>
        <v>11000.0</v>
      </c>
      <c r="P124" s="34" t="s">
        <v>50</v>
      </c>
      <c r="Q124" s="33" t="n">
        <f>14730</f>
        <v>14730.0</v>
      </c>
      <c r="R124" s="34" t="s">
        <v>51</v>
      </c>
      <c r="S124" s="35" t="n">
        <f>15009.05</f>
        <v>15009.05</v>
      </c>
      <c r="T124" s="32" t="n">
        <f>29821910</f>
        <v>2.982191E7</v>
      </c>
      <c r="U124" s="32" t="n">
        <f>14320</f>
        <v>14320.0</v>
      </c>
      <c r="V124" s="32" t="n">
        <f>435541969997</f>
        <v>4.35541969997E11</v>
      </c>
      <c r="W124" s="32" t="n">
        <f>212472597</f>
        <v>2.12472597E8</v>
      </c>
      <c r="X124" s="36" t="n">
        <f>21</f>
        <v>21.0</v>
      </c>
    </row>
    <row r="125">
      <c r="A125" s="27" t="s">
        <v>42</v>
      </c>
      <c r="B125" s="27" t="s">
        <v>419</v>
      </c>
      <c r="C125" s="27" t="s">
        <v>420</v>
      </c>
      <c r="D125" s="27" t="s">
        <v>421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10.0</v>
      </c>
      <c r="K125" s="33" t="n">
        <f>4230</f>
        <v>4230.0</v>
      </c>
      <c r="L125" s="34" t="s">
        <v>48</v>
      </c>
      <c r="M125" s="33" t="n">
        <f>5340</f>
        <v>5340.0</v>
      </c>
      <c r="N125" s="34" t="s">
        <v>66</v>
      </c>
      <c r="O125" s="33" t="n">
        <f>4055</f>
        <v>4055.0</v>
      </c>
      <c r="P125" s="34" t="s">
        <v>49</v>
      </c>
      <c r="Q125" s="33" t="n">
        <f>4500</f>
        <v>4500.0</v>
      </c>
      <c r="R125" s="34" t="s">
        <v>51</v>
      </c>
      <c r="S125" s="35" t="n">
        <f>4624.76</f>
        <v>4624.76</v>
      </c>
      <c r="T125" s="32" t="n">
        <f>5615880</f>
        <v>5615880.0</v>
      </c>
      <c r="U125" s="32" t="n">
        <f>213950</f>
        <v>213950.0</v>
      </c>
      <c r="V125" s="32" t="n">
        <f>26311504296</f>
        <v>2.6311504296E10</v>
      </c>
      <c r="W125" s="32" t="n">
        <f>996813796</f>
        <v>9.96813796E8</v>
      </c>
      <c r="X125" s="36" t="n">
        <f>21</f>
        <v>21.0</v>
      </c>
    </row>
    <row r="126">
      <c r="A126" s="27" t="s">
        <v>42</v>
      </c>
      <c r="B126" s="27" t="s">
        <v>422</v>
      </c>
      <c r="C126" s="27" t="s">
        <v>423</v>
      </c>
      <c r="D126" s="27" t="s">
        <v>424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10.0</v>
      </c>
      <c r="K126" s="33" t="n">
        <f>600</f>
        <v>600.0</v>
      </c>
      <c r="L126" s="34" t="s">
        <v>48</v>
      </c>
      <c r="M126" s="33" t="n">
        <f>625</f>
        <v>625.0</v>
      </c>
      <c r="N126" s="34" t="s">
        <v>48</v>
      </c>
      <c r="O126" s="33" t="n">
        <f>417</f>
        <v>417.0</v>
      </c>
      <c r="P126" s="34" t="s">
        <v>66</v>
      </c>
      <c r="Q126" s="33" t="n">
        <f>516</f>
        <v>516.0</v>
      </c>
      <c r="R126" s="34" t="s">
        <v>51</v>
      </c>
      <c r="S126" s="35" t="n">
        <f>522.47</f>
        <v>522.47</v>
      </c>
      <c r="T126" s="32" t="n">
        <f>3970</f>
        <v>3970.0</v>
      </c>
      <c r="U126" s="32" t="str">
        <f>"－"</f>
        <v>－</v>
      </c>
      <c r="V126" s="32" t="n">
        <f>2061520</f>
        <v>2061520.0</v>
      </c>
      <c r="W126" s="32" t="str">
        <f>"－"</f>
        <v>－</v>
      </c>
      <c r="X126" s="36" t="n">
        <f>17</f>
        <v>17.0</v>
      </c>
    </row>
    <row r="127">
      <c r="A127" s="27" t="s">
        <v>42</v>
      </c>
      <c r="B127" s="27" t="s">
        <v>425</v>
      </c>
      <c r="C127" s="27" t="s">
        <v>426</v>
      </c>
      <c r="D127" s="27" t="s">
        <v>427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10.0</v>
      </c>
      <c r="K127" s="33" t="n">
        <f>1189</f>
        <v>1189.0</v>
      </c>
      <c r="L127" s="34" t="s">
        <v>48</v>
      </c>
      <c r="M127" s="33" t="n">
        <f>1189</f>
        <v>1189.0</v>
      </c>
      <c r="N127" s="34" t="s">
        <v>48</v>
      </c>
      <c r="O127" s="33" t="n">
        <f>884</f>
        <v>884.0</v>
      </c>
      <c r="P127" s="34" t="s">
        <v>107</v>
      </c>
      <c r="Q127" s="33" t="n">
        <f>1114</f>
        <v>1114.0</v>
      </c>
      <c r="R127" s="34" t="s">
        <v>51</v>
      </c>
      <c r="S127" s="35" t="n">
        <f>1072</f>
        <v>1072.0</v>
      </c>
      <c r="T127" s="32" t="n">
        <f>1170</f>
        <v>1170.0</v>
      </c>
      <c r="U127" s="32" t="str">
        <f>"－"</f>
        <v>－</v>
      </c>
      <c r="V127" s="32" t="n">
        <f>1223880</f>
        <v>1223880.0</v>
      </c>
      <c r="W127" s="32" t="str">
        <f>"－"</f>
        <v>－</v>
      </c>
      <c r="X127" s="36" t="n">
        <f>16</f>
        <v>16.0</v>
      </c>
    </row>
    <row r="128">
      <c r="A128" s="27" t="s">
        <v>42</v>
      </c>
      <c r="B128" s="27" t="s">
        <v>428</v>
      </c>
      <c r="C128" s="27" t="s">
        <v>429</v>
      </c>
      <c r="D128" s="27" t="s">
        <v>430</v>
      </c>
      <c r="E128" s="28" t="s">
        <v>46</v>
      </c>
      <c r="F128" s="29" t="s">
        <v>46</v>
      </c>
      <c r="G128" s="30" t="s">
        <v>46</v>
      </c>
      <c r="H128" s="31"/>
      <c r="I128" s="31" t="s">
        <v>47</v>
      </c>
      <c r="J128" s="32" t="n">
        <v>1.0</v>
      </c>
      <c r="K128" s="33" t="n">
        <f>1308</f>
        <v>1308.0</v>
      </c>
      <c r="L128" s="34" t="s">
        <v>48</v>
      </c>
      <c r="M128" s="33" t="n">
        <f>1512</f>
        <v>1512.0</v>
      </c>
      <c r="N128" s="34" t="s">
        <v>169</v>
      </c>
      <c r="O128" s="33" t="n">
        <f>1069</f>
        <v>1069.0</v>
      </c>
      <c r="P128" s="34" t="s">
        <v>107</v>
      </c>
      <c r="Q128" s="33" t="n">
        <f>1267</f>
        <v>1267.0</v>
      </c>
      <c r="R128" s="34" t="s">
        <v>51</v>
      </c>
      <c r="S128" s="35" t="n">
        <f>1226.25</f>
        <v>1226.25</v>
      </c>
      <c r="T128" s="32" t="n">
        <f>3363</f>
        <v>3363.0</v>
      </c>
      <c r="U128" s="32" t="str">
        <f>"－"</f>
        <v>－</v>
      </c>
      <c r="V128" s="32" t="n">
        <f>4162062</f>
        <v>4162062.0</v>
      </c>
      <c r="W128" s="32" t="str">
        <f>"－"</f>
        <v>－</v>
      </c>
      <c r="X128" s="36" t="n">
        <f>20</f>
        <v>20.0</v>
      </c>
    </row>
    <row r="129">
      <c r="A129" s="27" t="s">
        <v>42</v>
      </c>
      <c r="B129" s="27" t="s">
        <v>431</v>
      </c>
      <c r="C129" s="27" t="s">
        <v>432</v>
      </c>
      <c r="D129" s="27" t="s">
        <v>433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1.0</v>
      </c>
      <c r="K129" s="33" t="n">
        <f>13460</f>
        <v>13460.0</v>
      </c>
      <c r="L129" s="34" t="s">
        <v>48</v>
      </c>
      <c r="M129" s="33" t="n">
        <f>13980</f>
        <v>13980.0</v>
      </c>
      <c r="N129" s="34" t="s">
        <v>49</v>
      </c>
      <c r="O129" s="33" t="n">
        <f>10870</f>
        <v>10870.0</v>
      </c>
      <c r="P129" s="34" t="s">
        <v>50</v>
      </c>
      <c r="Q129" s="33" t="n">
        <f>12790</f>
        <v>12790.0</v>
      </c>
      <c r="R129" s="34" t="s">
        <v>51</v>
      </c>
      <c r="S129" s="35" t="n">
        <f>12630</f>
        <v>12630.0</v>
      </c>
      <c r="T129" s="32" t="n">
        <f>198359</f>
        <v>198359.0</v>
      </c>
      <c r="U129" s="32" t="n">
        <f>48322</f>
        <v>48322.0</v>
      </c>
      <c r="V129" s="32" t="n">
        <f>2479632630</f>
        <v>2.47963263E9</v>
      </c>
      <c r="W129" s="32" t="n">
        <f>584810830</f>
        <v>5.8481083E8</v>
      </c>
      <c r="X129" s="36" t="n">
        <f>21</f>
        <v>21.0</v>
      </c>
    </row>
    <row r="130">
      <c r="A130" s="27" t="s">
        <v>42</v>
      </c>
      <c r="B130" s="27" t="s">
        <v>434</v>
      </c>
      <c r="C130" s="27" t="s">
        <v>435</v>
      </c>
      <c r="D130" s="27" t="s">
        <v>436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1.0</v>
      </c>
      <c r="K130" s="33" t="n">
        <f>1223</f>
        <v>1223.0</v>
      </c>
      <c r="L130" s="34" t="s">
        <v>48</v>
      </c>
      <c r="M130" s="33" t="n">
        <f>1277</f>
        <v>1277.0</v>
      </c>
      <c r="N130" s="34" t="s">
        <v>49</v>
      </c>
      <c r="O130" s="33" t="n">
        <f>981</f>
        <v>981.0</v>
      </c>
      <c r="P130" s="34" t="s">
        <v>50</v>
      </c>
      <c r="Q130" s="33" t="n">
        <f>1170</f>
        <v>1170.0</v>
      </c>
      <c r="R130" s="34" t="s">
        <v>51</v>
      </c>
      <c r="S130" s="35" t="n">
        <f>1138.14</f>
        <v>1138.14</v>
      </c>
      <c r="T130" s="32" t="n">
        <f>835474</f>
        <v>835474.0</v>
      </c>
      <c r="U130" s="32" t="n">
        <f>1254</f>
        <v>1254.0</v>
      </c>
      <c r="V130" s="32" t="n">
        <f>925568766</f>
        <v>9.25568766E8</v>
      </c>
      <c r="W130" s="32" t="n">
        <f>1326793</f>
        <v>1326793.0</v>
      </c>
      <c r="X130" s="36" t="n">
        <f>21</f>
        <v>21.0</v>
      </c>
    </row>
    <row r="131">
      <c r="A131" s="27" t="s">
        <v>42</v>
      </c>
      <c r="B131" s="27" t="s">
        <v>437</v>
      </c>
      <c r="C131" s="27" t="s">
        <v>438</v>
      </c>
      <c r="D131" s="27" t="s">
        <v>439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1.0</v>
      </c>
      <c r="K131" s="33" t="n">
        <f>13630</f>
        <v>13630.0</v>
      </c>
      <c r="L131" s="34" t="s">
        <v>48</v>
      </c>
      <c r="M131" s="33" t="n">
        <f>14260</f>
        <v>14260.0</v>
      </c>
      <c r="N131" s="34" t="s">
        <v>49</v>
      </c>
      <c r="O131" s="33" t="n">
        <f>11080</f>
        <v>11080.0</v>
      </c>
      <c r="P131" s="34" t="s">
        <v>50</v>
      </c>
      <c r="Q131" s="33" t="n">
        <f>13100</f>
        <v>13100.0</v>
      </c>
      <c r="R131" s="34" t="s">
        <v>51</v>
      </c>
      <c r="S131" s="35" t="n">
        <f>12846.19</f>
        <v>12846.19</v>
      </c>
      <c r="T131" s="32" t="n">
        <f>1341156</f>
        <v>1341156.0</v>
      </c>
      <c r="U131" s="32" t="n">
        <f>1287104</f>
        <v>1287104.0</v>
      </c>
      <c r="V131" s="32" t="n">
        <f>17374560340</f>
        <v>1.737456034E10</v>
      </c>
      <c r="W131" s="32" t="n">
        <f>16690199020</f>
        <v>1.669019902E10</v>
      </c>
      <c r="X131" s="36" t="n">
        <f>21</f>
        <v>21.0</v>
      </c>
    </row>
    <row r="132">
      <c r="A132" s="27" t="s">
        <v>42</v>
      </c>
      <c r="B132" s="27" t="s">
        <v>440</v>
      </c>
      <c r="C132" s="27" t="s">
        <v>441</v>
      </c>
      <c r="D132" s="27" t="s">
        <v>442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10.0</v>
      </c>
      <c r="K132" s="33" t="n">
        <f>2063</f>
        <v>2063.0</v>
      </c>
      <c r="L132" s="34" t="s">
        <v>48</v>
      </c>
      <c r="M132" s="33" t="n">
        <f>2154</f>
        <v>2154.0</v>
      </c>
      <c r="N132" s="34" t="s">
        <v>61</v>
      </c>
      <c r="O132" s="33" t="n">
        <f>1174</f>
        <v>1174.0</v>
      </c>
      <c r="P132" s="34" t="s">
        <v>66</v>
      </c>
      <c r="Q132" s="33" t="n">
        <f>1654</f>
        <v>1654.0</v>
      </c>
      <c r="R132" s="34" t="s">
        <v>51</v>
      </c>
      <c r="S132" s="35" t="n">
        <f>1746.95</f>
        <v>1746.95</v>
      </c>
      <c r="T132" s="32" t="n">
        <f>1509800</f>
        <v>1509800.0</v>
      </c>
      <c r="U132" s="32" t="n">
        <f>453930</f>
        <v>453930.0</v>
      </c>
      <c r="V132" s="32" t="n">
        <f>2745380385</f>
        <v>2.745380385E9</v>
      </c>
      <c r="W132" s="32" t="n">
        <f>817638665</f>
        <v>8.17638665E8</v>
      </c>
      <c r="X132" s="36" t="n">
        <f>21</f>
        <v>21.0</v>
      </c>
    </row>
    <row r="133">
      <c r="A133" s="27" t="s">
        <v>42</v>
      </c>
      <c r="B133" s="27" t="s">
        <v>443</v>
      </c>
      <c r="C133" s="27" t="s">
        <v>444</v>
      </c>
      <c r="D133" s="27" t="s">
        <v>445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10.0</v>
      </c>
      <c r="K133" s="33" t="n">
        <f>1308</f>
        <v>1308.0</v>
      </c>
      <c r="L133" s="34" t="s">
        <v>48</v>
      </c>
      <c r="M133" s="33" t="n">
        <f>1318</f>
        <v>1318.0</v>
      </c>
      <c r="N133" s="34" t="s">
        <v>48</v>
      </c>
      <c r="O133" s="33" t="n">
        <f>1020</f>
        <v>1020.0</v>
      </c>
      <c r="P133" s="34" t="s">
        <v>107</v>
      </c>
      <c r="Q133" s="33" t="n">
        <f>1242</f>
        <v>1242.0</v>
      </c>
      <c r="R133" s="34" t="s">
        <v>51</v>
      </c>
      <c r="S133" s="35" t="n">
        <f>1164.8</f>
        <v>1164.8</v>
      </c>
      <c r="T133" s="32" t="n">
        <f>160</f>
        <v>160.0</v>
      </c>
      <c r="U133" s="32" t="str">
        <f>"－"</f>
        <v>－</v>
      </c>
      <c r="V133" s="32" t="n">
        <f>188100</f>
        <v>188100.0</v>
      </c>
      <c r="W133" s="32" t="str">
        <f>"－"</f>
        <v>－</v>
      </c>
      <c r="X133" s="36" t="n">
        <f>5</f>
        <v>5.0</v>
      </c>
    </row>
    <row r="134">
      <c r="A134" s="27" t="s">
        <v>42</v>
      </c>
      <c r="B134" s="27" t="s">
        <v>446</v>
      </c>
      <c r="C134" s="27" t="s">
        <v>447</v>
      </c>
      <c r="D134" s="27" t="s">
        <v>448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10.0</v>
      </c>
      <c r="K134" s="33" t="n">
        <f>2023</f>
        <v>2023.0</v>
      </c>
      <c r="L134" s="34" t="s">
        <v>48</v>
      </c>
      <c r="M134" s="33" t="n">
        <f>2172</f>
        <v>2172.0</v>
      </c>
      <c r="N134" s="34" t="s">
        <v>49</v>
      </c>
      <c r="O134" s="33" t="n">
        <f>1162</f>
        <v>1162.0</v>
      </c>
      <c r="P134" s="34" t="s">
        <v>66</v>
      </c>
      <c r="Q134" s="33" t="n">
        <f>1617</f>
        <v>1617.0</v>
      </c>
      <c r="R134" s="34" t="s">
        <v>51</v>
      </c>
      <c r="S134" s="35" t="n">
        <f>1733.05</f>
        <v>1733.05</v>
      </c>
      <c r="T134" s="32" t="n">
        <f>1921280</f>
        <v>1921280.0</v>
      </c>
      <c r="U134" s="32" t="n">
        <f>570670</f>
        <v>570670.0</v>
      </c>
      <c r="V134" s="32" t="n">
        <f>3628767720</f>
        <v>3.62876772E9</v>
      </c>
      <c r="W134" s="32" t="n">
        <f>1149417190</f>
        <v>1.14941719E9</v>
      </c>
      <c r="X134" s="36" t="n">
        <f>21</f>
        <v>21.0</v>
      </c>
    </row>
    <row r="135">
      <c r="A135" s="27" t="s">
        <v>42</v>
      </c>
      <c r="B135" s="27" t="s">
        <v>449</v>
      </c>
      <c r="C135" s="27" t="s">
        <v>450</v>
      </c>
      <c r="D135" s="27" t="s">
        <v>451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1.0</v>
      </c>
      <c r="K135" s="33" t="n">
        <f>15370</f>
        <v>15370.0</v>
      </c>
      <c r="L135" s="34" t="s">
        <v>61</v>
      </c>
      <c r="M135" s="33" t="n">
        <f>15480</f>
        <v>15480.0</v>
      </c>
      <c r="N135" s="34" t="s">
        <v>61</v>
      </c>
      <c r="O135" s="33" t="n">
        <f>14390</f>
        <v>14390.0</v>
      </c>
      <c r="P135" s="34" t="s">
        <v>277</v>
      </c>
      <c r="Q135" s="33" t="n">
        <f>14390</f>
        <v>14390.0</v>
      </c>
      <c r="R135" s="34" t="s">
        <v>50</v>
      </c>
      <c r="S135" s="35" t="n">
        <f>14753.33</f>
        <v>14753.33</v>
      </c>
      <c r="T135" s="32" t="n">
        <f>29</f>
        <v>29.0</v>
      </c>
      <c r="U135" s="32" t="str">
        <f>"－"</f>
        <v>－</v>
      </c>
      <c r="V135" s="32" t="n">
        <f>420780</f>
        <v>420780.0</v>
      </c>
      <c r="W135" s="32" t="str">
        <f>"－"</f>
        <v>－</v>
      </c>
      <c r="X135" s="36" t="n">
        <f>3</f>
        <v>3.0</v>
      </c>
    </row>
    <row r="136">
      <c r="A136" s="27" t="s">
        <v>42</v>
      </c>
      <c r="B136" s="27" t="s">
        <v>452</v>
      </c>
      <c r="C136" s="27" t="s">
        <v>453</v>
      </c>
      <c r="D136" s="27" t="s">
        <v>454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13510</f>
        <v>13510.0</v>
      </c>
      <c r="L136" s="34" t="s">
        <v>48</v>
      </c>
      <c r="M136" s="33" t="n">
        <f>14120</f>
        <v>14120.0</v>
      </c>
      <c r="N136" s="34" t="s">
        <v>49</v>
      </c>
      <c r="O136" s="33" t="n">
        <f>10970</f>
        <v>10970.0</v>
      </c>
      <c r="P136" s="34" t="s">
        <v>107</v>
      </c>
      <c r="Q136" s="33" t="n">
        <f>12890</f>
        <v>12890.0</v>
      </c>
      <c r="R136" s="34" t="s">
        <v>51</v>
      </c>
      <c r="S136" s="35" t="n">
        <f>12661.43</f>
        <v>12661.43</v>
      </c>
      <c r="T136" s="32" t="n">
        <f>29640</f>
        <v>29640.0</v>
      </c>
      <c r="U136" s="32" t="n">
        <f>7000</f>
        <v>7000.0</v>
      </c>
      <c r="V136" s="32" t="n">
        <f>378465930</f>
        <v>3.7846593E8</v>
      </c>
      <c r="W136" s="32" t="n">
        <f>95991000</f>
        <v>9.5991E7</v>
      </c>
      <c r="X136" s="36" t="n">
        <f>21</f>
        <v>21.0</v>
      </c>
    </row>
    <row r="137">
      <c r="A137" s="27" t="s">
        <v>42</v>
      </c>
      <c r="B137" s="27" t="s">
        <v>455</v>
      </c>
      <c r="C137" s="27" t="s">
        <v>456</v>
      </c>
      <c r="D137" s="27" t="s">
        <v>457</v>
      </c>
      <c r="E137" s="28" t="s">
        <v>46</v>
      </c>
      <c r="F137" s="29" t="s">
        <v>46</v>
      </c>
      <c r="G137" s="30" t="s">
        <v>46</v>
      </c>
      <c r="H137" s="31" t="s">
        <v>458</v>
      </c>
      <c r="I137" s="31" t="s">
        <v>47</v>
      </c>
      <c r="J137" s="32" t="n">
        <v>10.0</v>
      </c>
      <c r="K137" s="33" t="n">
        <f>2224</f>
        <v>2224.0</v>
      </c>
      <c r="L137" s="34" t="s">
        <v>48</v>
      </c>
      <c r="M137" s="33" t="n">
        <f>2385</f>
        <v>2385.0</v>
      </c>
      <c r="N137" s="34" t="s">
        <v>49</v>
      </c>
      <c r="O137" s="33" t="n">
        <f>1822</f>
        <v>1822.0</v>
      </c>
      <c r="P137" s="34" t="s">
        <v>66</v>
      </c>
      <c r="Q137" s="33" t="n">
        <f>2004</f>
        <v>2004.0</v>
      </c>
      <c r="R137" s="34" t="s">
        <v>51</v>
      </c>
      <c r="S137" s="35" t="n">
        <f>2037.8</f>
        <v>2037.8</v>
      </c>
      <c r="T137" s="32" t="n">
        <f>6280</f>
        <v>6280.0</v>
      </c>
      <c r="U137" s="32" t="str">
        <f>"－"</f>
        <v>－</v>
      </c>
      <c r="V137" s="32" t="n">
        <f>13302500</f>
        <v>1.33025E7</v>
      </c>
      <c r="W137" s="32" t="str">
        <f>"－"</f>
        <v>－</v>
      </c>
      <c r="X137" s="36" t="n">
        <f>15</f>
        <v>15.0</v>
      </c>
    </row>
    <row r="138">
      <c r="A138" s="27" t="s">
        <v>42</v>
      </c>
      <c r="B138" s="27" t="s">
        <v>459</v>
      </c>
      <c r="C138" s="27" t="s">
        <v>460</v>
      </c>
      <c r="D138" s="27" t="s">
        <v>461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100.0</v>
      </c>
      <c r="K138" s="33" t="n">
        <f>134</f>
        <v>134.0</v>
      </c>
      <c r="L138" s="34" t="s">
        <v>48</v>
      </c>
      <c r="M138" s="33" t="n">
        <f>137</f>
        <v>137.0</v>
      </c>
      <c r="N138" s="34" t="s">
        <v>49</v>
      </c>
      <c r="O138" s="33" t="n">
        <f>101</f>
        <v>101.0</v>
      </c>
      <c r="P138" s="34" t="s">
        <v>107</v>
      </c>
      <c r="Q138" s="33" t="n">
        <f>117</f>
        <v>117.0</v>
      </c>
      <c r="R138" s="34" t="s">
        <v>51</v>
      </c>
      <c r="S138" s="35" t="n">
        <f>117.71</f>
        <v>117.71</v>
      </c>
      <c r="T138" s="32" t="n">
        <f>47367700</f>
        <v>4.73677E7</v>
      </c>
      <c r="U138" s="32" t="n">
        <f>40300</f>
        <v>40300.0</v>
      </c>
      <c r="V138" s="32" t="n">
        <f>5453735941</f>
        <v>5.453735941E9</v>
      </c>
      <c r="W138" s="32" t="n">
        <f>4750041</f>
        <v>4750041.0</v>
      </c>
      <c r="X138" s="36" t="n">
        <f>21</f>
        <v>21.0</v>
      </c>
    </row>
    <row r="139">
      <c r="A139" s="27" t="s">
        <v>42</v>
      </c>
      <c r="B139" s="27" t="s">
        <v>462</v>
      </c>
      <c r="C139" s="27" t="s">
        <v>463</v>
      </c>
      <c r="D139" s="27" t="s">
        <v>464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25070</f>
        <v>25070.0</v>
      </c>
      <c r="L139" s="34" t="s">
        <v>48</v>
      </c>
      <c r="M139" s="33" t="n">
        <f>27080</f>
        <v>27080.0</v>
      </c>
      <c r="N139" s="34" t="s">
        <v>169</v>
      </c>
      <c r="O139" s="33" t="n">
        <f>21600</f>
        <v>21600.0</v>
      </c>
      <c r="P139" s="34" t="s">
        <v>50</v>
      </c>
      <c r="Q139" s="33" t="n">
        <f>26320</f>
        <v>26320.0</v>
      </c>
      <c r="R139" s="34" t="s">
        <v>51</v>
      </c>
      <c r="S139" s="35" t="n">
        <f>24391.58</f>
        <v>24391.58</v>
      </c>
      <c r="T139" s="32" t="n">
        <f>1411</f>
        <v>1411.0</v>
      </c>
      <c r="U139" s="32" t="str">
        <f>"－"</f>
        <v>－</v>
      </c>
      <c r="V139" s="32" t="n">
        <f>34172670</f>
        <v>3.417267E7</v>
      </c>
      <c r="W139" s="32" t="str">
        <f>"－"</f>
        <v>－</v>
      </c>
      <c r="X139" s="36" t="n">
        <f>19</f>
        <v>19.0</v>
      </c>
    </row>
    <row r="140">
      <c r="A140" s="27" t="s">
        <v>42</v>
      </c>
      <c r="B140" s="27" t="s">
        <v>465</v>
      </c>
      <c r="C140" s="27" t="s">
        <v>466</v>
      </c>
      <c r="D140" s="27" t="s">
        <v>467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9550</f>
        <v>9550.0</v>
      </c>
      <c r="L140" s="34" t="s">
        <v>48</v>
      </c>
      <c r="M140" s="33" t="n">
        <f>10020</f>
        <v>10020.0</v>
      </c>
      <c r="N140" s="34" t="s">
        <v>49</v>
      </c>
      <c r="O140" s="33" t="n">
        <f>7010</f>
        <v>7010.0</v>
      </c>
      <c r="P140" s="34" t="s">
        <v>66</v>
      </c>
      <c r="Q140" s="33" t="n">
        <f>8210</f>
        <v>8210.0</v>
      </c>
      <c r="R140" s="34" t="s">
        <v>51</v>
      </c>
      <c r="S140" s="35" t="n">
        <f>8236.67</f>
        <v>8236.67</v>
      </c>
      <c r="T140" s="32" t="n">
        <f>11196</f>
        <v>11196.0</v>
      </c>
      <c r="U140" s="32" t="n">
        <f>8</f>
        <v>8.0</v>
      </c>
      <c r="V140" s="32" t="n">
        <f>88094370</f>
        <v>8.809437E7</v>
      </c>
      <c r="W140" s="32" t="n">
        <f>60160</f>
        <v>60160.0</v>
      </c>
      <c r="X140" s="36" t="n">
        <f>21</f>
        <v>21.0</v>
      </c>
    </row>
    <row r="141">
      <c r="A141" s="27" t="s">
        <v>42</v>
      </c>
      <c r="B141" s="27" t="s">
        <v>468</v>
      </c>
      <c r="C141" s="27" t="s">
        <v>469</v>
      </c>
      <c r="D141" s="27" t="s">
        <v>470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1.0</v>
      </c>
      <c r="K141" s="33" t="n">
        <f>18830</f>
        <v>18830.0</v>
      </c>
      <c r="L141" s="34" t="s">
        <v>48</v>
      </c>
      <c r="M141" s="33" t="n">
        <f>19570</f>
        <v>19570.0</v>
      </c>
      <c r="N141" s="34" t="s">
        <v>49</v>
      </c>
      <c r="O141" s="33" t="n">
        <f>14610</f>
        <v>14610.0</v>
      </c>
      <c r="P141" s="34" t="s">
        <v>107</v>
      </c>
      <c r="Q141" s="33" t="n">
        <f>17500</f>
        <v>17500.0</v>
      </c>
      <c r="R141" s="34" t="s">
        <v>51</v>
      </c>
      <c r="S141" s="35" t="n">
        <f>17011.9</f>
        <v>17011.9</v>
      </c>
      <c r="T141" s="32" t="n">
        <f>2129</f>
        <v>2129.0</v>
      </c>
      <c r="U141" s="32" t="n">
        <f>7</f>
        <v>7.0</v>
      </c>
      <c r="V141" s="32" t="n">
        <f>34706420</f>
        <v>3.470642E7</v>
      </c>
      <c r="W141" s="32" t="n">
        <f>120400</f>
        <v>120400.0</v>
      </c>
      <c r="X141" s="36" t="n">
        <f>21</f>
        <v>21.0</v>
      </c>
    </row>
    <row r="142">
      <c r="A142" s="27" t="s">
        <v>42</v>
      </c>
      <c r="B142" s="27" t="s">
        <v>471</v>
      </c>
      <c r="C142" s="27" t="s">
        <v>472</v>
      </c>
      <c r="D142" s="27" t="s">
        <v>473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1.0</v>
      </c>
      <c r="K142" s="33" t="n">
        <f>21730</f>
        <v>21730.0</v>
      </c>
      <c r="L142" s="34" t="s">
        <v>48</v>
      </c>
      <c r="M142" s="33" t="n">
        <f>22380</f>
        <v>22380.0</v>
      </c>
      <c r="N142" s="34" t="s">
        <v>49</v>
      </c>
      <c r="O142" s="33" t="n">
        <f>17550</f>
        <v>17550.0</v>
      </c>
      <c r="P142" s="34" t="s">
        <v>50</v>
      </c>
      <c r="Q142" s="33" t="n">
        <f>21380</f>
        <v>21380.0</v>
      </c>
      <c r="R142" s="34" t="s">
        <v>51</v>
      </c>
      <c r="S142" s="35" t="n">
        <f>20334.76</f>
        <v>20334.76</v>
      </c>
      <c r="T142" s="32" t="n">
        <f>599</f>
        <v>599.0</v>
      </c>
      <c r="U142" s="32" t="str">
        <f>"－"</f>
        <v>－</v>
      </c>
      <c r="V142" s="32" t="n">
        <f>12430790</f>
        <v>1.243079E7</v>
      </c>
      <c r="W142" s="32" t="str">
        <f>"－"</f>
        <v>－</v>
      </c>
      <c r="X142" s="36" t="n">
        <f>21</f>
        <v>21.0</v>
      </c>
    </row>
    <row r="143">
      <c r="A143" s="27" t="s">
        <v>42</v>
      </c>
      <c r="B143" s="27" t="s">
        <v>474</v>
      </c>
      <c r="C143" s="27" t="s">
        <v>475</v>
      </c>
      <c r="D143" s="27" t="s">
        <v>476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1.0</v>
      </c>
      <c r="K143" s="33" t="n">
        <f>22230</f>
        <v>22230.0</v>
      </c>
      <c r="L143" s="34" t="s">
        <v>48</v>
      </c>
      <c r="M143" s="33" t="n">
        <f>23200</f>
        <v>23200.0</v>
      </c>
      <c r="N143" s="34" t="s">
        <v>51</v>
      </c>
      <c r="O143" s="33" t="n">
        <f>18000</f>
        <v>18000.0</v>
      </c>
      <c r="P143" s="34" t="s">
        <v>107</v>
      </c>
      <c r="Q143" s="33" t="n">
        <f>22690</f>
        <v>22690.0</v>
      </c>
      <c r="R143" s="34" t="s">
        <v>51</v>
      </c>
      <c r="S143" s="35" t="n">
        <f>21037.14</f>
        <v>21037.14</v>
      </c>
      <c r="T143" s="32" t="n">
        <f>10153</f>
        <v>10153.0</v>
      </c>
      <c r="U143" s="32" t="n">
        <f>10</f>
        <v>10.0</v>
      </c>
      <c r="V143" s="32" t="n">
        <f>211148200</f>
        <v>2.111482E8</v>
      </c>
      <c r="W143" s="32" t="n">
        <f>188900</f>
        <v>188900.0</v>
      </c>
      <c r="X143" s="36" t="n">
        <f>21</f>
        <v>21.0</v>
      </c>
    </row>
    <row r="144">
      <c r="A144" s="27" t="s">
        <v>42</v>
      </c>
      <c r="B144" s="27" t="s">
        <v>477</v>
      </c>
      <c r="C144" s="27" t="s">
        <v>478</v>
      </c>
      <c r="D144" s="27" t="s">
        <v>479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1.0</v>
      </c>
      <c r="K144" s="33" t="n">
        <f>17880</f>
        <v>17880.0</v>
      </c>
      <c r="L144" s="34" t="s">
        <v>48</v>
      </c>
      <c r="M144" s="33" t="n">
        <f>18630</f>
        <v>18630.0</v>
      </c>
      <c r="N144" s="34" t="s">
        <v>49</v>
      </c>
      <c r="O144" s="33" t="n">
        <f>14380</f>
        <v>14380.0</v>
      </c>
      <c r="P144" s="34" t="s">
        <v>50</v>
      </c>
      <c r="Q144" s="33" t="n">
        <f>16170</f>
        <v>16170.0</v>
      </c>
      <c r="R144" s="34" t="s">
        <v>51</v>
      </c>
      <c r="S144" s="35" t="n">
        <f>16348.57</f>
        <v>16348.57</v>
      </c>
      <c r="T144" s="32" t="n">
        <f>4289</f>
        <v>4289.0</v>
      </c>
      <c r="U144" s="32" t="str">
        <f>"－"</f>
        <v>－</v>
      </c>
      <c r="V144" s="32" t="n">
        <f>69819800</f>
        <v>6.98198E7</v>
      </c>
      <c r="W144" s="32" t="str">
        <f>"－"</f>
        <v>－</v>
      </c>
      <c r="X144" s="36" t="n">
        <f>21</f>
        <v>21.0</v>
      </c>
    </row>
    <row r="145">
      <c r="A145" s="27" t="s">
        <v>42</v>
      </c>
      <c r="B145" s="27" t="s">
        <v>480</v>
      </c>
      <c r="C145" s="27" t="s">
        <v>481</v>
      </c>
      <c r="D145" s="27" t="s">
        <v>482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1.0</v>
      </c>
      <c r="K145" s="33" t="n">
        <f>11410</f>
        <v>11410.0</v>
      </c>
      <c r="L145" s="34" t="s">
        <v>48</v>
      </c>
      <c r="M145" s="33" t="n">
        <f>12040</f>
        <v>12040.0</v>
      </c>
      <c r="N145" s="34" t="s">
        <v>48</v>
      </c>
      <c r="O145" s="33" t="n">
        <f>8370</f>
        <v>8370.0</v>
      </c>
      <c r="P145" s="34" t="s">
        <v>50</v>
      </c>
      <c r="Q145" s="33" t="n">
        <f>9630</f>
        <v>9630.0</v>
      </c>
      <c r="R145" s="34" t="s">
        <v>51</v>
      </c>
      <c r="S145" s="35" t="n">
        <f>9768.1</f>
        <v>9768.1</v>
      </c>
      <c r="T145" s="32" t="n">
        <f>12565</f>
        <v>12565.0</v>
      </c>
      <c r="U145" s="32" t="n">
        <f>27</f>
        <v>27.0</v>
      </c>
      <c r="V145" s="32" t="n">
        <f>120573050</f>
        <v>1.2057305E8</v>
      </c>
      <c r="W145" s="32" t="n">
        <f>315090</f>
        <v>315090.0</v>
      </c>
      <c r="X145" s="36" t="n">
        <f>21</f>
        <v>21.0</v>
      </c>
    </row>
    <row r="146">
      <c r="A146" s="27" t="s">
        <v>42</v>
      </c>
      <c r="B146" s="27" t="s">
        <v>483</v>
      </c>
      <c r="C146" s="27" t="s">
        <v>484</v>
      </c>
      <c r="D146" s="27" t="s">
        <v>485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1.0</v>
      </c>
      <c r="K146" s="33" t="n">
        <f>29730</f>
        <v>29730.0</v>
      </c>
      <c r="L146" s="34" t="s">
        <v>48</v>
      </c>
      <c r="M146" s="33" t="n">
        <f>30500</f>
        <v>30500.0</v>
      </c>
      <c r="N146" s="34" t="s">
        <v>49</v>
      </c>
      <c r="O146" s="33" t="n">
        <f>23200</f>
        <v>23200.0</v>
      </c>
      <c r="P146" s="34" t="s">
        <v>107</v>
      </c>
      <c r="Q146" s="33" t="n">
        <f>27450</f>
        <v>27450.0</v>
      </c>
      <c r="R146" s="34" t="s">
        <v>51</v>
      </c>
      <c r="S146" s="35" t="n">
        <f>26617.5</f>
        <v>26617.5</v>
      </c>
      <c r="T146" s="32" t="n">
        <f>837</f>
        <v>837.0</v>
      </c>
      <c r="U146" s="32" t="str">
        <f>"－"</f>
        <v>－</v>
      </c>
      <c r="V146" s="32" t="n">
        <f>22476640</f>
        <v>2.247664E7</v>
      </c>
      <c r="W146" s="32" t="str">
        <f>"－"</f>
        <v>－</v>
      </c>
      <c r="X146" s="36" t="n">
        <f>20</f>
        <v>20.0</v>
      </c>
    </row>
    <row r="147">
      <c r="A147" s="27" t="s">
        <v>42</v>
      </c>
      <c r="B147" s="27" t="s">
        <v>486</v>
      </c>
      <c r="C147" s="27" t="s">
        <v>487</v>
      </c>
      <c r="D147" s="27" t="s">
        <v>488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1.0</v>
      </c>
      <c r="K147" s="33" t="n">
        <f>18700</f>
        <v>18700.0</v>
      </c>
      <c r="L147" s="34" t="s">
        <v>48</v>
      </c>
      <c r="M147" s="33" t="n">
        <f>19710</f>
        <v>19710.0</v>
      </c>
      <c r="N147" s="34" t="s">
        <v>49</v>
      </c>
      <c r="O147" s="33" t="n">
        <f>14980</f>
        <v>14980.0</v>
      </c>
      <c r="P147" s="34" t="s">
        <v>50</v>
      </c>
      <c r="Q147" s="33" t="n">
        <f>17560</f>
        <v>17560.0</v>
      </c>
      <c r="R147" s="34" t="s">
        <v>51</v>
      </c>
      <c r="S147" s="35" t="n">
        <f>17242.38</f>
        <v>17242.38</v>
      </c>
      <c r="T147" s="32" t="n">
        <f>1803</f>
        <v>1803.0</v>
      </c>
      <c r="U147" s="32" t="str">
        <f>"－"</f>
        <v>－</v>
      </c>
      <c r="V147" s="32" t="n">
        <f>30458940</f>
        <v>3.045894E7</v>
      </c>
      <c r="W147" s="32" t="str">
        <f>"－"</f>
        <v>－</v>
      </c>
      <c r="X147" s="36" t="n">
        <f>21</f>
        <v>21.0</v>
      </c>
    </row>
    <row r="148">
      <c r="A148" s="27" t="s">
        <v>42</v>
      </c>
      <c r="B148" s="27" t="s">
        <v>489</v>
      </c>
      <c r="C148" s="27" t="s">
        <v>490</v>
      </c>
      <c r="D148" s="27" t="s">
        <v>491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1.0</v>
      </c>
      <c r="K148" s="33" t="n">
        <f>21250</f>
        <v>21250.0</v>
      </c>
      <c r="L148" s="34" t="s">
        <v>48</v>
      </c>
      <c r="M148" s="33" t="n">
        <f>22440</f>
        <v>22440.0</v>
      </c>
      <c r="N148" s="34" t="s">
        <v>49</v>
      </c>
      <c r="O148" s="33" t="n">
        <f>16930</f>
        <v>16930.0</v>
      </c>
      <c r="P148" s="34" t="s">
        <v>107</v>
      </c>
      <c r="Q148" s="33" t="n">
        <f>20760</f>
        <v>20760.0</v>
      </c>
      <c r="R148" s="34" t="s">
        <v>51</v>
      </c>
      <c r="S148" s="35" t="n">
        <f>20252.86</f>
        <v>20252.86</v>
      </c>
      <c r="T148" s="32" t="n">
        <f>2338</f>
        <v>2338.0</v>
      </c>
      <c r="U148" s="32" t="str">
        <f>"－"</f>
        <v>－</v>
      </c>
      <c r="V148" s="32" t="n">
        <f>46989620</f>
        <v>4.698962E7</v>
      </c>
      <c r="W148" s="32" t="str">
        <f>"－"</f>
        <v>－</v>
      </c>
      <c r="X148" s="36" t="n">
        <f>21</f>
        <v>21.0</v>
      </c>
    </row>
    <row r="149">
      <c r="A149" s="27" t="s">
        <v>42</v>
      </c>
      <c r="B149" s="27" t="s">
        <v>492</v>
      </c>
      <c r="C149" s="27" t="s">
        <v>493</v>
      </c>
      <c r="D149" s="27" t="s">
        <v>494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1.0</v>
      </c>
      <c r="K149" s="33" t="n">
        <f>6030</f>
        <v>6030.0</v>
      </c>
      <c r="L149" s="34" t="s">
        <v>48</v>
      </c>
      <c r="M149" s="33" t="n">
        <f>6840</f>
        <v>6840.0</v>
      </c>
      <c r="N149" s="34" t="s">
        <v>51</v>
      </c>
      <c r="O149" s="33" t="n">
        <f>5340</f>
        <v>5340.0</v>
      </c>
      <c r="P149" s="34" t="s">
        <v>50</v>
      </c>
      <c r="Q149" s="33" t="n">
        <f>6710</f>
        <v>6710.0</v>
      </c>
      <c r="R149" s="34" t="s">
        <v>51</v>
      </c>
      <c r="S149" s="35" t="n">
        <f>6051.43</f>
        <v>6051.43</v>
      </c>
      <c r="T149" s="32" t="n">
        <f>12929</f>
        <v>12929.0</v>
      </c>
      <c r="U149" s="32" t="str">
        <f>"－"</f>
        <v>－</v>
      </c>
      <c r="V149" s="32" t="n">
        <f>77026610</f>
        <v>7.702661E7</v>
      </c>
      <c r="W149" s="32" t="str">
        <f>"－"</f>
        <v>－</v>
      </c>
      <c r="X149" s="36" t="n">
        <f>21</f>
        <v>21.0</v>
      </c>
    </row>
    <row r="150">
      <c r="A150" s="27" t="s">
        <v>42</v>
      </c>
      <c r="B150" s="27" t="s">
        <v>495</v>
      </c>
      <c r="C150" s="27" t="s">
        <v>496</v>
      </c>
      <c r="D150" s="27" t="s">
        <v>497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1.0</v>
      </c>
      <c r="K150" s="33" t="n">
        <f>14900</f>
        <v>14900.0</v>
      </c>
      <c r="L150" s="34" t="s">
        <v>48</v>
      </c>
      <c r="M150" s="33" t="n">
        <f>15450</f>
        <v>15450.0</v>
      </c>
      <c r="N150" s="34" t="s">
        <v>49</v>
      </c>
      <c r="O150" s="33" t="n">
        <f>12280</f>
        <v>12280.0</v>
      </c>
      <c r="P150" s="34" t="s">
        <v>107</v>
      </c>
      <c r="Q150" s="33" t="n">
        <f>15230</f>
        <v>15230.0</v>
      </c>
      <c r="R150" s="34" t="s">
        <v>51</v>
      </c>
      <c r="S150" s="35" t="n">
        <f>14470.48</f>
        <v>14470.48</v>
      </c>
      <c r="T150" s="32" t="n">
        <f>4106</f>
        <v>4106.0</v>
      </c>
      <c r="U150" s="32" t="str">
        <f>"－"</f>
        <v>－</v>
      </c>
      <c r="V150" s="32" t="n">
        <f>58926890</f>
        <v>5.892689E7</v>
      </c>
      <c r="W150" s="32" t="str">
        <f>"－"</f>
        <v>－</v>
      </c>
      <c r="X150" s="36" t="n">
        <f>21</f>
        <v>21.0</v>
      </c>
    </row>
    <row r="151">
      <c r="A151" s="27" t="s">
        <v>42</v>
      </c>
      <c r="B151" s="27" t="s">
        <v>498</v>
      </c>
      <c r="C151" s="27" t="s">
        <v>499</v>
      </c>
      <c r="D151" s="27" t="s">
        <v>500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1.0</v>
      </c>
      <c r="K151" s="33" t="n">
        <f>31100</f>
        <v>31100.0</v>
      </c>
      <c r="L151" s="34" t="s">
        <v>48</v>
      </c>
      <c r="M151" s="33" t="n">
        <f>32000</f>
        <v>32000.0</v>
      </c>
      <c r="N151" s="34" t="s">
        <v>49</v>
      </c>
      <c r="O151" s="33" t="n">
        <f>25220</f>
        <v>25220.0</v>
      </c>
      <c r="P151" s="34" t="s">
        <v>50</v>
      </c>
      <c r="Q151" s="33" t="n">
        <f>29010</f>
        <v>29010.0</v>
      </c>
      <c r="R151" s="34" t="s">
        <v>51</v>
      </c>
      <c r="S151" s="35" t="n">
        <f>28468.1</f>
        <v>28468.1</v>
      </c>
      <c r="T151" s="32" t="n">
        <f>3510</f>
        <v>3510.0</v>
      </c>
      <c r="U151" s="32" t="str">
        <f>"－"</f>
        <v>－</v>
      </c>
      <c r="V151" s="32" t="n">
        <f>97650310</f>
        <v>9.765031E7</v>
      </c>
      <c r="W151" s="32" t="str">
        <f>"－"</f>
        <v>－</v>
      </c>
      <c r="X151" s="36" t="n">
        <f>21</f>
        <v>21.0</v>
      </c>
    </row>
    <row r="152">
      <c r="A152" s="27" t="s">
        <v>42</v>
      </c>
      <c r="B152" s="27" t="s">
        <v>501</v>
      </c>
      <c r="C152" s="27" t="s">
        <v>502</v>
      </c>
      <c r="D152" s="27" t="s">
        <v>503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1.0</v>
      </c>
      <c r="K152" s="33" t="n">
        <f>17860</f>
        <v>17860.0</v>
      </c>
      <c r="L152" s="34" t="s">
        <v>48</v>
      </c>
      <c r="M152" s="33" t="n">
        <f>18460</f>
        <v>18460.0</v>
      </c>
      <c r="N152" s="34" t="s">
        <v>49</v>
      </c>
      <c r="O152" s="33" t="n">
        <f>14190</f>
        <v>14190.0</v>
      </c>
      <c r="P152" s="34" t="s">
        <v>107</v>
      </c>
      <c r="Q152" s="33" t="n">
        <f>17870</f>
        <v>17870.0</v>
      </c>
      <c r="R152" s="34" t="s">
        <v>51</v>
      </c>
      <c r="S152" s="35" t="n">
        <f>17014</f>
        <v>17014.0</v>
      </c>
      <c r="T152" s="32" t="n">
        <f>693</f>
        <v>693.0</v>
      </c>
      <c r="U152" s="32" t="str">
        <f>"－"</f>
        <v>－</v>
      </c>
      <c r="V152" s="32" t="n">
        <f>11602950</f>
        <v>1.160295E7</v>
      </c>
      <c r="W152" s="32" t="str">
        <f>"－"</f>
        <v>－</v>
      </c>
      <c r="X152" s="36" t="n">
        <f>20</f>
        <v>20.0</v>
      </c>
    </row>
    <row r="153">
      <c r="A153" s="27" t="s">
        <v>42</v>
      </c>
      <c r="B153" s="27" t="s">
        <v>504</v>
      </c>
      <c r="C153" s="27" t="s">
        <v>505</v>
      </c>
      <c r="D153" s="27" t="s">
        <v>506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1.0</v>
      </c>
      <c r="K153" s="33" t="n">
        <f>7610</f>
        <v>7610.0</v>
      </c>
      <c r="L153" s="34" t="s">
        <v>48</v>
      </c>
      <c r="M153" s="33" t="n">
        <f>7760</f>
        <v>7760.0</v>
      </c>
      <c r="N153" s="34" t="s">
        <v>49</v>
      </c>
      <c r="O153" s="33" t="n">
        <f>5690</f>
        <v>5690.0</v>
      </c>
      <c r="P153" s="34" t="s">
        <v>107</v>
      </c>
      <c r="Q153" s="33" t="n">
        <f>6580</f>
        <v>6580.0</v>
      </c>
      <c r="R153" s="34" t="s">
        <v>51</v>
      </c>
      <c r="S153" s="35" t="n">
        <f>6688.57</f>
        <v>6688.57</v>
      </c>
      <c r="T153" s="32" t="n">
        <f>22572</f>
        <v>22572.0</v>
      </c>
      <c r="U153" s="32" t="n">
        <f>20</f>
        <v>20.0</v>
      </c>
      <c r="V153" s="32" t="n">
        <f>148553190</f>
        <v>1.4855319E8</v>
      </c>
      <c r="W153" s="32" t="n">
        <f>131310</f>
        <v>131310.0</v>
      </c>
      <c r="X153" s="36" t="n">
        <f>21</f>
        <v>21.0</v>
      </c>
    </row>
    <row r="154">
      <c r="A154" s="27" t="s">
        <v>42</v>
      </c>
      <c r="B154" s="27" t="s">
        <v>507</v>
      </c>
      <c r="C154" s="27" t="s">
        <v>508</v>
      </c>
      <c r="D154" s="27" t="s">
        <v>509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1.0</v>
      </c>
      <c r="K154" s="33" t="n">
        <f>11340</f>
        <v>11340.0</v>
      </c>
      <c r="L154" s="34" t="s">
        <v>48</v>
      </c>
      <c r="M154" s="33" t="n">
        <f>11560</f>
        <v>11560.0</v>
      </c>
      <c r="N154" s="34" t="s">
        <v>49</v>
      </c>
      <c r="O154" s="33" t="n">
        <f>8590</f>
        <v>8590.0</v>
      </c>
      <c r="P154" s="34" t="s">
        <v>107</v>
      </c>
      <c r="Q154" s="33" t="n">
        <f>10240</f>
        <v>10240.0</v>
      </c>
      <c r="R154" s="34" t="s">
        <v>51</v>
      </c>
      <c r="S154" s="35" t="n">
        <f>9999.52</f>
        <v>9999.52</v>
      </c>
      <c r="T154" s="32" t="n">
        <f>2323</f>
        <v>2323.0</v>
      </c>
      <c r="U154" s="32" t="str">
        <f>"－"</f>
        <v>－</v>
      </c>
      <c r="V154" s="32" t="n">
        <f>22561180</f>
        <v>2.256118E7</v>
      </c>
      <c r="W154" s="32" t="str">
        <f>"－"</f>
        <v>－</v>
      </c>
      <c r="X154" s="36" t="n">
        <f>21</f>
        <v>21.0</v>
      </c>
    </row>
    <row r="155">
      <c r="A155" s="27" t="s">
        <v>42</v>
      </c>
      <c r="B155" s="27" t="s">
        <v>510</v>
      </c>
      <c r="C155" s="27" t="s">
        <v>511</v>
      </c>
      <c r="D155" s="27" t="s">
        <v>512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1.0</v>
      </c>
      <c r="K155" s="33" t="n">
        <f>26860</f>
        <v>26860.0</v>
      </c>
      <c r="L155" s="34" t="s">
        <v>48</v>
      </c>
      <c r="M155" s="33" t="n">
        <f>28180</f>
        <v>28180.0</v>
      </c>
      <c r="N155" s="34" t="s">
        <v>49</v>
      </c>
      <c r="O155" s="33" t="n">
        <f>19270</f>
        <v>19270.0</v>
      </c>
      <c r="P155" s="34" t="s">
        <v>62</v>
      </c>
      <c r="Q155" s="33" t="n">
        <f>22680</f>
        <v>22680.0</v>
      </c>
      <c r="R155" s="34" t="s">
        <v>51</v>
      </c>
      <c r="S155" s="35" t="n">
        <f>23313.33</f>
        <v>23313.33</v>
      </c>
      <c r="T155" s="32" t="n">
        <f>1934</f>
        <v>1934.0</v>
      </c>
      <c r="U155" s="32" t="str">
        <f>"－"</f>
        <v>－</v>
      </c>
      <c r="V155" s="32" t="n">
        <f>45279740</f>
        <v>4.527974E7</v>
      </c>
      <c r="W155" s="32" t="str">
        <f>"－"</f>
        <v>－</v>
      </c>
      <c r="X155" s="36" t="n">
        <f>21</f>
        <v>21.0</v>
      </c>
    </row>
    <row r="156">
      <c r="A156" s="27" t="s">
        <v>42</v>
      </c>
      <c r="B156" s="27" t="s">
        <v>513</v>
      </c>
      <c r="C156" s="27" t="s">
        <v>514</v>
      </c>
      <c r="D156" s="27" t="s">
        <v>515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10.0</v>
      </c>
      <c r="K156" s="33" t="n">
        <f>876</f>
        <v>876.0</v>
      </c>
      <c r="L156" s="34" t="s">
        <v>48</v>
      </c>
      <c r="M156" s="33" t="n">
        <f>906</f>
        <v>906.0</v>
      </c>
      <c r="N156" s="34" t="s">
        <v>49</v>
      </c>
      <c r="O156" s="33" t="n">
        <f>698</f>
        <v>698.0</v>
      </c>
      <c r="P156" s="34" t="s">
        <v>107</v>
      </c>
      <c r="Q156" s="33" t="n">
        <f>792</f>
        <v>792.0</v>
      </c>
      <c r="R156" s="34" t="s">
        <v>51</v>
      </c>
      <c r="S156" s="35" t="n">
        <f>797.24</f>
        <v>797.24</v>
      </c>
      <c r="T156" s="32" t="n">
        <f>232570</f>
        <v>232570.0</v>
      </c>
      <c r="U156" s="32" t="str">
        <f>"－"</f>
        <v>－</v>
      </c>
      <c r="V156" s="32" t="n">
        <f>189250460</f>
        <v>1.8925046E8</v>
      </c>
      <c r="W156" s="32" t="str">
        <f>"－"</f>
        <v>－</v>
      </c>
      <c r="X156" s="36" t="n">
        <f>21</f>
        <v>21.0</v>
      </c>
    </row>
    <row r="157">
      <c r="A157" s="27" t="s">
        <v>42</v>
      </c>
      <c r="B157" s="27" t="s">
        <v>516</v>
      </c>
      <c r="C157" s="27" t="s">
        <v>517</v>
      </c>
      <c r="D157" s="27" t="s">
        <v>518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10.0</v>
      </c>
      <c r="K157" s="33" t="n">
        <f>1845</f>
        <v>1845.0</v>
      </c>
      <c r="L157" s="34" t="s">
        <v>48</v>
      </c>
      <c r="M157" s="33" t="n">
        <f>1919</f>
        <v>1919.0</v>
      </c>
      <c r="N157" s="34" t="s">
        <v>49</v>
      </c>
      <c r="O157" s="33" t="n">
        <f>1522</f>
        <v>1522.0</v>
      </c>
      <c r="P157" s="34" t="s">
        <v>107</v>
      </c>
      <c r="Q157" s="33" t="n">
        <f>1818</f>
        <v>1818.0</v>
      </c>
      <c r="R157" s="34" t="s">
        <v>169</v>
      </c>
      <c r="S157" s="35" t="n">
        <f>1710.8</f>
        <v>1710.8</v>
      </c>
      <c r="T157" s="32" t="n">
        <f>1990</f>
        <v>1990.0</v>
      </c>
      <c r="U157" s="32" t="str">
        <f>"－"</f>
        <v>－</v>
      </c>
      <c r="V157" s="32" t="n">
        <f>3308650</f>
        <v>3308650.0</v>
      </c>
      <c r="W157" s="32" t="str">
        <f>"－"</f>
        <v>－</v>
      </c>
      <c r="X157" s="36" t="n">
        <f>15</f>
        <v>15.0</v>
      </c>
    </row>
    <row r="158">
      <c r="A158" s="27" t="s">
        <v>42</v>
      </c>
      <c r="B158" s="27" t="s">
        <v>519</v>
      </c>
      <c r="C158" s="27" t="s">
        <v>520</v>
      </c>
      <c r="D158" s="27" t="s">
        <v>521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10.0</v>
      </c>
      <c r="K158" s="33" t="n">
        <f>1900</f>
        <v>1900.0</v>
      </c>
      <c r="L158" s="34" t="s">
        <v>48</v>
      </c>
      <c r="M158" s="33" t="n">
        <f>1955</f>
        <v>1955.0</v>
      </c>
      <c r="N158" s="34" t="s">
        <v>49</v>
      </c>
      <c r="O158" s="33" t="n">
        <f>1526</f>
        <v>1526.0</v>
      </c>
      <c r="P158" s="34" t="s">
        <v>50</v>
      </c>
      <c r="Q158" s="33" t="n">
        <f>1856</f>
        <v>1856.0</v>
      </c>
      <c r="R158" s="34" t="s">
        <v>169</v>
      </c>
      <c r="S158" s="35" t="n">
        <f>1765.84</f>
        <v>1765.84</v>
      </c>
      <c r="T158" s="32" t="n">
        <f>88030</f>
        <v>88030.0</v>
      </c>
      <c r="U158" s="32" t="str">
        <f>"－"</f>
        <v>－</v>
      </c>
      <c r="V158" s="32" t="n">
        <f>153997340</f>
        <v>1.5399734E8</v>
      </c>
      <c r="W158" s="32" t="str">
        <f>"－"</f>
        <v>－</v>
      </c>
      <c r="X158" s="36" t="n">
        <f>19</f>
        <v>19.0</v>
      </c>
    </row>
    <row r="159">
      <c r="A159" s="27" t="s">
        <v>42</v>
      </c>
      <c r="B159" s="27" t="s">
        <v>522</v>
      </c>
      <c r="C159" s="27" t="s">
        <v>523</v>
      </c>
      <c r="D159" s="27" t="s">
        <v>524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10.0</v>
      </c>
      <c r="K159" s="33" t="n">
        <f>1135</f>
        <v>1135.0</v>
      </c>
      <c r="L159" s="34" t="s">
        <v>48</v>
      </c>
      <c r="M159" s="33" t="n">
        <f>1187</f>
        <v>1187.0</v>
      </c>
      <c r="N159" s="34" t="s">
        <v>49</v>
      </c>
      <c r="O159" s="33" t="n">
        <f>925</f>
        <v>925.0</v>
      </c>
      <c r="P159" s="34" t="s">
        <v>107</v>
      </c>
      <c r="Q159" s="33" t="n">
        <f>1074</f>
        <v>1074.0</v>
      </c>
      <c r="R159" s="34" t="s">
        <v>51</v>
      </c>
      <c r="S159" s="35" t="n">
        <f>1058.19</f>
        <v>1058.19</v>
      </c>
      <c r="T159" s="32" t="n">
        <f>140240</f>
        <v>140240.0</v>
      </c>
      <c r="U159" s="32" t="str">
        <f>"－"</f>
        <v>－</v>
      </c>
      <c r="V159" s="32" t="n">
        <f>144945900</f>
        <v>1.449459E8</v>
      </c>
      <c r="W159" s="32" t="str">
        <f>"－"</f>
        <v>－</v>
      </c>
      <c r="X159" s="36" t="n">
        <f>21</f>
        <v>21.0</v>
      </c>
    </row>
    <row r="160">
      <c r="A160" s="27" t="s">
        <v>42</v>
      </c>
      <c r="B160" s="27" t="s">
        <v>525</v>
      </c>
      <c r="C160" s="27" t="s">
        <v>526</v>
      </c>
      <c r="D160" s="27" t="s">
        <v>527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1.0</v>
      </c>
      <c r="K160" s="33" t="n">
        <f>2248</f>
        <v>2248.0</v>
      </c>
      <c r="L160" s="34" t="s">
        <v>48</v>
      </c>
      <c r="M160" s="33" t="n">
        <f>2400</f>
        <v>2400.0</v>
      </c>
      <c r="N160" s="34" t="s">
        <v>49</v>
      </c>
      <c r="O160" s="33" t="n">
        <f>1716</f>
        <v>1716.0</v>
      </c>
      <c r="P160" s="34" t="s">
        <v>62</v>
      </c>
      <c r="Q160" s="33" t="n">
        <f>2024</f>
        <v>2024.0</v>
      </c>
      <c r="R160" s="34" t="s">
        <v>51</v>
      </c>
      <c r="S160" s="35" t="n">
        <f>2032.48</f>
        <v>2032.48</v>
      </c>
      <c r="T160" s="32" t="n">
        <f>5375534</f>
        <v>5375534.0</v>
      </c>
      <c r="U160" s="32" t="n">
        <f>222145</f>
        <v>222145.0</v>
      </c>
      <c r="V160" s="32" t="n">
        <f>11016108633</f>
        <v>1.1016108633E10</v>
      </c>
      <c r="W160" s="32" t="n">
        <f>492033594</f>
        <v>4.92033594E8</v>
      </c>
      <c r="X160" s="36" t="n">
        <f>21</f>
        <v>21.0</v>
      </c>
    </row>
    <row r="161">
      <c r="A161" s="27" t="s">
        <v>42</v>
      </c>
      <c r="B161" s="27" t="s">
        <v>528</v>
      </c>
      <c r="C161" s="27" t="s">
        <v>529</v>
      </c>
      <c r="D161" s="27" t="s">
        <v>530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1.0</v>
      </c>
      <c r="K161" s="33" t="n">
        <f>2642</f>
        <v>2642.0</v>
      </c>
      <c r="L161" s="34" t="s">
        <v>48</v>
      </c>
      <c r="M161" s="33" t="n">
        <f>2775</f>
        <v>2775.0</v>
      </c>
      <c r="N161" s="34" t="s">
        <v>99</v>
      </c>
      <c r="O161" s="33" t="n">
        <f>2597</f>
        <v>2597.0</v>
      </c>
      <c r="P161" s="34" t="s">
        <v>291</v>
      </c>
      <c r="Q161" s="33" t="n">
        <f>2732</f>
        <v>2732.0</v>
      </c>
      <c r="R161" s="34" t="s">
        <v>51</v>
      </c>
      <c r="S161" s="35" t="n">
        <f>2674.76</f>
        <v>2674.76</v>
      </c>
      <c r="T161" s="32" t="n">
        <f>724263</f>
        <v>724263.0</v>
      </c>
      <c r="U161" s="32" t="n">
        <f>641500</f>
        <v>641500.0</v>
      </c>
      <c r="V161" s="32" t="n">
        <f>1928776481</f>
        <v>1.928776481E9</v>
      </c>
      <c r="W161" s="32" t="n">
        <f>1708051275</f>
        <v>1.708051275E9</v>
      </c>
      <c r="X161" s="36" t="n">
        <f>21</f>
        <v>21.0</v>
      </c>
    </row>
    <row r="162">
      <c r="A162" s="27" t="s">
        <v>42</v>
      </c>
      <c r="B162" s="27" t="s">
        <v>531</v>
      </c>
      <c r="C162" s="27" t="s">
        <v>532</v>
      </c>
      <c r="D162" s="27" t="s">
        <v>533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1.0</v>
      </c>
      <c r="K162" s="33" t="n">
        <f>2112</f>
        <v>2112.0</v>
      </c>
      <c r="L162" s="34" t="s">
        <v>48</v>
      </c>
      <c r="M162" s="33" t="n">
        <f>2214</f>
        <v>2214.0</v>
      </c>
      <c r="N162" s="34" t="s">
        <v>49</v>
      </c>
      <c r="O162" s="33" t="n">
        <f>1560</f>
        <v>1560.0</v>
      </c>
      <c r="P162" s="34" t="s">
        <v>62</v>
      </c>
      <c r="Q162" s="33" t="n">
        <f>1831</f>
        <v>1831.0</v>
      </c>
      <c r="R162" s="34" t="s">
        <v>51</v>
      </c>
      <c r="S162" s="35" t="n">
        <f>1870.67</f>
        <v>1870.67</v>
      </c>
      <c r="T162" s="32" t="n">
        <f>278547</f>
        <v>278547.0</v>
      </c>
      <c r="U162" s="32" t="n">
        <f>71441</f>
        <v>71441.0</v>
      </c>
      <c r="V162" s="32" t="n">
        <f>505398016</f>
        <v>5.05398016E8</v>
      </c>
      <c r="W162" s="32" t="n">
        <f>119347343</f>
        <v>1.19347343E8</v>
      </c>
      <c r="X162" s="36" t="n">
        <f>21</f>
        <v>21.0</v>
      </c>
    </row>
    <row r="163">
      <c r="A163" s="27" t="s">
        <v>42</v>
      </c>
      <c r="B163" s="27" t="s">
        <v>534</v>
      </c>
      <c r="C163" s="27" t="s">
        <v>535</v>
      </c>
      <c r="D163" s="27" t="s">
        <v>536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1.0</v>
      </c>
      <c r="K163" s="33" t="n">
        <f>1741</f>
        <v>1741.0</v>
      </c>
      <c r="L163" s="34" t="s">
        <v>48</v>
      </c>
      <c r="M163" s="33" t="n">
        <f>1815</f>
        <v>1815.0</v>
      </c>
      <c r="N163" s="34" t="s">
        <v>49</v>
      </c>
      <c r="O163" s="33" t="n">
        <f>1282</f>
        <v>1282.0</v>
      </c>
      <c r="P163" s="34" t="s">
        <v>66</v>
      </c>
      <c r="Q163" s="33" t="n">
        <f>1454</f>
        <v>1454.0</v>
      </c>
      <c r="R163" s="34" t="s">
        <v>51</v>
      </c>
      <c r="S163" s="35" t="n">
        <f>1536.57</f>
        <v>1536.57</v>
      </c>
      <c r="T163" s="32" t="n">
        <f>307031</f>
        <v>307031.0</v>
      </c>
      <c r="U163" s="32" t="n">
        <f>713</f>
        <v>713.0</v>
      </c>
      <c r="V163" s="32" t="n">
        <f>475727619</f>
        <v>4.75727619E8</v>
      </c>
      <c r="W163" s="32" t="n">
        <f>1151661</f>
        <v>1151661.0</v>
      </c>
      <c r="X163" s="36" t="n">
        <f>21</f>
        <v>21.0</v>
      </c>
    </row>
    <row r="164">
      <c r="A164" s="27" t="s">
        <v>42</v>
      </c>
      <c r="B164" s="27" t="s">
        <v>537</v>
      </c>
      <c r="C164" s="27" t="s">
        <v>538</v>
      </c>
      <c r="D164" s="27" t="s">
        <v>539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1.0</v>
      </c>
      <c r="K164" s="33" t="n">
        <f>2050</f>
        <v>2050.0</v>
      </c>
      <c r="L164" s="34" t="s">
        <v>48</v>
      </c>
      <c r="M164" s="33" t="n">
        <f>2174</f>
        <v>2174.0</v>
      </c>
      <c r="N164" s="34" t="s">
        <v>103</v>
      </c>
      <c r="O164" s="33" t="n">
        <f>1330</f>
        <v>1330.0</v>
      </c>
      <c r="P164" s="34" t="s">
        <v>62</v>
      </c>
      <c r="Q164" s="33" t="n">
        <f>1636</f>
        <v>1636.0</v>
      </c>
      <c r="R164" s="34" t="s">
        <v>51</v>
      </c>
      <c r="S164" s="35" t="n">
        <f>1742.1</f>
        <v>1742.1</v>
      </c>
      <c r="T164" s="32" t="n">
        <f>1078333</f>
        <v>1078333.0</v>
      </c>
      <c r="U164" s="32" t="n">
        <f>440360</f>
        <v>440360.0</v>
      </c>
      <c r="V164" s="32" t="n">
        <f>1721827780</f>
        <v>1.72182778E9</v>
      </c>
      <c r="W164" s="32" t="n">
        <f>656980041</f>
        <v>6.56980041E8</v>
      </c>
      <c r="X164" s="36" t="n">
        <f>21</f>
        <v>21.0</v>
      </c>
    </row>
    <row r="165">
      <c r="A165" s="27" t="s">
        <v>42</v>
      </c>
      <c r="B165" s="27" t="s">
        <v>540</v>
      </c>
      <c r="C165" s="27" t="s">
        <v>541</v>
      </c>
      <c r="D165" s="27" t="s">
        <v>542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1.0</v>
      </c>
      <c r="K165" s="33" t="n">
        <f>10290</f>
        <v>10290.0</v>
      </c>
      <c r="L165" s="34" t="s">
        <v>48</v>
      </c>
      <c r="M165" s="33" t="n">
        <f>11010</f>
        <v>11010.0</v>
      </c>
      <c r="N165" s="34" t="s">
        <v>103</v>
      </c>
      <c r="O165" s="33" t="n">
        <f>6400</f>
        <v>6400.0</v>
      </c>
      <c r="P165" s="34" t="s">
        <v>62</v>
      </c>
      <c r="Q165" s="33" t="n">
        <f>8090</f>
        <v>8090.0</v>
      </c>
      <c r="R165" s="34" t="s">
        <v>51</v>
      </c>
      <c r="S165" s="35" t="n">
        <f>8991.43</f>
        <v>8991.43</v>
      </c>
      <c r="T165" s="32" t="n">
        <f>67630</f>
        <v>67630.0</v>
      </c>
      <c r="U165" s="32" t="n">
        <f>2556</f>
        <v>2556.0</v>
      </c>
      <c r="V165" s="32" t="n">
        <f>559739750</f>
        <v>5.5973975E8</v>
      </c>
      <c r="W165" s="32" t="n">
        <f>21649200</f>
        <v>2.16492E7</v>
      </c>
      <c r="X165" s="36" t="n">
        <f>21</f>
        <v>21.0</v>
      </c>
    </row>
    <row r="166">
      <c r="A166" s="27" t="s">
        <v>42</v>
      </c>
      <c r="B166" s="27" t="s">
        <v>543</v>
      </c>
      <c r="C166" s="27" t="s">
        <v>544</v>
      </c>
      <c r="D166" s="27" t="s">
        <v>545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100.0</v>
      </c>
      <c r="K166" s="33" t="n">
        <f>123</f>
        <v>123.0</v>
      </c>
      <c r="L166" s="34" t="s">
        <v>48</v>
      </c>
      <c r="M166" s="33" t="n">
        <f>124</f>
        <v>124.0</v>
      </c>
      <c r="N166" s="34" t="s">
        <v>49</v>
      </c>
      <c r="O166" s="33" t="n">
        <f>94</f>
        <v>94.0</v>
      </c>
      <c r="P166" s="34" t="s">
        <v>182</v>
      </c>
      <c r="Q166" s="33" t="n">
        <f>105</f>
        <v>105.0</v>
      </c>
      <c r="R166" s="34" t="s">
        <v>51</v>
      </c>
      <c r="S166" s="35" t="n">
        <f>111.52</f>
        <v>111.52</v>
      </c>
      <c r="T166" s="32" t="n">
        <f>228800</f>
        <v>228800.0</v>
      </c>
      <c r="U166" s="32" t="str">
        <f>"－"</f>
        <v>－</v>
      </c>
      <c r="V166" s="32" t="n">
        <f>22986300</f>
        <v>2.29863E7</v>
      </c>
      <c r="W166" s="32" t="str">
        <f>"－"</f>
        <v>－</v>
      </c>
      <c r="X166" s="36" t="n">
        <f>21</f>
        <v>21.0</v>
      </c>
    </row>
    <row r="167">
      <c r="A167" s="27" t="s">
        <v>42</v>
      </c>
      <c r="B167" s="27" t="s">
        <v>546</v>
      </c>
      <c r="C167" s="27" t="s">
        <v>547</v>
      </c>
      <c r="D167" s="27" t="s">
        <v>548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1.0</v>
      </c>
      <c r="K167" s="33" t="n">
        <f>1936</f>
        <v>1936.0</v>
      </c>
      <c r="L167" s="34" t="s">
        <v>48</v>
      </c>
      <c r="M167" s="33" t="n">
        <f>2106</f>
        <v>2106.0</v>
      </c>
      <c r="N167" s="34" t="s">
        <v>49</v>
      </c>
      <c r="O167" s="33" t="n">
        <f>942</f>
        <v>942.0</v>
      </c>
      <c r="P167" s="34" t="s">
        <v>169</v>
      </c>
      <c r="Q167" s="33" t="n">
        <f>983</f>
        <v>983.0</v>
      </c>
      <c r="R167" s="34" t="s">
        <v>51</v>
      </c>
      <c r="S167" s="35" t="n">
        <f>1401.48</f>
        <v>1401.48</v>
      </c>
      <c r="T167" s="32" t="n">
        <f>61361874</f>
        <v>6.1361874E7</v>
      </c>
      <c r="U167" s="32" t="n">
        <f>2287624</f>
        <v>2287624.0</v>
      </c>
      <c r="V167" s="32" t="n">
        <f>71928740467</f>
        <v>7.1928740467E10</v>
      </c>
      <c r="W167" s="32" t="n">
        <f>2660455033</f>
        <v>2.660455033E9</v>
      </c>
      <c r="X167" s="36" t="n">
        <f>21</f>
        <v>21.0</v>
      </c>
    </row>
    <row r="168">
      <c r="A168" s="27" t="s">
        <v>42</v>
      </c>
      <c r="B168" s="27" t="s">
        <v>549</v>
      </c>
      <c r="C168" s="27" t="s">
        <v>550</v>
      </c>
      <c r="D168" s="27" t="s">
        <v>551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1.0</v>
      </c>
      <c r="K168" s="33" t="n">
        <f>16650</f>
        <v>16650.0</v>
      </c>
      <c r="L168" s="34" t="s">
        <v>48</v>
      </c>
      <c r="M168" s="33" t="n">
        <f>17620</f>
        <v>17620.0</v>
      </c>
      <c r="N168" s="34" t="s">
        <v>290</v>
      </c>
      <c r="O168" s="33" t="n">
        <f>14940</f>
        <v>14940.0</v>
      </c>
      <c r="P168" s="34" t="s">
        <v>50</v>
      </c>
      <c r="Q168" s="33" t="n">
        <f>16290</f>
        <v>16290.0</v>
      </c>
      <c r="R168" s="34" t="s">
        <v>51</v>
      </c>
      <c r="S168" s="35" t="n">
        <f>16310.48</f>
        <v>16310.48</v>
      </c>
      <c r="T168" s="32" t="n">
        <f>7237</f>
        <v>7237.0</v>
      </c>
      <c r="U168" s="32" t="str">
        <f>"－"</f>
        <v>－</v>
      </c>
      <c r="V168" s="32" t="n">
        <f>117676890</f>
        <v>1.1767689E8</v>
      </c>
      <c r="W168" s="32" t="str">
        <f>"－"</f>
        <v>－</v>
      </c>
      <c r="X168" s="36" t="n">
        <f>21</f>
        <v>21.0</v>
      </c>
    </row>
    <row r="169">
      <c r="A169" s="27" t="s">
        <v>42</v>
      </c>
      <c r="B169" s="27" t="s">
        <v>552</v>
      </c>
      <c r="C169" s="27" t="s">
        <v>553</v>
      </c>
      <c r="D169" s="27" t="s">
        <v>554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10.0</v>
      </c>
      <c r="K169" s="33" t="n">
        <f>1650</f>
        <v>1650.0</v>
      </c>
      <c r="L169" s="34" t="s">
        <v>48</v>
      </c>
      <c r="M169" s="33" t="n">
        <f>1650</f>
        <v>1650.0</v>
      </c>
      <c r="N169" s="34" t="s">
        <v>48</v>
      </c>
      <c r="O169" s="33" t="n">
        <f>1210</f>
        <v>1210.0</v>
      </c>
      <c r="P169" s="34" t="s">
        <v>66</v>
      </c>
      <c r="Q169" s="33" t="n">
        <f>1526</f>
        <v>1526.0</v>
      </c>
      <c r="R169" s="34" t="s">
        <v>169</v>
      </c>
      <c r="S169" s="35" t="n">
        <f>1433.75</f>
        <v>1433.75</v>
      </c>
      <c r="T169" s="32" t="n">
        <f>2160</f>
        <v>2160.0</v>
      </c>
      <c r="U169" s="32" t="str">
        <f>"－"</f>
        <v>－</v>
      </c>
      <c r="V169" s="32" t="n">
        <f>3090770</f>
        <v>3090770.0</v>
      </c>
      <c r="W169" s="32" t="str">
        <f>"－"</f>
        <v>－</v>
      </c>
      <c r="X169" s="36" t="n">
        <f>12</f>
        <v>12.0</v>
      </c>
    </row>
    <row r="170">
      <c r="A170" s="27" t="s">
        <v>42</v>
      </c>
      <c r="B170" s="27" t="s">
        <v>555</v>
      </c>
      <c r="C170" s="27" t="s">
        <v>556</v>
      </c>
      <c r="D170" s="27" t="s">
        <v>557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1.0</v>
      </c>
      <c r="K170" s="33" t="n">
        <f>9020</f>
        <v>9020.0</v>
      </c>
      <c r="L170" s="34" t="s">
        <v>49</v>
      </c>
      <c r="M170" s="33" t="n">
        <f>9210</f>
        <v>9210.0</v>
      </c>
      <c r="N170" s="34" t="s">
        <v>49</v>
      </c>
      <c r="O170" s="33" t="n">
        <f>7000</f>
        <v>7000.0</v>
      </c>
      <c r="P170" s="34" t="s">
        <v>290</v>
      </c>
      <c r="Q170" s="33" t="n">
        <f>7290</f>
        <v>7290.0</v>
      </c>
      <c r="R170" s="34" t="s">
        <v>51</v>
      </c>
      <c r="S170" s="35" t="n">
        <f>8072.78</f>
        <v>8072.78</v>
      </c>
      <c r="T170" s="32" t="n">
        <f>434</f>
        <v>434.0</v>
      </c>
      <c r="U170" s="32" t="str">
        <f>"－"</f>
        <v>－</v>
      </c>
      <c r="V170" s="32" t="n">
        <f>3330880</f>
        <v>3330880.0</v>
      </c>
      <c r="W170" s="32" t="str">
        <f>"－"</f>
        <v>－</v>
      </c>
      <c r="X170" s="36" t="n">
        <f>18</f>
        <v>18.0</v>
      </c>
    </row>
    <row r="171">
      <c r="A171" s="27" t="s">
        <v>42</v>
      </c>
      <c r="B171" s="27" t="s">
        <v>558</v>
      </c>
      <c r="C171" s="27" t="s">
        <v>559</v>
      </c>
      <c r="D171" s="27" t="s">
        <v>560</v>
      </c>
      <c r="E171" s="28" t="s">
        <v>46</v>
      </c>
      <c r="F171" s="29" t="s">
        <v>46</v>
      </c>
      <c r="G171" s="30" t="s">
        <v>46</v>
      </c>
      <c r="H171" s="31"/>
      <c r="I171" s="31" t="s">
        <v>47</v>
      </c>
      <c r="J171" s="32" t="n">
        <v>1.0</v>
      </c>
      <c r="K171" s="33" t="n">
        <f>28550</f>
        <v>28550.0</v>
      </c>
      <c r="L171" s="34" t="s">
        <v>48</v>
      </c>
      <c r="M171" s="33" t="n">
        <f>30450</f>
        <v>30450.0</v>
      </c>
      <c r="N171" s="34" t="s">
        <v>277</v>
      </c>
      <c r="O171" s="33" t="n">
        <f>17500</f>
        <v>17500.0</v>
      </c>
      <c r="P171" s="34" t="s">
        <v>107</v>
      </c>
      <c r="Q171" s="33" t="n">
        <f>25120</f>
        <v>25120.0</v>
      </c>
      <c r="R171" s="34" t="s">
        <v>169</v>
      </c>
      <c r="S171" s="35" t="n">
        <f>24948.95</f>
        <v>24948.95</v>
      </c>
      <c r="T171" s="32" t="n">
        <f>612</f>
        <v>612.0</v>
      </c>
      <c r="U171" s="32" t="str">
        <f>"－"</f>
        <v>－</v>
      </c>
      <c r="V171" s="32" t="n">
        <f>15090780</f>
        <v>1.509078E7</v>
      </c>
      <c r="W171" s="32" t="str">
        <f>"－"</f>
        <v>－</v>
      </c>
      <c r="X171" s="36" t="n">
        <f>19</f>
        <v>19.0</v>
      </c>
    </row>
    <row r="172">
      <c r="A172" s="27" t="s">
        <v>42</v>
      </c>
      <c r="B172" s="27" t="s">
        <v>561</v>
      </c>
      <c r="C172" s="27" t="s">
        <v>562</v>
      </c>
      <c r="D172" s="27" t="s">
        <v>563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1.0</v>
      </c>
      <c r="K172" s="33" t="n">
        <f>12870</f>
        <v>12870.0</v>
      </c>
      <c r="L172" s="34" t="s">
        <v>291</v>
      </c>
      <c r="M172" s="33" t="n">
        <f>12870</f>
        <v>12870.0</v>
      </c>
      <c r="N172" s="34" t="s">
        <v>291</v>
      </c>
      <c r="O172" s="33" t="n">
        <f>10430</f>
        <v>10430.0</v>
      </c>
      <c r="P172" s="34" t="s">
        <v>50</v>
      </c>
      <c r="Q172" s="33" t="n">
        <f>10430</f>
        <v>10430.0</v>
      </c>
      <c r="R172" s="34" t="s">
        <v>50</v>
      </c>
      <c r="S172" s="35" t="n">
        <f>11650</f>
        <v>11650.0</v>
      </c>
      <c r="T172" s="32" t="n">
        <f>2</f>
        <v>2.0</v>
      </c>
      <c r="U172" s="32" t="str">
        <f>"－"</f>
        <v>－</v>
      </c>
      <c r="V172" s="32" t="n">
        <f>23300</f>
        <v>23300.0</v>
      </c>
      <c r="W172" s="32" t="str">
        <f>"－"</f>
        <v>－</v>
      </c>
      <c r="X172" s="36" t="n">
        <f>2</f>
        <v>2.0</v>
      </c>
    </row>
    <row r="173">
      <c r="A173" s="27" t="s">
        <v>42</v>
      </c>
      <c r="B173" s="27" t="s">
        <v>564</v>
      </c>
      <c r="C173" s="27" t="s">
        <v>565</v>
      </c>
      <c r="D173" s="27" t="s">
        <v>566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10.0</v>
      </c>
      <c r="K173" s="33" t="n">
        <f>50400</f>
        <v>50400.0</v>
      </c>
      <c r="L173" s="34" t="s">
        <v>48</v>
      </c>
      <c r="M173" s="33" t="n">
        <f>51100</f>
        <v>51100.0</v>
      </c>
      <c r="N173" s="34" t="s">
        <v>103</v>
      </c>
      <c r="O173" s="33" t="n">
        <f>48000</f>
        <v>48000.0</v>
      </c>
      <c r="P173" s="34" t="s">
        <v>66</v>
      </c>
      <c r="Q173" s="33" t="n">
        <f>50100</f>
        <v>50100.0</v>
      </c>
      <c r="R173" s="34" t="s">
        <v>51</v>
      </c>
      <c r="S173" s="35" t="n">
        <f>49850</f>
        <v>49850.0</v>
      </c>
      <c r="T173" s="32" t="n">
        <f>23370</f>
        <v>23370.0</v>
      </c>
      <c r="U173" s="32" t="n">
        <f>6520</f>
        <v>6520.0</v>
      </c>
      <c r="V173" s="32" t="n">
        <f>1167083600</f>
        <v>1.1670836E9</v>
      </c>
      <c r="W173" s="32" t="n">
        <f>331002600</f>
        <v>3.310026E8</v>
      </c>
      <c r="X173" s="36" t="n">
        <f>21</f>
        <v>21.0</v>
      </c>
    </row>
    <row r="174">
      <c r="A174" s="27" t="s">
        <v>42</v>
      </c>
      <c r="B174" s="27" t="s">
        <v>567</v>
      </c>
      <c r="C174" s="27" t="s">
        <v>568</v>
      </c>
      <c r="D174" s="27" t="s">
        <v>569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100.0</v>
      </c>
      <c r="K174" s="33" t="n">
        <f>149</f>
        <v>149.0</v>
      </c>
      <c r="L174" s="34" t="s">
        <v>48</v>
      </c>
      <c r="M174" s="33" t="n">
        <f>155</f>
        <v>155.0</v>
      </c>
      <c r="N174" s="34" t="s">
        <v>48</v>
      </c>
      <c r="O174" s="33" t="n">
        <f>101</f>
        <v>101.0</v>
      </c>
      <c r="P174" s="34" t="s">
        <v>62</v>
      </c>
      <c r="Q174" s="33" t="n">
        <f>119</f>
        <v>119.0</v>
      </c>
      <c r="R174" s="34" t="s">
        <v>51</v>
      </c>
      <c r="S174" s="35" t="n">
        <f>123.9</f>
        <v>123.9</v>
      </c>
      <c r="T174" s="32" t="n">
        <f>7748000</f>
        <v>7748000.0</v>
      </c>
      <c r="U174" s="32" t="n">
        <f>48800</f>
        <v>48800.0</v>
      </c>
      <c r="V174" s="32" t="n">
        <f>958991149</f>
        <v>9.58991149E8</v>
      </c>
      <c r="W174" s="32" t="n">
        <f>5930949</f>
        <v>5930949.0</v>
      </c>
      <c r="X174" s="36" t="n">
        <f>21</f>
        <v>21.0</v>
      </c>
    </row>
    <row r="175">
      <c r="A175" s="27" t="s">
        <v>42</v>
      </c>
      <c r="B175" s="27" t="s">
        <v>570</v>
      </c>
      <c r="C175" s="27" t="s">
        <v>571</v>
      </c>
      <c r="D175" s="27" t="s">
        <v>572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10.0</v>
      </c>
      <c r="K175" s="33" t="n">
        <f>24510</f>
        <v>24510.0</v>
      </c>
      <c r="L175" s="34" t="s">
        <v>48</v>
      </c>
      <c r="M175" s="33" t="n">
        <f>26240</f>
        <v>26240.0</v>
      </c>
      <c r="N175" s="34" t="s">
        <v>49</v>
      </c>
      <c r="O175" s="33" t="n">
        <f>18050</f>
        <v>18050.0</v>
      </c>
      <c r="P175" s="34" t="s">
        <v>62</v>
      </c>
      <c r="Q175" s="33" t="n">
        <f>21470</f>
        <v>21470.0</v>
      </c>
      <c r="R175" s="34" t="s">
        <v>51</v>
      </c>
      <c r="S175" s="35" t="n">
        <f>22000.48</f>
        <v>22000.48</v>
      </c>
      <c r="T175" s="32" t="n">
        <f>74580</f>
        <v>74580.0</v>
      </c>
      <c r="U175" s="32" t="n">
        <f>18510</f>
        <v>18510.0</v>
      </c>
      <c r="V175" s="32" t="n">
        <f>1622505600</f>
        <v>1.6225056E9</v>
      </c>
      <c r="W175" s="32" t="n">
        <f>398971900</f>
        <v>3.989719E8</v>
      </c>
      <c r="X175" s="36" t="n">
        <f>21</f>
        <v>21.0</v>
      </c>
    </row>
    <row r="176">
      <c r="A176" s="27" t="s">
        <v>42</v>
      </c>
      <c r="B176" s="27" t="s">
        <v>573</v>
      </c>
      <c r="C176" s="27" t="s">
        <v>574</v>
      </c>
      <c r="D176" s="27" t="s">
        <v>575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10.0</v>
      </c>
      <c r="K176" s="33" t="n">
        <f>2351</f>
        <v>2351.0</v>
      </c>
      <c r="L176" s="34" t="s">
        <v>48</v>
      </c>
      <c r="M176" s="33" t="n">
        <f>2512</f>
        <v>2512.0</v>
      </c>
      <c r="N176" s="34" t="s">
        <v>49</v>
      </c>
      <c r="O176" s="33" t="n">
        <f>1751</f>
        <v>1751.0</v>
      </c>
      <c r="P176" s="34" t="s">
        <v>62</v>
      </c>
      <c r="Q176" s="33" t="n">
        <f>2073</f>
        <v>2073.0</v>
      </c>
      <c r="R176" s="34" t="s">
        <v>51</v>
      </c>
      <c r="S176" s="35" t="n">
        <f>2115.05</f>
        <v>2115.05</v>
      </c>
      <c r="T176" s="32" t="n">
        <f>512950</f>
        <v>512950.0</v>
      </c>
      <c r="U176" s="32" t="n">
        <f>20260</f>
        <v>20260.0</v>
      </c>
      <c r="V176" s="32" t="n">
        <f>1056959840</f>
        <v>1.05695984E9</v>
      </c>
      <c r="W176" s="32" t="n">
        <f>40195270</f>
        <v>4.019527E7</v>
      </c>
      <c r="X176" s="36" t="n">
        <f>21</f>
        <v>21.0</v>
      </c>
    </row>
    <row r="177">
      <c r="A177" s="27" t="s">
        <v>42</v>
      </c>
      <c r="B177" s="27" t="s">
        <v>576</v>
      </c>
      <c r="C177" s="27" t="s">
        <v>577</v>
      </c>
      <c r="D177" s="27" t="s">
        <v>578</v>
      </c>
      <c r="E177" s="28" t="s">
        <v>46</v>
      </c>
      <c r="F177" s="29" t="s">
        <v>46</v>
      </c>
      <c r="G177" s="30" t="s">
        <v>46</v>
      </c>
      <c r="H177" s="31"/>
      <c r="I177" s="31" t="s">
        <v>47</v>
      </c>
      <c r="J177" s="32" t="n">
        <v>10.0</v>
      </c>
      <c r="K177" s="33" t="n">
        <f>1330</f>
        <v>1330.0</v>
      </c>
      <c r="L177" s="34" t="s">
        <v>48</v>
      </c>
      <c r="M177" s="33" t="n">
        <f>1399</f>
        <v>1399.0</v>
      </c>
      <c r="N177" s="34" t="s">
        <v>48</v>
      </c>
      <c r="O177" s="33" t="n">
        <f>987</f>
        <v>987.0</v>
      </c>
      <c r="P177" s="34" t="s">
        <v>62</v>
      </c>
      <c r="Q177" s="33" t="n">
        <f>1116</f>
        <v>1116.0</v>
      </c>
      <c r="R177" s="34" t="s">
        <v>51</v>
      </c>
      <c r="S177" s="35" t="n">
        <f>1193.76</f>
        <v>1193.76</v>
      </c>
      <c r="T177" s="32" t="n">
        <f>353620</f>
        <v>353620.0</v>
      </c>
      <c r="U177" s="32" t="n">
        <f>220</f>
        <v>220.0</v>
      </c>
      <c r="V177" s="32" t="n">
        <f>400760900</f>
        <v>4.007609E8</v>
      </c>
      <c r="W177" s="32" t="n">
        <f>228580</f>
        <v>228580.0</v>
      </c>
      <c r="X177" s="36" t="n">
        <f>21</f>
        <v>21.0</v>
      </c>
    </row>
    <row r="178">
      <c r="A178" s="27" t="s">
        <v>42</v>
      </c>
      <c r="B178" s="27" t="s">
        <v>579</v>
      </c>
      <c r="C178" s="27" t="s">
        <v>580</v>
      </c>
      <c r="D178" s="27" t="s">
        <v>581</v>
      </c>
      <c r="E178" s="28" t="s">
        <v>46</v>
      </c>
      <c r="F178" s="29" t="s">
        <v>46</v>
      </c>
      <c r="G178" s="30" t="s">
        <v>46</v>
      </c>
      <c r="H178" s="31"/>
      <c r="I178" s="31" t="s">
        <v>47</v>
      </c>
      <c r="J178" s="32" t="n">
        <v>100.0</v>
      </c>
      <c r="K178" s="33" t="n">
        <f>163</f>
        <v>163.0</v>
      </c>
      <c r="L178" s="34" t="s">
        <v>48</v>
      </c>
      <c r="M178" s="33" t="n">
        <f>169</f>
        <v>169.0</v>
      </c>
      <c r="N178" s="34" t="s">
        <v>49</v>
      </c>
      <c r="O178" s="33" t="n">
        <f>121</f>
        <v>121.0</v>
      </c>
      <c r="P178" s="34" t="s">
        <v>66</v>
      </c>
      <c r="Q178" s="33" t="n">
        <f>136</f>
        <v>136.0</v>
      </c>
      <c r="R178" s="34" t="s">
        <v>51</v>
      </c>
      <c r="S178" s="35" t="n">
        <f>146.71</f>
        <v>146.71</v>
      </c>
      <c r="T178" s="32" t="n">
        <f>601700</f>
        <v>601700.0</v>
      </c>
      <c r="U178" s="32" t="str">
        <f>"－"</f>
        <v>－</v>
      </c>
      <c r="V178" s="32" t="n">
        <f>81783100</f>
        <v>8.17831E7</v>
      </c>
      <c r="W178" s="32" t="str">
        <f>"－"</f>
        <v>－</v>
      </c>
      <c r="X178" s="36" t="n">
        <f>21</f>
        <v>21.0</v>
      </c>
    </row>
    <row r="179">
      <c r="A179" s="27" t="s">
        <v>42</v>
      </c>
      <c r="B179" s="27" t="s">
        <v>582</v>
      </c>
      <c r="C179" s="27" t="s">
        <v>583</v>
      </c>
      <c r="D179" s="27" t="s">
        <v>584</v>
      </c>
      <c r="E179" s="28" t="s">
        <v>46</v>
      </c>
      <c r="F179" s="29" t="s">
        <v>46</v>
      </c>
      <c r="G179" s="30" t="s">
        <v>46</v>
      </c>
      <c r="H179" s="31"/>
      <c r="I179" s="31" t="s">
        <v>47</v>
      </c>
      <c r="J179" s="32" t="n">
        <v>10.0</v>
      </c>
      <c r="K179" s="33" t="n">
        <f>4110</f>
        <v>4110.0</v>
      </c>
      <c r="L179" s="34" t="s">
        <v>48</v>
      </c>
      <c r="M179" s="33" t="n">
        <f>4675</f>
        <v>4675.0</v>
      </c>
      <c r="N179" s="34" t="s">
        <v>99</v>
      </c>
      <c r="O179" s="33" t="n">
        <f>3705</f>
        <v>3705.0</v>
      </c>
      <c r="P179" s="34" t="s">
        <v>107</v>
      </c>
      <c r="Q179" s="33" t="n">
        <f>4300</f>
        <v>4300.0</v>
      </c>
      <c r="R179" s="34" t="s">
        <v>51</v>
      </c>
      <c r="S179" s="35" t="n">
        <f>4172.37</f>
        <v>4172.37</v>
      </c>
      <c r="T179" s="32" t="n">
        <f>4560</f>
        <v>4560.0</v>
      </c>
      <c r="U179" s="32" t="str">
        <f>"－"</f>
        <v>－</v>
      </c>
      <c r="V179" s="32" t="n">
        <f>19030750</f>
        <v>1.903075E7</v>
      </c>
      <c r="W179" s="32" t="str">
        <f>"－"</f>
        <v>－</v>
      </c>
      <c r="X179" s="36" t="n">
        <f>19</f>
        <v>19.0</v>
      </c>
    </row>
    <row r="180">
      <c r="A180" s="27" t="s">
        <v>42</v>
      </c>
      <c r="B180" s="27" t="s">
        <v>585</v>
      </c>
      <c r="C180" s="27" t="s">
        <v>586</v>
      </c>
      <c r="D180" s="27" t="s">
        <v>587</v>
      </c>
      <c r="E180" s="28" t="s">
        <v>46</v>
      </c>
      <c r="F180" s="29" t="s">
        <v>46</v>
      </c>
      <c r="G180" s="30" t="s">
        <v>46</v>
      </c>
      <c r="H180" s="31"/>
      <c r="I180" s="31" t="s">
        <v>47</v>
      </c>
      <c r="J180" s="32" t="n">
        <v>10.0</v>
      </c>
      <c r="K180" s="33" t="n">
        <f>835</f>
        <v>835.0</v>
      </c>
      <c r="L180" s="34" t="s">
        <v>328</v>
      </c>
      <c r="M180" s="33" t="n">
        <f>835</f>
        <v>835.0</v>
      </c>
      <c r="N180" s="34" t="s">
        <v>328</v>
      </c>
      <c r="O180" s="33" t="n">
        <f>590</f>
        <v>590.0</v>
      </c>
      <c r="P180" s="34" t="s">
        <v>66</v>
      </c>
      <c r="Q180" s="33" t="n">
        <f>590</f>
        <v>590.0</v>
      </c>
      <c r="R180" s="34" t="s">
        <v>66</v>
      </c>
      <c r="S180" s="35" t="n">
        <f>715</f>
        <v>715.0</v>
      </c>
      <c r="T180" s="32" t="n">
        <f>280</f>
        <v>280.0</v>
      </c>
      <c r="U180" s="32" t="str">
        <f>"－"</f>
        <v>－</v>
      </c>
      <c r="V180" s="32" t="n">
        <f>197550</f>
        <v>197550.0</v>
      </c>
      <c r="W180" s="32" t="str">
        <f>"－"</f>
        <v>－</v>
      </c>
      <c r="X180" s="36" t="n">
        <f>3</f>
        <v>3.0</v>
      </c>
    </row>
    <row r="181">
      <c r="A181" s="27" t="s">
        <v>42</v>
      </c>
      <c r="B181" s="27" t="s">
        <v>588</v>
      </c>
      <c r="C181" s="27" t="s">
        <v>589</v>
      </c>
      <c r="D181" s="27" t="s">
        <v>590</v>
      </c>
      <c r="E181" s="28" t="s">
        <v>46</v>
      </c>
      <c r="F181" s="29" t="s">
        <v>46</v>
      </c>
      <c r="G181" s="30" t="s">
        <v>46</v>
      </c>
      <c r="H181" s="31"/>
      <c r="I181" s="31" t="s">
        <v>47</v>
      </c>
      <c r="J181" s="32" t="n">
        <v>10.0</v>
      </c>
      <c r="K181" s="33" t="n">
        <f>256</f>
        <v>256.0</v>
      </c>
      <c r="L181" s="34" t="s">
        <v>277</v>
      </c>
      <c r="M181" s="33" t="n">
        <f>353</f>
        <v>353.0</v>
      </c>
      <c r="N181" s="34" t="s">
        <v>168</v>
      </c>
      <c r="O181" s="33" t="n">
        <f>157</f>
        <v>157.0</v>
      </c>
      <c r="P181" s="34" t="s">
        <v>169</v>
      </c>
      <c r="Q181" s="33" t="n">
        <f>187</f>
        <v>187.0</v>
      </c>
      <c r="R181" s="34" t="s">
        <v>169</v>
      </c>
      <c r="S181" s="35" t="n">
        <f>265.8</f>
        <v>265.8</v>
      </c>
      <c r="T181" s="32" t="n">
        <f>1160</f>
        <v>1160.0</v>
      </c>
      <c r="U181" s="32" t="str">
        <f>"－"</f>
        <v>－</v>
      </c>
      <c r="V181" s="32" t="n">
        <f>287080</f>
        <v>287080.0</v>
      </c>
      <c r="W181" s="32" t="str">
        <f>"－"</f>
        <v>－</v>
      </c>
      <c r="X181" s="36" t="n">
        <f>10</f>
        <v>10.0</v>
      </c>
    </row>
    <row r="182">
      <c r="A182" s="27" t="s">
        <v>42</v>
      </c>
      <c r="B182" s="27" t="s">
        <v>591</v>
      </c>
      <c r="C182" s="27" t="s">
        <v>592</v>
      </c>
      <c r="D182" s="27" t="s">
        <v>593</v>
      </c>
      <c r="E182" s="28" t="s">
        <v>46</v>
      </c>
      <c r="F182" s="29" t="s">
        <v>46</v>
      </c>
      <c r="G182" s="30" t="s">
        <v>46</v>
      </c>
      <c r="H182" s="31"/>
      <c r="I182" s="31" t="s">
        <v>47</v>
      </c>
      <c r="J182" s="32" t="n">
        <v>10.0</v>
      </c>
      <c r="K182" s="33" t="n">
        <f>861</f>
        <v>861.0</v>
      </c>
      <c r="L182" s="34" t="s">
        <v>48</v>
      </c>
      <c r="M182" s="33" t="n">
        <f>1416</f>
        <v>1416.0</v>
      </c>
      <c r="N182" s="34" t="s">
        <v>48</v>
      </c>
      <c r="O182" s="33" t="n">
        <f>861</f>
        <v>861.0</v>
      </c>
      <c r="P182" s="34" t="s">
        <v>48</v>
      </c>
      <c r="Q182" s="33" t="n">
        <f>1362</f>
        <v>1362.0</v>
      </c>
      <c r="R182" s="34" t="s">
        <v>49</v>
      </c>
      <c r="S182" s="35" t="n">
        <f>1389</f>
        <v>1389.0</v>
      </c>
      <c r="T182" s="32" t="n">
        <f>310</f>
        <v>310.0</v>
      </c>
      <c r="U182" s="32" t="str">
        <f>"－"</f>
        <v>－</v>
      </c>
      <c r="V182" s="32" t="n">
        <f>381590</f>
        <v>381590.0</v>
      </c>
      <c r="W182" s="32" t="str">
        <f>"－"</f>
        <v>－</v>
      </c>
      <c r="X182" s="36" t="n">
        <f>2</f>
        <v>2.0</v>
      </c>
    </row>
    <row r="183">
      <c r="A183" s="27" t="s">
        <v>42</v>
      </c>
      <c r="B183" s="27" t="s">
        <v>594</v>
      </c>
      <c r="C183" s="27" t="s">
        <v>595</v>
      </c>
      <c r="D183" s="27" t="s">
        <v>596</v>
      </c>
      <c r="E183" s="28" t="s">
        <v>46</v>
      </c>
      <c r="F183" s="29" t="s">
        <v>46</v>
      </c>
      <c r="G183" s="30" t="s">
        <v>46</v>
      </c>
      <c r="H183" s="31"/>
      <c r="I183" s="31" t="s">
        <v>47</v>
      </c>
      <c r="J183" s="32" t="n">
        <v>10.0</v>
      </c>
      <c r="K183" s="33" t="n">
        <f>422</f>
        <v>422.0</v>
      </c>
      <c r="L183" s="34" t="s">
        <v>48</v>
      </c>
      <c r="M183" s="33" t="n">
        <f>455</f>
        <v>455.0</v>
      </c>
      <c r="N183" s="34" t="s">
        <v>277</v>
      </c>
      <c r="O183" s="33" t="n">
        <f>345</f>
        <v>345.0</v>
      </c>
      <c r="P183" s="34" t="s">
        <v>50</v>
      </c>
      <c r="Q183" s="33" t="n">
        <f>385</f>
        <v>385.0</v>
      </c>
      <c r="R183" s="34" t="s">
        <v>51</v>
      </c>
      <c r="S183" s="35" t="n">
        <f>393.19</f>
        <v>393.19</v>
      </c>
      <c r="T183" s="32" t="n">
        <f>5000</f>
        <v>5000.0</v>
      </c>
      <c r="U183" s="32" t="n">
        <f>330</f>
        <v>330.0</v>
      </c>
      <c r="V183" s="32" t="n">
        <f>1989250</f>
        <v>1989250.0</v>
      </c>
      <c r="W183" s="32" t="n">
        <f>132250</f>
        <v>132250.0</v>
      </c>
      <c r="X183" s="36" t="n">
        <f>21</f>
        <v>21.0</v>
      </c>
    </row>
    <row r="184">
      <c r="A184" s="27" t="s">
        <v>42</v>
      </c>
      <c r="B184" s="27" t="s">
        <v>597</v>
      </c>
      <c r="C184" s="27" t="s">
        <v>598</v>
      </c>
      <c r="D184" s="27" t="s">
        <v>599</v>
      </c>
      <c r="E184" s="28" t="s">
        <v>46</v>
      </c>
      <c r="F184" s="29" t="s">
        <v>46</v>
      </c>
      <c r="G184" s="30" t="s">
        <v>46</v>
      </c>
      <c r="H184" s="31"/>
      <c r="I184" s="31" t="s">
        <v>47</v>
      </c>
      <c r="J184" s="32" t="n">
        <v>10.0</v>
      </c>
      <c r="K184" s="33" t="n">
        <f>313</f>
        <v>313.0</v>
      </c>
      <c r="L184" s="34" t="s">
        <v>48</v>
      </c>
      <c r="M184" s="33" t="n">
        <f>330</f>
        <v>330.0</v>
      </c>
      <c r="N184" s="34" t="s">
        <v>77</v>
      </c>
      <c r="O184" s="33" t="n">
        <f>288</f>
        <v>288.0</v>
      </c>
      <c r="P184" s="34" t="s">
        <v>66</v>
      </c>
      <c r="Q184" s="33" t="n">
        <f>322</f>
        <v>322.0</v>
      </c>
      <c r="R184" s="34" t="s">
        <v>51</v>
      </c>
      <c r="S184" s="35" t="n">
        <f>316.62</f>
        <v>316.62</v>
      </c>
      <c r="T184" s="32" t="n">
        <f>45060</f>
        <v>45060.0</v>
      </c>
      <c r="U184" s="32" t="n">
        <f>310</f>
        <v>310.0</v>
      </c>
      <c r="V184" s="32" t="n">
        <f>14183510</f>
        <v>1.418351E7</v>
      </c>
      <c r="W184" s="32" t="n">
        <f>102300</f>
        <v>102300.0</v>
      </c>
      <c r="X184" s="36" t="n">
        <f>21</f>
        <v>21.0</v>
      </c>
    </row>
    <row r="185">
      <c r="A185" s="27" t="s">
        <v>42</v>
      </c>
      <c r="B185" s="27" t="s">
        <v>600</v>
      </c>
      <c r="C185" s="27" t="s">
        <v>601</v>
      </c>
      <c r="D185" s="27" t="s">
        <v>602</v>
      </c>
      <c r="E185" s="28" t="s">
        <v>46</v>
      </c>
      <c r="F185" s="29" t="s">
        <v>46</v>
      </c>
      <c r="G185" s="30" t="s">
        <v>46</v>
      </c>
      <c r="H185" s="31"/>
      <c r="I185" s="31" t="s">
        <v>47</v>
      </c>
      <c r="J185" s="32" t="n">
        <v>100.0</v>
      </c>
      <c r="K185" s="33" t="n">
        <f>2</f>
        <v>2.0</v>
      </c>
      <c r="L185" s="34" t="s">
        <v>48</v>
      </c>
      <c r="M185" s="33" t="n">
        <f>2</f>
        <v>2.0</v>
      </c>
      <c r="N185" s="34" t="s">
        <v>48</v>
      </c>
      <c r="O185" s="33" t="n">
        <f>1</f>
        <v>1.0</v>
      </c>
      <c r="P185" s="34" t="s">
        <v>48</v>
      </c>
      <c r="Q185" s="33" t="n">
        <f>2</f>
        <v>2.0</v>
      </c>
      <c r="R185" s="34" t="s">
        <v>51</v>
      </c>
      <c r="S185" s="35" t="n">
        <f>1.95</f>
        <v>1.95</v>
      </c>
      <c r="T185" s="32" t="n">
        <f>84617100</f>
        <v>8.46171E7</v>
      </c>
      <c r="U185" s="32" t="str">
        <f>"－"</f>
        <v>－</v>
      </c>
      <c r="V185" s="32" t="n">
        <f>162999200</f>
        <v>1.629992E8</v>
      </c>
      <c r="W185" s="32" t="str">
        <f>"－"</f>
        <v>－</v>
      </c>
      <c r="X185" s="36" t="n">
        <f>21</f>
        <v>21.0</v>
      </c>
    </row>
    <row r="186">
      <c r="A186" s="27" t="s">
        <v>42</v>
      </c>
      <c r="B186" s="27" t="s">
        <v>603</v>
      </c>
      <c r="C186" s="27" t="s">
        <v>604</v>
      </c>
      <c r="D186" s="27" t="s">
        <v>605</v>
      </c>
      <c r="E186" s="28" t="s">
        <v>46</v>
      </c>
      <c r="F186" s="29" t="s">
        <v>46</v>
      </c>
      <c r="G186" s="30" t="s">
        <v>46</v>
      </c>
      <c r="H186" s="31"/>
      <c r="I186" s="31" t="s">
        <v>47</v>
      </c>
      <c r="J186" s="32" t="n">
        <v>10.0</v>
      </c>
      <c r="K186" s="33" t="n">
        <f>770</f>
        <v>770.0</v>
      </c>
      <c r="L186" s="34" t="s">
        <v>48</v>
      </c>
      <c r="M186" s="33" t="n">
        <f>927</f>
        <v>927.0</v>
      </c>
      <c r="N186" s="34" t="s">
        <v>48</v>
      </c>
      <c r="O186" s="33" t="n">
        <f>403</f>
        <v>403.0</v>
      </c>
      <c r="P186" s="34" t="s">
        <v>51</v>
      </c>
      <c r="Q186" s="33" t="n">
        <f>405</f>
        <v>405.0</v>
      </c>
      <c r="R186" s="34" t="s">
        <v>51</v>
      </c>
      <c r="S186" s="35" t="n">
        <f>588.33</f>
        <v>588.33</v>
      </c>
      <c r="T186" s="32" t="n">
        <f>843020</f>
        <v>843020.0</v>
      </c>
      <c r="U186" s="32" t="str">
        <f>"－"</f>
        <v>－</v>
      </c>
      <c r="V186" s="32" t="n">
        <f>412613290</f>
        <v>4.1261329E8</v>
      </c>
      <c r="W186" s="32" t="str">
        <f>"－"</f>
        <v>－</v>
      </c>
      <c r="X186" s="36" t="n">
        <f>21</f>
        <v>21.0</v>
      </c>
    </row>
    <row r="187">
      <c r="A187" s="27" t="s">
        <v>42</v>
      </c>
      <c r="B187" s="27" t="s">
        <v>606</v>
      </c>
      <c r="C187" s="27" t="s">
        <v>607</v>
      </c>
      <c r="D187" s="27" t="s">
        <v>608</v>
      </c>
      <c r="E187" s="28" t="s">
        <v>46</v>
      </c>
      <c r="F187" s="29" t="s">
        <v>46</v>
      </c>
      <c r="G187" s="30" t="s">
        <v>46</v>
      </c>
      <c r="H187" s="31"/>
      <c r="I187" s="31" t="s">
        <v>47</v>
      </c>
      <c r="J187" s="32" t="n">
        <v>1.0</v>
      </c>
      <c r="K187" s="33" t="n">
        <f>2398</f>
        <v>2398.0</v>
      </c>
      <c r="L187" s="34" t="s">
        <v>48</v>
      </c>
      <c r="M187" s="33" t="n">
        <f>2585</f>
        <v>2585.0</v>
      </c>
      <c r="N187" s="34" t="s">
        <v>277</v>
      </c>
      <c r="O187" s="33" t="n">
        <f>1036</f>
        <v>1036.0</v>
      </c>
      <c r="P187" s="34" t="s">
        <v>99</v>
      </c>
      <c r="Q187" s="33" t="n">
        <f>1326</f>
        <v>1326.0</v>
      </c>
      <c r="R187" s="34" t="s">
        <v>169</v>
      </c>
      <c r="S187" s="35" t="n">
        <f>1742.41</f>
        <v>1742.41</v>
      </c>
      <c r="T187" s="32" t="n">
        <f>3682</f>
        <v>3682.0</v>
      </c>
      <c r="U187" s="32" t="str">
        <f>"－"</f>
        <v>－</v>
      </c>
      <c r="V187" s="32" t="n">
        <f>5255195</f>
        <v>5255195.0</v>
      </c>
      <c r="W187" s="32" t="str">
        <f>"－"</f>
        <v>－</v>
      </c>
      <c r="X187" s="36" t="n">
        <f>17</f>
        <v>17.0</v>
      </c>
    </row>
    <row r="188">
      <c r="A188" s="27" t="s">
        <v>42</v>
      </c>
      <c r="B188" s="27" t="s">
        <v>609</v>
      </c>
      <c r="C188" s="27" t="s">
        <v>610</v>
      </c>
      <c r="D188" s="27" t="s">
        <v>611</v>
      </c>
      <c r="E188" s="28" t="s">
        <v>46</v>
      </c>
      <c r="F188" s="29" t="s">
        <v>46</v>
      </c>
      <c r="G188" s="30" t="s">
        <v>46</v>
      </c>
      <c r="H188" s="31"/>
      <c r="I188" s="31" t="s">
        <v>47</v>
      </c>
      <c r="J188" s="32" t="n">
        <v>100.0</v>
      </c>
      <c r="K188" s="33" t="n">
        <f>260</f>
        <v>260.0</v>
      </c>
      <c r="L188" s="34" t="s">
        <v>48</v>
      </c>
      <c r="M188" s="33" t="n">
        <f>273</f>
        <v>273.0</v>
      </c>
      <c r="N188" s="34" t="s">
        <v>328</v>
      </c>
      <c r="O188" s="33" t="n">
        <f>212</f>
        <v>212.0</v>
      </c>
      <c r="P188" s="34" t="s">
        <v>291</v>
      </c>
      <c r="Q188" s="33" t="n">
        <f>260</f>
        <v>260.0</v>
      </c>
      <c r="R188" s="34" t="s">
        <v>99</v>
      </c>
      <c r="S188" s="35" t="n">
        <f>259.71</f>
        <v>259.71</v>
      </c>
      <c r="T188" s="32" t="n">
        <f>1600</f>
        <v>1600.0</v>
      </c>
      <c r="U188" s="32" t="str">
        <f>"－"</f>
        <v>－</v>
      </c>
      <c r="V188" s="32" t="n">
        <f>397800</f>
        <v>397800.0</v>
      </c>
      <c r="W188" s="32" t="str">
        <f>"－"</f>
        <v>－</v>
      </c>
      <c r="X188" s="36" t="n">
        <f>7</f>
        <v>7.0</v>
      </c>
    </row>
    <row r="189">
      <c r="A189" s="27" t="s">
        <v>42</v>
      </c>
      <c r="B189" s="27" t="s">
        <v>612</v>
      </c>
      <c r="C189" s="27" t="s">
        <v>613</v>
      </c>
      <c r="D189" s="27" t="s">
        <v>614</v>
      </c>
      <c r="E189" s="28" t="s">
        <v>46</v>
      </c>
      <c r="F189" s="29" t="s">
        <v>46</v>
      </c>
      <c r="G189" s="30" t="s">
        <v>46</v>
      </c>
      <c r="H189" s="31"/>
      <c r="I189" s="31" t="s">
        <v>47</v>
      </c>
      <c r="J189" s="32" t="n">
        <v>10.0</v>
      </c>
      <c r="K189" s="33" t="n">
        <f>2680</f>
        <v>2680.0</v>
      </c>
      <c r="L189" s="34" t="s">
        <v>48</v>
      </c>
      <c r="M189" s="33" t="n">
        <f>2680</f>
        <v>2680.0</v>
      </c>
      <c r="N189" s="34" t="s">
        <v>48</v>
      </c>
      <c r="O189" s="33" t="n">
        <f>2430</f>
        <v>2430.0</v>
      </c>
      <c r="P189" s="34" t="s">
        <v>51</v>
      </c>
      <c r="Q189" s="33" t="n">
        <f>2430</f>
        <v>2430.0</v>
      </c>
      <c r="R189" s="34" t="s">
        <v>51</v>
      </c>
      <c r="S189" s="35" t="n">
        <f>2573.18</f>
        <v>2573.18</v>
      </c>
      <c r="T189" s="32" t="n">
        <f>530</f>
        <v>530.0</v>
      </c>
      <c r="U189" s="32" t="str">
        <f>"－"</f>
        <v>－</v>
      </c>
      <c r="V189" s="32" t="n">
        <f>1355700</f>
        <v>1355700.0</v>
      </c>
      <c r="W189" s="32" t="str">
        <f>"－"</f>
        <v>－</v>
      </c>
      <c r="X189" s="36" t="n">
        <f>11</f>
        <v>11.0</v>
      </c>
    </row>
    <row r="190">
      <c r="A190" s="27" t="s">
        <v>42</v>
      </c>
      <c r="B190" s="27" t="s">
        <v>615</v>
      </c>
      <c r="C190" s="27" t="s">
        <v>616</v>
      </c>
      <c r="D190" s="27" t="s">
        <v>617</v>
      </c>
      <c r="E190" s="28" t="s">
        <v>46</v>
      </c>
      <c r="F190" s="29" t="s">
        <v>46</v>
      </c>
      <c r="G190" s="30" t="s">
        <v>46</v>
      </c>
      <c r="H190" s="31"/>
      <c r="I190" s="31" t="s">
        <v>47</v>
      </c>
      <c r="J190" s="32" t="n">
        <v>10.0</v>
      </c>
      <c r="K190" s="33" t="n">
        <f>1220</f>
        <v>1220.0</v>
      </c>
      <c r="L190" s="34" t="s">
        <v>49</v>
      </c>
      <c r="M190" s="33" t="n">
        <f>1296</f>
        <v>1296.0</v>
      </c>
      <c r="N190" s="34" t="s">
        <v>50</v>
      </c>
      <c r="O190" s="33" t="n">
        <f>1140</f>
        <v>1140.0</v>
      </c>
      <c r="P190" s="34" t="s">
        <v>62</v>
      </c>
      <c r="Q190" s="33" t="n">
        <f>1206</f>
        <v>1206.0</v>
      </c>
      <c r="R190" s="34" t="s">
        <v>169</v>
      </c>
      <c r="S190" s="35" t="n">
        <f>1214.44</f>
        <v>1214.44</v>
      </c>
      <c r="T190" s="32" t="n">
        <f>970</f>
        <v>970.0</v>
      </c>
      <c r="U190" s="32" t="str">
        <f>"－"</f>
        <v>－</v>
      </c>
      <c r="V190" s="32" t="n">
        <f>1187340</f>
        <v>1187340.0</v>
      </c>
      <c r="W190" s="32" t="str">
        <f>"－"</f>
        <v>－</v>
      </c>
      <c r="X190" s="36" t="n">
        <f>9</f>
        <v>9.0</v>
      </c>
    </row>
    <row r="191">
      <c r="A191" s="27" t="s">
        <v>42</v>
      </c>
      <c r="B191" s="27" t="s">
        <v>618</v>
      </c>
      <c r="C191" s="27" t="s">
        <v>619</v>
      </c>
      <c r="D191" s="27" t="s">
        <v>620</v>
      </c>
      <c r="E191" s="28" t="s">
        <v>46</v>
      </c>
      <c r="F191" s="29" t="s">
        <v>46</v>
      </c>
      <c r="G191" s="30" t="s">
        <v>46</v>
      </c>
      <c r="H191" s="31"/>
      <c r="I191" s="31" t="s">
        <v>47</v>
      </c>
      <c r="J191" s="32" t="n">
        <v>100.0</v>
      </c>
      <c r="K191" s="33" t="n">
        <f>68</f>
        <v>68.0</v>
      </c>
      <c r="L191" s="34" t="s">
        <v>48</v>
      </c>
      <c r="M191" s="33" t="n">
        <f>76</f>
        <v>76.0</v>
      </c>
      <c r="N191" s="34" t="s">
        <v>290</v>
      </c>
      <c r="O191" s="33" t="n">
        <f>61</f>
        <v>61.0</v>
      </c>
      <c r="P191" s="34" t="s">
        <v>277</v>
      </c>
      <c r="Q191" s="33" t="n">
        <f>73</f>
        <v>73.0</v>
      </c>
      <c r="R191" s="34" t="s">
        <v>51</v>
      </c>
      <c r="S191" s="35" t="n">
        <f>67.67</f>
        <v>67.67</v>
      </c>
      <c r="T191" s="32" t="n">
        <f>1689800</f>
        <v>1689800.0</v>
      </c>
      <c r="U191" s="32" t="str">
        <f>"－"</f>
        <v>－</v>
      </c>
      <c r="V191" s="32" t="n">
        <f>114928300</f>
        <v>1.149283E8</v>
      </c>
      <c r="W191" s="32" t="str">
        <f>"－"</f>
        <v>－</v>
      </c>
      <c r="X191" s="36" t="n">
        <f>21</f>
        <v>21.0</v>
      </c>
    </row>
    <row r="192">
      <c r="A192" s="27" t="s">
        <v>42</v>
      </c>
      <c r="B192" s="27" t="s">
        <v>621</v>
      </c>
      <c r="C192" s="27" t="s">
        <v>622</v>
      </c>
      <c r="D192" s="27" t="s">
        <v>623</v>
      </c>
      <c r="E192" s="28" t="s">
        <v>46</v>
      </c>
      <c r="F192" s="29" t="s">
        <v>46</v>
      </c>
      <c r="G192" s="30" t="s">
        <v>46</v>
      </c>
      <c r="H192" s="31"/>
      <c r="I192" s="31" t="s">
        <v>47</v>
      </c>
      <c r="J192" s="32" t="n">
        <v>100.0</v>
      </c>
      <c r="K192" s="33" t="n">
        <f>78</f>
        <v>78.0</v>
      </c>
      <c r="L192" s="34" t="s">
        <v>48</v>
      </c>
      <c r="M192" s="33" t="n">
        <f>79</f>
        <v>79.0</v>
      </c>
      <c r="N192" s="34" t="s">
        <v>48</v>
      </c>
      <c r="O192" s="33" t="n">
        <f>70</f>
        <v>70.0</v>
      </c>
      <c r="P192" s="34" t="s">
        <v>107</v>
      </c>
      <c r="Q192" s="33" t="n">
        <f>71</f>
        <v>71.0</v>
      </c>
      <c r="R192" s="34" t="s">
        <v>51</v>
      </c>
      <c r="S192" s="35" t="n">
        <f>74.57</f>
        <v>74.57</v>
      </c>
      <c r="T192" s="32" t="n">
        <f>490200</f>
        <v>490200.0</v>
      </c>
      <c r="U192" s="32" t="str">
        <f>"－"</f>
        <v>－</v>
      </c>
      <c r="V192" s="32" t="n">
        <f>35882800</f>
        <v>3.58828E7</v>
      </c>
      <c r="W192" s="32" t="str">
        <f>"－"</f>
        <v>－</v>
      </c>
      <c r="X192" s="36" t="n">
        <f>21</f>
        <v>21.0</v>
      </c>
    </row>
    <row r="193">
      <c r="A193" s="27" t="s">
        <v>42</v>
      </c>
      <c r="B193" s="27" t="s">
        <v>624</v>
      </c>
      <c r="C193" s="27" t="s">
        <v>625</v>
      </c>
      <c r="D193" s="27" t="s">
        <v>626</v>
      </c>
      <c r="E193" s="28" t="s">
        <v>46</v>
      </c>
      <c r="F193" s="29" t="s">
        <v>46</v>
      </c>
      <c r="G193" s="30" t="s">
        <v>46</v>
      </c>
      <c r="H193" s="31"/>
      <c r="I193" s="31" t="s">
        <v>47</v>
      </c>
      <c r="J193" s="32" t="n">
        <v>10.0</v>
      </c>
      <c r="K193" s="33" t="n">
        <f>1900</f>
        <v>1900.0</v>
      </c>
      <c r="L193" s="34" t="s">
        <v>77</v>
      </c>
      <c r="M193" s="33" t="n">
        <f>2130</f>
        <v>2130.0</v>
      </c>
      <c r="N193" s="34" t="s">
        <v>103</v>
      </c>
      <c r="O193" s="33" t="n">
        <f>1800</f>
        <v>1800.0</v>
      </c>
      <c r="P193" s="34" t="s">
        <v>192</v>
      </c>
      <c r="Q193" s="33" t="n">
        <f>1860</f>
        <v>1860.0</v>
      </c>
      <c r="R193" s="34" t="s">
        <v>51</v>
      </c>
      <c r="S193" s="35" t="n">
        <f>1894.88</f>
        <v>1894.88</v>
      </c>
      <c r="T193" s="32" t="n">
        <f>1740</f>
        <v>1740.0</v>
      </c>
      <c r="U193" s="32" t="str">
        <f>"－"</f>
        <v>－</v>
      </c>
      <c r="V193" s="32" t="n">
        <f>3349870</f>
        <v>3349870.0</v>
      </c>
      <c r="W193" s="32" t="str">
        <f>"－"</f>
        <v>－</v>
      </c>
      <c r="X193" s="36" t="n">
        <f>17</f>
        <v>17.0</v>
      </c>
    </row>
    <row r="194">
      <c r="A194" s="27" t="s">
        <v>42</v>
      </c>
      <c r="B194" s="27" t="s">
        <v>627</v>
      </c>
      <c r="C194" s="27" t="s">
        <v>628</v>
      </c>
      <c r="D194" s="27" t="s">
        <v>629</v>
      </c>
      <c r="E194" s="28" t="s">
        <v>46</v>
      </c>
      <c r="F194" s="29" t="s">
        <v>46</v>
      </c>
      <c r="G194" s="30" t="s">
        <v>46</v>
      </c>
      <c r="H194" s="31"/>
      <c r="I194" s="31" t="s">
        <v>47</v>
      </c>
      <c r="J194" s="32" t="n">
        <v>10.0</v>
      </c>
      <c r="K194" s="33" t="n">
        <f>1534</f>
        <v>1534.0</v>
      </c>
      <c r="L194" s="34" t="s">
        <v>48</v>
      </c>
      <c r="M194" s="33" t="n">
        <f>1600</f>
        <v>1600.0</v>
      </c>
      <c r="N194" s="34" t="s">
        <v>61</v>
      </c>
      <c r="O194" s="33" t="n">
        <f>1214</f>
        <v>1214.0</v>
      </c>
      <c r="P194" s="34" t="s">
        <v>50</v>
      </c>
      <c r="Q194" s="33" t="n">
        <f>1430</f>
        <v>1430.0</v>
      </c>
      <c r="R194" s="34" t="s">
        <v>51</v>
      </c>
      <c r="S194" s="35" t="n">
        <f>1411.05</f>
        <v>1411.05</v>
      </c>
      <c r="T194" s="32" t="n">
        <f>260990</f>
        <v>260990.0</v>
      </c>
      <c r="U194" s="32" t="n">
        <f>180</f>
        <v>180.0</v>
      </c>
      <c r="V194" s="32" t="n">
        <f>359465130</f>
        <v>3.5946513E8</v>
      </c>
      <c r="W194" s="32" t="n">
        <f>241920</f>
        <v>241920.0</v>
      </c>
      <c r="X194" s="36" t="n">
        <f>21</f>
        <v>21.0</v>
      </c>
    </row>
    <row r="195">
      <c r="A195" s="27" t="s">
        <v>42</v>
      </c>
      <c r="B195" s="27" t="s">
        <v>630</v>
      </c>
      <c r="C195" s="27" t="s">
        <v>631</v>
      </c>
      <c r="D195" s="27" t="s">
        <v>632</v>
      </c>
      <c r="E195" s="28" t="s">
        <v>46</v>
      </c>
      <c r="F195" s="29" t="s">
        <v>46</v>
      </c>
      <c r="G195" s="30" t="s">
        <v>46</v>
      </c>
      <c r="H195" s="31"/>
      <c r="I195" s="31" t="s">
        <v>47</v>
      </c>
      <c r="J195" s="32" t="n">
        <v>10.0</v>
      </c>
      <c r="K195" s="33" t="n">
        <f>294</f>
        <v>294.0</v>
      </c>
      <c r="L195" s="34" t="s">
        <v>48</v>
      </c>
      <c r="M195" s="33" t="n">
        <f>320</f>
        <v>320.0</v>
      </c>
      <c r="N195" s="34" t="s">
        <v>49</v>
      </c>
      <c r="O195" s="33" t="n">
        <f>132</f>
        <v>132.0</v>
      </c>
      <c r="P195" s="34" t="s">
        <v>169</v>
      </c>
      <c r="Q195" s="33" t="n">
        <f>140</f>
        <v>140.0</v>
      </c>
      <c r="R195" s="34" t="s">
        <v>51</v>
      </c>
      <c r="S195" s="35" t="n">
        <f>210.29</f>
        <v>210.29</v>
      </c>
      <c r="T195" s="32" t="n">
        <f>290781990</f>
        <v>2.9078199E8</v>
      </c>
      <c r="U195" s="32" t="n">
        <f>3642730</f>
        <v>3642730.0</v>
      </c>
      <c r="V195" s="32" t="n">
        <f>51828637512</f>
        <v>5.1828637512E10</v>
      </c>
      <c r="W195" s="32" t="n">
        <f>776824902</f>
        <v>7.76824902E8</v>
      </c>
      <c r="X195" s="36" t="n">
        <f>21</f>
        <v>21.0</v>
      </c>
    </row>
    <row r="196">
      <c r="A196" s="27" t="s">
        <v>42</v>
      </c>
      <c r="B196" s="27" t="s">
        <v>633</v>
      </c>
      <c r="C196" s="27" t="s">
        <v>634</v>
      </c>
      <c r="D196" s="27" t="s">
        <v>635</v>
      </c>
      <c r="E196" s="28" t="s">
        <v>46</v>
      </c>
      <c r="F196" s="29" t="s">
        <v>46</v>
      </c>
      <c r="G196" s="30" t="s">
        <v>46</v>
      </c>
      <c r="H196" s="31"/>
      <c r="I196" s="31" t="s">
        <v>636</v>
      </c>
      <c r="J196" s="32" t="n">
        <v>1.0</v>
      </c>
      <c r="K196" s="33" t="n">
        <f>10650</f>
        <v>10650.0</v>
      </c>
      <c r="L196" s="34" t="s">
        <v>48</v>
      </c>
      <c r="M196" s="33" t="n">
        <f>10980</f>
        <v>10980.0</v>
      </c>
      <c r="N196" s="34" t="s">
        <v>49</v>
      </c>
      <c r="O196" s="33" t="n">
        <f>6850</f>
        <v>6850.0</v>
      </c>
      <c r="P196" s="34" t="s">
        <v>66</v>
      </c>
      <c r="Q196" s="33" t="n">
        <f>8360</f>
        <v>8360.0</v>
      </c>
      <c r="R196" s="34" t="s">
        <v>51</v>
      </c>
      <c r="S196" s="35" t="n">
        <f>8911.9</f>
        <v>8911.9</v>
      </c>
      <c r="T196" s="32" t="n">
        <f>5813</f>
        <v>5813.0</v>
      </c>
      <c r="U196" s="32" t="str">
        <f>"－"</f>
        <v>－</v>
      </c>
      <c r="V196" s="32" t="n">
        <f>50785740</f>
        <v>5.078574E7</v>
      </c>
      <c r="W196" s="32" t="str">
        <f>"－"</f>
        <v>－</v>
      </c>
      <c r="X196" s="36" t="n">
        <f>21</f>
        <v>21.0</v>
      </c>
    </row>
    <row r="197">
      <c r="A197" s="27" t="s">
        <v>42</v>
      </c>
      <c r="B197" s="27" t="s">
        <v>637</v>
      </c>
      <c r="C197" s="27" t="s">
        <v>638</v>
      </c>
      <c r="D197" s="27" t="s">
        <v>639</v>
      </c>
      <c r="E197" s="28" t="s">
        <v>46</v>
      </c>
      <c r="F197" s="29" t="s">
        <v>46</v>
      </c>
      <c r="G197" s="30" t="s">
        <v>46</v>
      </c>
      <c r="H197" s="31"/>
      <c r="I197" s="31" t="s">
        <v>636</v>
      </c>
      <c r="J197" s="32" t="n">
        <v>1.0</v>
      </c>
      <c r="K197" s="33" t="n">
        <f>6320</f>
        <v>6320.0</v>
      </c>
      <c r="L197" s="34" t="s">
        <v>48</v>
      </c>
      <c r="M197" s="33" t="n">
        <f>8090</f>
        <v>8090.0</v>
      </c>
      <c r="N197" s="34" t="s">
        <v>62</v>
      </c>
      <c r="O197" s="33" t="n">
        <f>6050</f>
        <v>6050.0</v>
      </c>
      <c r="P197" s="34" t="s">
        <v>61</v>
      </c>
      <c r="Q197" s="33" t="n">
        <f>6950</f>
        <v>6950.0</v>
      </c>
      <c r="R197" s="34" t="s">
        <v>51</v>
      </c>
      <c r="S197" s="35" t="n">
        <f>6796.67</f>
        <v>6796.67</v>
      </c>
      <c r="T197" s="32" t="n">
        <f>22448</f>
        <v>22448.0</v>
      </c>
      <c r="U197" s="32" t="str">
        <f>"－"</f>
        <v>－</v>
      </c>
      <c r="V197" s="32" t="n">
        <f>154524340</f>
        <v>1.5452434E8</v>
      </c>
      <c r="W197" s="32" t="str">
        <f>"－"</f>
        <v>－</v>
      </c>
      <c r="X197" s="36" t="n">
        <f>21</f>
        <v>21.0</v>
      </c>
    </row>
    <row r="198">
      <c r="A198" s="27" t="s">
        <v>42</v>
      </c>
      <c r="B198" s="27" t="s">
        <v>640</v>
      </c>
      <c r="C198" s="27" t="s">
        <v>641</v>
      </c>
      <c r="D198" s="27" t="s">
        <v>642</v>
      </c>
      <c r="E198" s="28" t="s">
        <v>46</v>
      </c>
      <c r="F198" s="29" t="s">
        <v>46</v>
      </c>
      <c r="G198" s="30" t="s">
        <v>46</v>
      </c>
      <c r="H198" s="31"/>
      <c r="I198" s="31" t="s">
        <v>636</v>
      </c>
      <c r="J198" s="32" t="n">
        <v>1.0</v>
      </c>
      <c r="K198" s="33" t="n">
        <f>7970</f>
        <v>7970.0</v>
      </c>
      <c r="L198" s="34" t="s">
        <v>48</v>
      </c>
      <c r="M198" s="33" t="n">
        <f>8910</f>
        <v>8910.0</v>
      </c>
      <c r="N198" s="34" t="s">
        <v>103</v>
      </c>
      <c r="O198" s="33" t="n">
        <f>4120</f>
        <v>4120.0</v>
      </c>
      <c r="P198" s="34" t="s">
        <v>62</v>
      </c>
      <c r="Q198" s="33" t="n">
        <f>5850</f>
        <v>5850.0</v>
      </c>
      <c r="R198" s="34" t="s">
        <v>51</v>
      </c>
      <c r="S198" s="35" t="n">
        <f>6499.76</f>
        <v>6499.76</v>
      </c>
      <c r="T198" s="32" t="n">
        <f>7977</f>
        <v>7977.0</v>
      </c>
      <c r="U198" s="32" t="str">
        <f>"－"</f>
        <v>－</v>
      </c>
      <c r="V198" s="32" t="n">
        <f>46097515</f>
        <v>4.6097515E7</v>
      </c>
      <c r="W198" s="32" t="str">
        <f>"－"</f>
        <v>－</v>
      </c>
      <c r="X198" s="36" t="n">
        <f>21</f>
        <v>21.0</v>
      </c>
    </row>
    <row r="199">
      <c r="A199" s="27" t="s">
        <v>42</v>
      </c>
      <c r="B199" s="27" t="s">
        <v>643</v>
      </c>
      <c r="C199" s="27" t="s">
        <v>644</v>
      </c>
      <c r="D199" s="27" t="s">
        <v>645</v>
      </c>
      <c r="E199" s="28" t="s">
        <v>46</v>
      </c>
      <c r="F199" s="29" t="s">
        <v>46</v>
      </c>
      <c r="G199" s="30" t="s">
        <v>46</v>
      </c>
      <c r="H199" s="31"/>
      <c r="I199" s="31" t="s">
        <v>636</v>
      </c>
      <c r="J199" s="32" t="n">
        <v>1.0</v>
      </c>
      <c r="K199" s="33" t="n">
        <f>9650</f>
        <v>9650.0</v>
      </c>
      <c r="L199" s="34" t="s">
        <v>48</v>
      </c>
      <c r="M199" s="33" t="n">
        <f>12790</f>
        <v>12790.0</v>
      </c>
      <c r="N199" s="34" t="s">
        <v>182</v>
      </c>
      <c r="O199" s="33" t="n">
        <f>9310</f>
        <v>9310.0</v>
      </c>
      <c r="P199" s="34" t="s">
        <v>277</v>
      </c>
      <c r="Q199" s="33" t="n">
        <f>10700</f>
        <v>10700.0</v>
      </c>
      <c r="R199" s="34" t="s">
        <v>51</v>
      </c>
      <c r="S199" s="35" t="n">
        <f>10524.76</f>
        <v>10524.76</v>
      </c>
      <c r="T199" s="32" t="n">
        <f>120943</f>
        <v>120943.0</v>
      </c>
      <c r="U199" s="32" t="n">
        <f>21</f>
        <v>21.0</v>
      </c>
      <c r="V199" s="32" t="n">
        <f>1322102720</f>
        <v>1.32210272E9</v>
      </c>
      <c r="W199" s="32" t="n">
        <f>197400</f>
        <v>197400.0</v>
      </c>
      <c r="X199" s="36" t="n">
        <f>21</f>
        <v>21.0</v>
      </c>
    </row>
    <row r="200">
      <c r="A200" s="27" t="s">
        <v>42</v>
      </c>
      <c r="B200" s="27" t="s">
        <v>646</v>
      </c>
      <c r="C200" s="27" t="s">
        <v>647</v>
      </c>
      <c r="D200" s="27" t="s">
        <v>648</v>
      </c>
      <c r="E200" s="28" t="s">
        <v>46</v>
      </c>
      <c r="F200" s="29" t="s">
        <v>46</v>
      </c>
      <c r="G200" s="30" t="s">
        <v>46</v>
      </c>
      <c r="H200" s="31"/>
      <c r="I200" s="31" t="s">
        <v>636</v>
      </c>
      <c r="J200" s="32" t="n">
        <v>1.0</v>
      </c>
      <c r="K200" s="33" t="n">
        <f>749</f>
        <v>749.0</v>
      </c>
      <c r="L200" s="34" t="s">
        <v>48</v>
      </c>
      <c r="M200" s="33" t="n">
        <f>2825</f>
        <v>2825.0</v>
      </c>
      <c r="N200" s="34" t="s">
        <v>66</v>
      </c>
      <c r="O200" s="33" t="n">
        <f>638</f>
        <v>638.0</v>
      </c>
      <c r="P200" s="34" t="s">
        <v>49</v>
      </c>
      <c r="Q200" s="33" t="n">
        <f>1800</f>
        <v>1800.0</v>
      </c>
      <c r="R200" s="34" t="s">
        <v>51</v>
      </c>
      <c r="S200" s="35" t="n">
        <f>1462.86</f>
        <v>1462.86</v>
      </c>
      <c r="T200" s="32" t="n">
        <f>24119583</f>
        <v>2.4119583E7</v>
      </c>
      <c r="U200" s="32" t="n">
        <f>598</f>
        <v>598.0</v>
      </c>
      <c r="V200" s="32" t="n">
        <f>42202905409</f>
        <v>4.2202905409E10</v>
      </c>
      <c r="W200" s="32" t="n">
        <f>989870</f>
        <v>989870.0</v>
      </c>
      <c r="X200" s="36" t="n">
        <f>21</f>
        <v>21.0</v>
      </c>
    </row>
    <row r="201">
      <c r="A201" s="27" t="s">
        <v>42</v>
      </c>
      <c r="B201" s="27" t="s">
        <v>649</v>
      </c>
      <c r="C201" s="27" t="s">
        <v>650</v>
      </c>
      <c r="D201" s="27" t="s">
        <v>651</v>
      </c>
      <c r="E201" s="28" t="s">
        <v>46</v>
      </c>
      <c r="F201" s="29" t="s">
        <v>46</v>
      </c>
      <c r="G201" s="30" t="s">
        <v>46</v>
      </c>
      <c r="H201" s="31"/>
      <c r="I201" s="31" t="s">
        <v>636</v>
      </c>
      <c r="J201" s="32" t="n">
        <v>1.0</v>
      </c>
      <c r="K201" s="33" t="n">
        <f>13840</f>
        <v>13840.0</v>
      </c>
      <c r="L201" s="34" t="s">
        <v>48</v>
      </c>
      <c r="M201" s="33" t="n">
        <f>15450</f>
        <v>15450.0</v>
      </c>
      <c r="N201" s="34" t="s">
        <v>99</v>
      </c>
      <c r="O201" s="33" t="n">
        <f>11690</f>
        <v>11690.0</v>
      </c>
      <c r="P201" s="34" t="s">
        <v>50</v>
      </c>
      <c r="Q201" s="33" t="n">
        <f>14310</f>
        <v>14310.0</v>
      </c>
      <c r="R201" s="34" t="s">
        <v>51</v>
      </c>
      <c r="S201" s="35" t="n">
        <f>13900</f>
        <v>13900.0</v>
      </c>
      <c r="T201" s="32" t="n">
        <f>104273</f>
        <v>104273.0</v>
      </c>
      <c r="U201" s="32" t="str">
        <f>"－"</f>
        <v>－</v>
      </c>
      <c r="V201" s="32" t="n">
        <f>1466431930</f>
        <v>1.46643193E9</v>
      </c>
      <c r="W201" s="32" t="str">
        <f>"－"</f>
        <v>－</v>
      </c>
      <c r="X201" s="36" t="n">
        <f>21</f>
        <v>21.0</v>
      </c>
    </row>
    <row r="202">
      <c r="A202" s="27" t="s">
        <v>42</v>
      </c>
      <c r="B202" s="27" t="s">
        <v>652</v>
      </c>
      <c r="C202" s="27" t="s">
        <v>653</v>
      </c>
      <c r="D202" s="27" t="s">
        <v>654</v>
      </c>
      <c r="E202" s="28" t="s">
        <v>46</v>
      </c>
      <c r="F202" s="29" t="s">
        <v>46</v>
      </c>
      <c r="G202" s="30" t="s">
        <v>46</v>
      </c>
      <c r="H202" s="31"/>
      <c r="I202" s="31" t="s">
        <v>636</v>
      </c>
      <c r="J202" s="32" t="n">
        <v>1.0</v>
      </c>
      <c r="K202" s="33" t="n">
        <f>6790</f>
        <v>6790.0</v>
      </c>
      <c r="L202" s="34" t="s">
        <v>48</v>
      </c>
      <c r="M202" s="33" t="n">
        <f>7300</f>
        <v>7300.0</v>
      </c>
      <c r="N202" s="34" t="s">
        <v>50</v>
      </c>
      <c r="O202" s="33" t="n">
        <f>6230</f>
        <v>6230.0</v>
      </c>
      <c r="P202" s="34" t="s">
        <v>99</v>
      </c>
      <c r="Q202" s="33" t="n">
        <f>6620</f>
        <v>6620.0</v>
      </c>
      <c r="R202" s="34" t="s">
        <v>51</v>
      </c>
      <c r="S202" s="35" t="n">
        <f>6727.14</f>
        <v>6727.14</v>
      </c>
      <c r="T202" s="32" t="n">
        <f>37228</f>
        <v>37228.0</v>
      </c>
      <c r="U202" s="32" t="str">
        <f>"－"</f>
        <v>－</v>
      </c>
      <c r="V202" s="32" t="n">
        <f>255594630</f>
        <v>2.5559463E8</v>
      </c>
      <c r="W202" s="32" t="str">
        <f>"－"</f>
        <v>－</v>
      </c>
      <c r="X202" s="36" t="n">
        <f>21</f>
        <v>21.0</v>
      </c>
    </row>
    <row r="203">
      <c r="A203" s="27" t="s">
        <v>42</v>
      </c>
      <c r="B203" s="27" t="s">
        <v>655</v>
      </c>
      <c r="C203" s="27" t="s">
        <v>656</v>
      </c>
      <c r="D203" s="27" t="s">
        <v>657</v>
      </c>
      <c r="E203" s="28" t="s">
        <v>46</v>
      </c>
      <c r="F203" s="29" t="s">
        <v>46</v>
      </c>
      <c r="G203" s="30" t="s">
        <v>46</v>
      </c>
      <c r="H203" s="31"/>
      <c r="I203" s="31" t="s">
        <v>636</v>
      </c>
      <c r="J203" s="32" t="n">
        <v>1.0</v>
      </c>
      <c r="K203" s="33" t="n">
        <f>949</f>
        <v>949.0</v>
      </c>
      <c r="L203" s="34" t="s">
        <v>48</v>
      </c>
      <c r="M203" s="33" t="n">
        <f>1069</f>
        <v>1069.0</v>
      </c>
      <c r="N203" s="34" t="s">
        <v>49</v>
      </c>
      <c r="O203" s="33" t="n">
        <f>289</f>
        <v>289.0</v>
      </c>
      <c r="P203" s="34" t="s">
        <v>66</v>
      </c>
      <c r="Q203" s="33" t="n">
        <f>346</f>
        <v>346.0</v>
      </c>
      <c r="R203" s="34" t="s">
        <v>51</v>
      </c>
      <c r="S203" s="35" t="n">
        <f>578.62</f>
        <v>578.62</v>
      </c>
      <c r="T203" s="32" t="n">
        <f>215128976</f>
        <v>2.15128976E8</v>
      </c>
      <c r="U203" s="32" t="n">
        <f>21393</f>
        <v>21393.0</v>
      </c>
      <c r="V203" s="32" t="n">
        <f>86612644989</f>
        <v>8.6612644989E10</v>
      </c>
      <c r="W203" s="32" t="n">
        <f>9220216</f>
        <v>9220216.0</v>
      </c>
      <c r="X203" s="36" t="n">
        <f>21</f>
        <v>21.0</v>
      </c>
    </row>
    <row r="204">
      <c r="A204" s="27" t="s">
        <v>42</v>
      </c>
      <c r="B204" s="27" t="s">
        <v>658</v>
      </c>
      <c r="C204" s="27" t="s">
        <v>659</v>
      </c>
      <c r="D204" s="27" t="s">
        <v>660</v>
      </c>
      <c r="E204" s="28" t="s">
        <v>46</v>
      </c>
      <c r="F204" s="29" t="s">
        <v>46</v>
      </c>
      <c r="G204" s="30" t="s">
        <v>46</v>
      </c>
      <c r="H204" s="31"/>
      <c r="I204" s="31" t="s">
        <v>636</v>
      </c>
      <c r="J204" s="32" t="n">
        <v>1.0</v>
      </c>
      <c r="K204" s="33" t="n">
        <f>8010</f>
        <v>8010.0</v>
      </c>
      <c r="L204" s="34" t="s">
        <v>48</v>
      </c>
      <c r="M204" s="33" t="n">
        <f>9900</f>
        <v>9900.0</v>
      </c>
      <c r="N204" s="34" t="s">
        <v>66</v>
      </c>
      <c r="O204" s="33" t="n">
        <f>7410</f>
        <v>7410.0</v>
      </c>
      <c r="P204" s="34" t="s">
        <v>49</v>
      </c>
      <c r="Q204" s="33" t="n">
        <f>8770</f>
        <v>8770.0</v>
      </c>
      <c r="R204" s="34" t="s">
        <v>51</v>
      </c>
      <c r="S204" s="35" t="n">
        <f>8641.9</f>
        <v>8641.9</v>
      </c>
      <c r="T204" s="32" t="n">
        <f>536445</f>
        <v>536445.0</v>
      </c>
      <c r="U204" s="32" t="n">
        <f>52</f>
        <v>52.0</v>
      </c>
      <c r="V204" s="32" t="n">
        <f>4825864880</f>
        <v>4.82586488E9</v>
      </c>
      <c r="W204" s="32" t="n">
        <f>475860</f>
        <v>475860.0</v>
      </c>
      <c r="X204" s="36" t="n">
        <f>21</f>
        <v>21.0</v>
      </c>
    </row>
    <row r="205">
      <c r="A205" s="27" t="s">
        <v>42</v>
      </c>
      <c r="B205" s="27" t="s">
        <v>661</v>
      </c>
      <c r="C205" s="27" t="s">
        <v>662</v>
      </c>
      <c r="D205" s="27" t="s">
        <v>663</v>
      </c>
      <c r="E205" s="28" t="s">
        <v>46</v>
      </c>
      <c r="F205" s="29" t="s">
        <v>46</v>
      </c>
      <c r="G205" s="30" t="s">
        <v>46</v>
      </c>
      <c r="H205" s="31"/>
      <c r="I205" s="31" t="s">
        <v>636</v>
      </c>
      <c r="J205" s="32" t="n">
        <v>1.0</v>
      </c>
      <c r="K205" s="33" t="n">
        <f>19790</f>
        <v>19790.0</v>
      </c>
      <c r="L205" s="34" t="s">
        <v>48</v>
      </c>
      <c r="M205" s="33" t="n">
        <f>22000</f>
        <v>22000.0</v>
      </c>
      <c r="N205" s="34" t="s">
        <v>103</v>
      </c>
      <c r="O205" s="33" t="n">
        <f>9370</f>
        <v>9370.0</v>
      </c>
      <c r="P205" s="34" t="s">
        <v>62</v>
      </c>
      <c r="Q205" s="33" t="n">
        <f>13790</f>
        <v>13790.0</v>
      </c>
      <c r="R205" s="34" t="s">
        <v>51</v>
      </c>
      <c r="S205" s="35" t="n">
        <f>15539.52</f>
        <v>15539.52</v>
      </c>
      <c r="T205" s="32" t="n">
        <f>1804550</f>
        <v>1804550.0</v>
      </c>
      <c r="U205" s="32" t="n">
        <f>3578</f>
        <v>3578.0</v>
      </c>
      <c r="V205" s="32" t="n">
        <f>25928885730</f>
        <v>2.592888573E10</v>
      </c>
      <c r="W205" s="32" t="n">
        <f>74447260</f>
        <v>7.444726E7</v>
      </c>
      <c r="X205" s="36" t="n">
        <f>21</f>
        <v>21.0</v>
      </c>
    </row>
    <row r="206">
      <c r="A206" s="27" t="s">
        <v>42</v>
      </c>
      <c r="B206" s="27" t="s">
        <v>664</v>
      </c>
      <c r="C206" s="27" t="s">
        <v>665</v>
      </c>
      <c r="D206" s="27" t="s">
        <v>666</v>
      </c>
      <c r="E206" s="28" t="s">
        <v>46</v>
      </c>
      <c r="F206" s="29" t="s">
        <v>46</v>
      </c>
      <c r="G206" s="30" t="s">
        <v>46</v>
      </c>
      <c r="H206" s="31"/>
      <c r="I206" s="31" t="s">
        <v>636</v>
      </c>
      <c r="J206" s="32" t="n">
        <v>1.0</v>
      </c>
      <c r="K206" s="33" t="n">
        <f>4805</f>
        <v>4805.0</v>
      </c>
      <c r="L206" s="34" t="s">
        <v>48</v>
      </c>
      <c r="M206" s="33" t="n">
        <f>6350</f>
        <v>6350.0</v>
      </c>
      <c r="N206" s="34" t="s">
        <v>62</v>
      </c>
      <c r="O206" s="33" t="n">
        <f>4465</f>
        <v>4465.0</v>
      </c>
      <c r="P206" s="34" t="s">
        <v>103</v>
      </c>
      <c r="Q206" s="33" t="n">
        <f>5100</f>
        <v>5100.0</v>
      </c>
      <c r="R206" s="34" t="s">
        <v>51</v>
      </c>
      <c r="S206" s="35" t="n">
        <f>5189.29</f>
        <v>5189.29</v>
      </c>
      <c r="T206" s="32" t="n">
        <f>2105606</f>
        <v>2105606.0</v>
      </c>
      <c r="U206" s="32" t="n">
        <f>100</f>
        <v>100.0</v>
      </c>
      <c r="V206" s="32" t="n">
        <f>11160254025</f>
        <v>1.1160254025E10</v>
      </c>
      <c r="W206" s="32" t="n">
        <f>518000</f>
        <v>518000.0</v>
      </c>
      <c r="X206" s="36" t="n">
        <f>21</f>
        <v>21.0</v>
      </c>
    </row>
    <row r="207">
      <c r="A207" s="27" t="s">
        <v>42</v>
      </c>
      <c r="B207" s="27" t="s">
        <v>667</v>
      </c>
      <c r="C207" s="27" t="s">
        <v>668</v>
      </c>
      <c r="D207" s="27" t="s">
        <v>669</v>
      </c>
      <c r="E207" s="28" t="s">
        <v>46</v>
      </c>
      <c r="F207" s="29" t="s">
        <v>46</v>
      </c>
      <c r="G207" s="30" t="s">
        <v>46</v>
      </c>
      <c r="H207" s="31"/>
      <c r="I207" s="31" t="s">
        <v>636</v>
      </c>
      <c r="J207" s="32" t="n">
        <v>1.0</v>
      </c>
      <c r="K207" s="33" t="n">
        <f>7730</f>
        <v>7730.0</v>
      </c>
      <c r="L207" s="34" t="s">
        <v>48</v>
      </c>
      <c r="M207" s="33" t="n">
        <f>8290</f>
        <v>8290.0</v>
      </c>
      <c r="N207" s="34" t="s">
        <v>49</v>
      </c>
      <c r="O207" s="33" t="n">
        <f>5640</f>
        <v>5640.0</v>
      </c>
      <c r="P207" s="34" t="s">
        <v>107</v>
      </c>
      <c r="Q207" s="33" t="n">
        <f>6630</f>
        <v>6630.0</v>
      </c>
      <c r="R207" s="34" t="s">
        <v>51</v>
      </c>
      <c r="S207" s="35" t="n">
        <f>6835.71</f>
        <v>6835.71</v>
      </c>
      <c r="T207" s="32" t="n">
        <f>109371</f>
        <v>109371.0</v>
      </c>
      <c r="U207" s="32" t="str">
        <f>"－"</f>
        <v>－</v>
      </c>
      <c r="V207" s="32" t="n">
        <f>746408620</f>
        <v>7.4640862E8</v>
      </c>
      <c r="W207" s="32" t="str">
        <f>"－"</f>
        <v>－</v>
      </c>
      <c r="X207" s="36" t="n">
        <f>21</f>
        <v>21.0</v>
      </c>
    </row>
    <row r="208">
      <c r="A208" s="27" t="s">
        <v>42</v>
      </c>
      <c r="B208" s="27" t="s">
        <v>670</v>
      </c>
      <c r="C208" s="27" t="s">
        <v>671</v>
      </c>
      <c r="D208" s="27" t="s">
        <v>672</v>
      </c>
      <c r="E208" s="28" t="s">
        <v>46</v>
      </c>
      <c r="F208" s="29" t="s">
        <v>46</v>
      </c>
      <c r="G208" s="30" t="s">
        <v>46</v>
      </c>
      <c r="H208" s="31"/>
      <c r="I208" s="31" t="s">
        <v>636</v>
      </c>
      <c r="J208" s="32" t="n">
        <v>1.0</v>
      </c>
      <c r="K208" s="33" t="n">
        <f>11280</f>
        <v>11280.0</v>
      </c>
      <c r="L208" s="34" t="s">
        <v>48</v>
      </c>
      <c r="M208" s="33" t="n">
        <f>11280</f>
        <v>11280.0</v>
      </c>
      <c r="N208" s="34" t="s">
        <v>48</v>
      </c>
      <c r="O208" s="33" t="n">
        <f>8110</f>
        <v>8110.0</v>
      </c>
      <c r="P208" s="34" t="s">
        <v>62</v>
      </c>
      <c r="Q208" s="33" t="n">
        <f>8890</f>
        <v>8890.0</v>
      </c>
      <c r="R208" s="34" t="s">
        <v>51</v>
      </c>
      <c r="S208" s="35" t="n">
        <f>9598.24</f>
        <v>9598.24</v>
      </c>
      <c r="T208" s="32" t="n">
        <f>1063</f>
        <v>1063.0</v>
      </c>
      <c r="U208" s="32" t="str">
        <f>"－"</f>
        <v>－</v>
      </c>
      <c r="V208" s="32" t="n">
        <f>10790620</f>
        <v>1.079062E7</v>
      </c>
      <c r="W208" s="32" t="str">
        <f>"－"</f>
        <v>－</v>
      </c>
      <c r="X208" s="36" t="n">
        <f>17</f>
        <v>17.0</v>
      </c>
    </row>
    <row r="209">
      <c r="A209" s="27" t="s">
        <v>42</v>
      </c>
      <c r="B209" s="27" t="s">
        <v>673</v>
      </c>
      <c r="C209" s="27" t="s">
        <v>674</v>
      </c>
      <c r="D209" s="27" t="s">
        <v>675</v>
      </c>
      <c r="E209" s="28" t="s">
        <v>46</v>
      </c>
      <c r="F209" s="29" t="s">
        <v>46</v>
      </c>
      <c r="G209" s="30" t="s">
        <v>46</v>
      </c>
      <c r="H209" s="31"/>
      <c r="I209" s="31" t="s">
        <v>636</v>
      </c>
      <c r="J209" s="32" t="n">
        <v>1.0</v>
      </c>
      <c r="K209" s="33" t="n">
        <f>13330</f>
        <v>13330.0</v>
      </c>
      <c r="L209" s="34" t="s">
        <v>48</v>
      </c>
      <c r="M209" s="33" t="n">
        <f>14150</f>
        <v>14150.0</v>
      </c>
      <c r="N209" s="34" t="s">
        <v>103</v>
      </c>
      <c r="O209" s="33" t="n">
        <f>10020</f>
        <v>10020.0</v>
      </c>
      <c r="P209" s="34" t="s">
        <v>62</v>
      </c>
      <c r="Q209" s="33" t="n">
        <f>11600</f>
        <v>11600.0</v>
      </c>
      <c r="R209" s="34" t="s">
        <v>51</v>
      </c>
      <c r="S209" s="35" t="n">
        <f>11943.81</f>
        <v>11943.81</v>
      </c>
      <c r="T209" s="32" t="n">
        <f>47565</f>
        <v>47565.0</v>
      </c>
      <c r="U209" s="32" t="str">
        <f>"－"</f>
        <v>－</v>
      </c>
      <c r="V209" s="32" t="n">
        <f>571717320</f>
        <v>5.7171732E8</v>
      </c>
      <c r="W209" s="32" t="str">
        <f>"－"</f>
        <v>－</v>
      </c>
      <c r="X209" s="36" t="n">
        <f>21</f>
        <v>21.0</v>
      </c>
    </row>
    <row r="210">
      <c r="A210" s="27" t="s">
        <v>42</v>
      </c>
      <c r="B210" s="27" t="s">
        <v>676</v>
      </c>
      <c r="C210" s="27" t="s">
        <v>677</v>
      </c>
      <c r="D210" s="27" t="s">
        <v>678</v>
      </c>
      <c r="E210" s="28" t="s">
        <v>46</v>
      </c>
      <c r="F210" s="29" t="s">
        <v>46</v>
      </c>
      <c r="G210" s="30" t="s">
        <v>46</v>
      </c>
      <c r="H210" s="31"/>
      <c r="I210" s="31" t="s">
        <v>636</v>
      </c>
      <c r="J210" s="32" t="n">
        <v>1.0</v>
      </c>
      <c r="K210" s="33" t="n">
        <f>13200</f>
        <v>13200.0</v>
      </c>
      <c r="L210" s="34" t="s">
        <v>48</v>
      </c>
      <c r="M210" s="33" t="n">
        <f>13730</f>
        <v>13730.0</v>
      </c>
      <c r="N210" s="34" t="s">
        <v>61</v>
      </c>
      <c r="O210" s="33" t="n">
        <f>8680</f>
        <v>8680.0</v>
      </c>
      <c r="P210" s="34" t="s">
        <v>182</v>
      </c>
      <c r="Q210" s="33" t="n">
        <f>10000</f>
        <v>10000.0</v>
      </c>
      <c r="R210" s="34" t="s">
        <v>51</v>
      </c>
      <c r="S210" s="35" t="n">
        <f>11249.52</f>
        <v>11249.52</v>
      </c>
      <c r="T210" s="32" t="n">
        <f>5731</f>
        <v>5731.0</v>
      </c>
      <c r="U210" s="32" t="str">
        <f>"－"</f>
        <v>－</v>
      </c>
      <c r="V210" s="32" t="n">
        <f>58405200</f>
        <v>5.84052E7</v>
      </c>
      <c r="W210" s="32" t="str">
        <f>"－"</f>
        <v>－</v>
      </c>
      <c r="X210" s="36" t="n">
        <f>21</f>
        <v>21.0</v>
      </c>
    </row>
    <row r="211">
      <c r="A211" s="27" t="s">
        <v>42</v>
      </c>
      <c r="B211" s="27" t="s">
        <v>679</v>
      </c>
      <c r="C211" s="27" t="s">
        <v>680</v>
      </c>
      <c r="D211" s="27" t="s">
        <v>681</v>
      </c>
      <c r="E211" s="28" t="s">
        <v>46</v>
      </c>
      <c r="F211" s="29" t="s">
        <v>46</v>
      </c>
      <c r="G211" s="30" t="s">
        <v>46</v>
      </c>
      <c r="H211" s="31"/>
      <c r="I211" s="31" t="s">
        <v>636</v>
      </c>
      <c r="J211" s="32" t="n">
        <v>1.0</v>
      </c>
      <c r="K211" s="33" t="n">
        <f>8970</f>
        <v>8970.0</v>
      </c>
      <c r="L211" s="34" t="s">
        <v>48</v>
      </c>
      <c r="M211" s="33" t="n">
        <f>9110</f>
        <v>9110.0</v>
      </c>
      <c r="N211" s="34" t="s">
        <v>48</v>
      </c>
      <c r="O211" s="33" t="n">
        <f>3750</f>
        <v>3750.0</v>
      </c>
      <c r="P211" s="34" t="s">
        <v>182</v>
      </c>
      <c r="Q211" s="33" t="n">
        <f>4595</f>
        <v>4595.0</v>
      </c>
      <c r="R211" s="34" t="s">
        <v>51</v>
      </c>
      <c r="S211" s="35" t="n">
        <f>6156.43</f>
        <v>6156.43</v>
      </c>
      <c r="T211" s="32" t="n">
        <f>108778</f>
        <v>108778.0</v>
      </c>
      <c r="U211" s="32" t="n">
        <f>702</f>
        <v>702.0</v>
      </c>
      <c r="V211" s="32" t="n">
        <f>570469700</f>
        <v>5.704697E8</v>
      </c>
      <c r="W211" s="32" t="n">
        <f>4813200</f>
        <v>4813200.0</v>
      </c>
      <c r="X211" s="36" t="n">
        <f>21</f>
        <v>21.0</v>
      </c>
    </row>
    <row r="212">
      <c r="A212" s="27" t="s">
        <v>42</v>
      </c>
      <c r="B212" s="27" t="s">
        <v>682</v>
      </c>
      <c r="C212" s="27" t="s">
        <v>683</v>
      </c>
      <c r="D212" s="27" t="s">
        <v>684</v>
      </c>
      <c r="E212" s="28" t="s">
        <v>46</v>
      </c>
      <c r="F212" s="29" t="s">
        <v>46</v>
      </c>
      <c r="G212" s="30" t="s">
        <v>46</v>
      </c>
      <c r="H212" s="31"/>
      <c r="I212" s="31" t="s">
        <v>636</v>
      </c>
      <c r="J212" s="32" t="n">
        <v>1.0</v>
      </c>
      <c r="K212" s="33" t="n">
        <f>7100</f>
        <v>7100.0</v>
      </c>
      <c r="L212" s="34" t="s">
        <v>48</v>
      </c>
      <c r="M212" s="33" t="n">
        <f>10070</f>
        <v>10070.0</v>
      </c>
      <c r="N212" s="34" t="s">
        <v>62</v>
      </c>
      <c r="O212" s="33" t="n">
        <f>6480</f>
        <v>6480.0</v>
      </c>
      <c r="P212" s="34" t="s">
        <v>103</v>
      </c>
      <c r="Q212" s="33" t="n">
        <f>8040</f>
        <v>8040.0</v>
      </c>
      <c r="R212" s="34" t="s">
        <v>51</v>
      </c>
      <c r="S212" s="35" t="n">
        <f>7650.95</f>
        <v>7650.95</v>
      </c>
      <c r="T212" s="32" t="n">
        <f>31197</f>
        <v>31197.0</v>
      </c>
      <c r="U212" s="32" t="n">
        <f>26</f>
        <v>26.0</v>
      </c>
      <c r="V212" s="32" t="n">
        <f>264124270</f>
        <v>2.6412427E8</v>
      </c>
      <c r="W212" s="32" t="n">
        <f>207560</f>
        <v>207560.0</v>
      </c>
      <c r="X212" s="36" t="n">
        <f>21</f>
        <v>21.0</v>
      </c>
    </row>
    <row r="213">
      <c r="A213" s="27" t="s">
        <v>42</v>
      </c>
      <c r="B213" s="27" t="s">
        <v>685</v>
      </c>
      <c r="C213" s="27" t="s">
        <v>686</v>
      </c>
      <c r="D213" s="27" t="s">
        <v>687</v>
      </c>
      <c r="E213" s="28" t="s">
        <v>46</v>
      </c>
      <c r="F213" s="29" t="s">
        <v>46</v>
      </c>
      <c r="G213" s="30" t="s">
        <v>46</v>
      </c>
      <c r="H213" s="31"/>
      <c r="I213" s="31" t="s">
        <v>636</v>
      </c>
      <c r="J213" s="32" t="n">
        <v>1.0</v>
      </c>
      <c r="K213" s="33" t="n">
        <f>9100</f>
        <v>9100.0</v>
      </c>
      <c r="L213" s="34" t="s">
        <v>48</v>
      </c>
      <c r="M213" s="33" t="n">
        <f>9300</f>
        <v>9300.0</v>
      </c>
      <c r="N213" s="34" t="s">
        <v>48</v>
      </c>
      <c r="O213" s="33" t="n">
        <f>6770</f>
        <v>6770.0</v>
      </c>
      <c r="P213" s="34" t="s">
        <v>107</v>
      </c>
      <c r="Q213" s="33" t="n">
        <f>8230</f>
        <v>8230.0</v>
      </c>
      <c r="R213" s="34" t="s">
        <v>51</v>
      </c>
      <c r="S213" s="35" t="n">
        <f>7991.67</f>
        <v>7991.67</v>
      </c>
      <c r="T213" s="32" t="n">
        <f>7081</f>
        <v>7081.0</v>
      </c>
      <c r="U213" s="32" t="str">
        <f>"－"</f>
        <v>－</v>
      </c>
      <c r="V213" s="32" t="n">
        <f>54253020</f>
        <v>5.425302E7</v>
      </c>
      <c r="W213" s="32" t="str">
        <f>"－"</f>
        <v>－</v>
      </c>
      <c r="X213" s="36" t="n">
        <f>18</f>
        <v>18.0</v>
      </c>
    </row>
    <row r="214">
      <c r="A214" s="27" t="s">
        <v>42</v>
      </c>
      <c r="B214" s="27" t="s">
        <v>688</v>
      </c>
      <c r="C214" s="27" t="s">
        <v>689</v>
      </c>
      <c r="D214" s="27" t="s">
        <v>690</v>
      </c>
      <c r="E214" s="28" t="s">
        <v>46</v>
      </c>
      <c r="F214" s="29" t="s">
        <v>46</v>
      </c>
      <c r="G214" s="30" t="s">
        <v>46</v>
      </c>
      <c r="H214" s="31"/>
      <c r="I214" s="31" t="s">
        <v>636</v>
      </c>
      <c r="J214" s="32" t="n">
        <v>1.0</v>
      </c>
      <c r="K214" s="33" t="n">
        <f>9180</f>
        <v>9180.0</v>
      </c>
      <c r="L214" s="34" t="s">
        <v>48</v>
      </c>
      <c r="M214" s="33" t="n">
        <f>9280</f>
        <v>9280.0</v>
      </c>
      <c r="N214" s="34" t="s">
        <v>103</v>
      </c>
      <c r="O214" s="33" t="n">
        <f>7120</f>
        <v>7120.0</v>
      </c>
      <c r="P214" s="34" t="s">
        <v>107</v>
      </c>
      <c r="Q214" s="33" t="n">
        <f>8580</f>
        <v>8580.0</v>
      </c>
      <c r="R214" s="34" t="s">
        <v>51</v>
      </c>
      <c r="S214" s="35" t="n">
        <f>8329.41</f>
        <v>8329.41</v>
      </c>
      <c r="T214" s="32" t="n">
        <f>6556</f>
        <v>6556.0</v>
      </c>
      <c r="U214" s="32" t="n">
        <f>4000</f>
        <v>4000.0</v>
      </c>
      <c r="V214" s="32" t="n">
        <f>58988990</f>
        <v>5.898899E7</v>
      </c>
      <c r="W214" s="32" t="n">
        <f>37560000</f>
        <v>3.756E7</v>
      </c>
      <c r="X214" s="36" t="n">
        <f>17</f>
        <v>17.0</v>
      </c>
    </row>
    <row r="215">
      <c r="A215" s="27" t="s">
        <v>42</v>
      </c>
      <c r="B215" s="27" t="s">
        <v>691</v>
      </c>
      <c r="C215" s="27" t="s">
        <v>692</v>
      </c>
      <c r="D215" s="27" t="s">
        <v>693</v>
      </c>
      <c r="E215" s="28" t="s">
        <v>46</v>
      </c>
      <c r="F215" s="29" t="s">
        <v>46</v>
      </c>
      <c r="G215" s="30" t="s">
        <v>46</v>
      </c>
      <c r="H215" s="31"/>
      <c r="I215" s="31" t="s">
        <v>636</v>
      </c>
      <c r="J215" s="32" t="n">
        <v>1.0</v>
      </c>
      <c r="K215" s="33" t="n">
        <f>10390</f>
        <v>10390.0</v>
      </c>
      <c r="L215" s="34" t="s">
        <v>48</v>
      </c>
      <c r="M215" s="33" t="n">
        <f>10440</f>
        <v>10440.0</v>
      </c>
      <c r="N215" s="34" t="s">
        <v>48</v>
      </c>
      <c r="O215" s="33" t="n">
        <f>7960</f>
        <v>7960.0</v>
      </c>
      <c r="P215" s="34" t="s">
        <v>107</v>
      </c>
      <c r="Q215" s="33" t="n">
        <f>9690</f>
        <v>9690.0</v>
      </c>
      <c r="R215" s="34" t="s">
        <v>51</v>
      </c>
      <c r="S215" s="35" t="n">
        <f>9273.33</f>
        <v>9273.33</v>
      </c>
      <c r="T215" s="32" t="n">
        <f>2584</f>
        <v>2584.0</v>
      </c>
      <c r="U215" s="32" t="str">
        <f>"－"</f>
        <v>－</v>
      </c>
      <c r="V215" s="32" t="n">
        <f>24355090</f>
        <v>2.435509E7</v>
      </c>
      <c r="W215" s="32" t="str">
        <f>"－"</f>
        <v>－</v>
      </c>
      <c r="X215" s="36" t="n">
        <f>18</f>
        <v>18.0</v>
      </c>
    </row>
    <row r="216">
      <c r="A216" s="27" t="s">
        <v>42</v>
      </c>
      <c r="B216" s="27" t="s">
        <v>694</v>
      </c>
      <c r="C216" s="27" t="s">
        <v>695</v>
      </c>
      <c r="D216" s="27" t="s">
        <v>696</v>
      </c>
      <c r="E216" s="28" t="s">
        <v>46</v>
      </c>
      <c r="F216" s="29" t="s">
        <v>46</v>
      </c>
      <c r="G216" s="30" t="s">
        <v>46</v>
      </c>
      <c r="H216" s="31"/>
      <c r="I216" s="31" t="s">
        <v>636</v>
      </c>
      <c r="J216" s="32" t="n">
        <v>1.0</v>
      </c>
      <c r="K216" s="33" t="n">
        <f>12430</f>
        <v>12430.0</v>
      </c>
      <c r="L216" s="34" t="s">
        <v>48</v>
      </c>
      <c r="M216" s="33" t="n">
        <f>13140</f>
        <v>13140.0</v>
      </c>
      <c r="N216" s="34" t="s">
        <v>49</v>
      </c>
      <c r="O216" s="33" t="n">
        <f>7350</f>
        <v>7350.0</v>
      </c>
      <c r="P216" s="34" t="s">
        <v>66</v>
      </c>
      <c r="Q216" s="33" t="n">
        <f>9970</f>
        <v>9970.0</v>
      </c>
      <c r="R216" s="34" t="s">
        <v>51</v>
      </c>
      <c r="S216" s="35" t="n">
        <f>10459.44</f>
        <v>10459.44</v>
      </c>
      <c r="T216" s="32" t="n">
        <f>5763</f>
        <v>5763.0</v>
      </c>
      <c r="U216" s="32" t="str">
        <f>"－"</f>
        <v>－</v>
      </c>
      <c r="V216" s="32" t="n">
        <f>58236270</f>
        <v>5.823627E7</v>
      </c>
      <c r="W216" s="32" t="str">
        <f>"－"</f>
        <v>－</v>
      </c>
      <c r="X216" s="36" t="n">
        <f>18</f>
        <v>18.0</v>
      </c>
    </row>
    <row r="217">
      <c r="A217" s="27" t="s">
        <v>42</v>
      </c>
      <c r="B217" s="27" t="s">
        <v>697</v>
      </c>
      <c r="C217" s="27" t="s">
        <v>698</v>
      </c>
      <c r="D217" s="27" t="s">
        <v>699</v>
      </c>
      <c r="E217" s="28" t="s">
        <v>46</v>
      </c>
      <c r="F217" s="29" t="s">
        <v>46</v>
      </c>
      <c r="G217" s="30" t="s">
        <v>46</v>
      </c>
      <c r="H217" s="31"/>
      <c r="I217" s="31" t="s">
        <v>636</v>
      </c>
      <c r="J217" s="32" t="n">
        <v>1.0</v>
      </c>
      <c r="K217" s="33" t="n">
        <f>9760</f>
        <v>9760.0</v>
      </c>
      <c r="L217" s="34" t="s">
        <v>48</v>
      </c>
      <c r="M217" s="33" t="n">
        <f>9980</f>
        <v>9980.0</v>
      </c>
      <c r="N217" s="34" t="s">
        <v>49</v>
      </c>
      <c r="O217" s="33" t="n">
        <f>7480</f>
        <v>7480.0</v>
      </c>
      <c r="P217" s="34" t="s">
        <v>50</v>
      </c>
      <c r="Q217" s="33" t="n">
        <f>8720</f>
        <v>8720.0</v>
      </c>
      <c r="R217" s="34" t="s">
        <v>51</v>
      </c>
      <c r="S217" s="35" t="n">
        <f>8732.78</f>
        <v>8732.78</v>
      </c>
      <c r="T217" s="32" t="n">
        <f>3880</f>
        <v>3880.0</v>
      </c>
      <c r="U217" s="32" t="str">
        <f>"－"</f>
        <v>－</v>
      </c>
      <c r="V217" s="32" t="n">
        <f>34024230</f>
        <v>3.402423E7</v>
      </c>
      <c r="W217" s="32" t="str">
        <f>"－"</f>
        <v>－</v>
      </c>
      <c r="X217" s="36" t="n">
        <f>18</f>
        <v>18.0</v>
      </c>
    </row>
    <row r="218">
      <c r="A218" s="27" t="s">
        <v>42</v>
      </c>
      <c r="B218" s="27" t="s">
        <v>700</v>
      </c>
      <c r="C218" s="27" t="s">
        <v>701</v>
      </c>
      <c r="D218" s="27" t="s">
        <v>702</v>
      </c>
      <c r="E218" s="28" t="s">
        <v>46</v>
      </c>
      <c r="F218" s="29" t="s">
        <v>46</v>
      </c>
      <c r="G218" s="30" t="s">
        <v>46</v>
      </c>
      <c r="H218" s="31"/>
      <c r="I218" s="31" t="s">
        <v>636</v>
      </c>
      <c r="J218" s="32" t="n">
        <v>1.0</v>
      </c>
      <c r="K218" s="33" t="n">
        <f>8840</f>
        <v>8840.0</v>
      </c>
      <c r="L218" s="34" t="s">
        <v>48</v>
      </c>
      <c r="M218" s="33" t="n">
        <f>8850</f>
        <v>8850.0</v>
      </c>
      <c r="N218" s="34" t="s">
        <v>77</v>
      </c>
      <c r="O218" s="33" t="n">
        <f>6710</f>
        <v>6710.0</v>
      </c>
      <c r="P218" s="34" t="s">
        <v>62</v>
      </c>
      <c r="Q218" s="33" t="n">
        <f>6710</f>
        <v>6710.0</v>
      </c>
      <c r="R218" s="34" t="s">
        <v>62</v>
      </c>
      <c r="S218" s="35" t="n">
        <f>7550</f>
        <v>7550.0</v>
      </c>
      <c r="T218" s="32" t="n">
        <f>382</f>
        <v>382.0</v>
      </c>
      <c r="U218" s="32" t="str">
        <f>"－"</f>
        <v>－</v>
      </c>
      <c r="V218" s="32" t="n">
        <f>2657210</f>
        <v>2657210.0</v>
      </c>
      <c r="W218" s="32" t="str">
        <f>"－"</f>
        <v>－</v>
      </c>
      <c r="X218" s="36" t="n">
        <f>6</f>
        <v>6.0</v>
      </c>
    </row>
    <row r="219">
      <c r="A219" s="27" t="s">
        <v>42</v>
      </c>
      <c r="B219" s="27" t="s">
        <v>703</v>
      </c>
      <c r="C219" s="27" t="s">
        <v>704</v>
      </c>
      <c r="D219" s="27" t="s">
        <v>705</v>
      </c>
      <c r="E219" s="28" t="s">
        <v>46</v>
      </c>
      <c r="F219" s="29" t="s">
        <v>46</v>
      </c>
      <c r="G219" s="30" t="s">
        <v>46</v>
      </c>
      <c r="H219" s="31"/>
      <c r="I219" s="31" t="s">
        <v>636</v>
      </c>
      <c r="J219" s="32" t="n">
        <v>1.0</v>
      </c>
      <c r="K219" s="33" t="n">
        <f>10620</f>
        <v>10620.0</v>
      </c>
      <c r="L219" s="34" t="s">
        <v>48</v>
      </c>
      <c r="M219" s="33" t="n">
        <f>10860</f>
        <v>10860.0</v>
      </c>
      <c r="N219" s="34" t="s">
        <v>192</v>
      </c>
      <c r="O219" s="33" t="n">
        <f>9020</f>
        <v>9020.0</v>
      </c>
      <c r="P219" s="34" t="s">
        <v>50</v>
      </c>
      <c r="Q219" s="33" t="n">
        <f>10780</f>
        <v>10780.0</v>
      </c>
      <c r="R219" s="34" t="s">
        <v>169</v>
      </c>
      <c r="S219" s="35" t="n">
        <f>10009</f>
        <v>10009.0</v>
      </c>
      <c r="T219" s="32" t="n">
        <f>942</f>
        <v>942.0</v>
      </c>
      <c r="U219" s="32" t="str">
        <f>"－"</f>
        <v>－</v>
      </c>
      <c r="V219" s="32" t="n">
        <f>9716030</f>
        <v>9716030.0</v>
      </c>
      <c r="W219" s="32" t="str">
        <f>"－"</f>
        <v>－</v>
      </c>
      <c r="X219" s="36" t="n">
        <f>10</f>
        <v>10.0</v>
      </c>
    </row>
    <row r="220">
      <c r="A220" s="27" t="s">
        <v>42</v>
      </c>
      <c r="B220" s="27" t="s">
        <v>706</v>
      </c>
      <c r="C220" s="27" t="s">
        <v>707</v>
      </c>
      <c r="D220" s="27" t="s">
        <v>708</v>
      </c>
      <c r="E220" s="28" t="s">
        <v>46</v>
      </c>
      <c r="F220" s="29" t="s">
        <v>46</v>
      </c>
      <c r="G220" s="30" t="s">
        <v>46</v>
      </c>
      <c r="H220" s="31"/>
      <c r="I220" s="31" t="s">
        <v>47</v>
      </c>
      <c r="J220" s="32" t="n">
        <v>10.0</v>
      </c>
      <c r="K220" s="33" t="n">
        <f>1031</f>
        <v>1031.0</v>
      </c>
      <c r="L220" s="34" t="s">
        <v>48</v>
      </c>
      <c r="M220" s="33" t="n">
        <f>1031</f>
        <v>1031.0</v>
      </c>
      <c r="N220" s="34" t="s">
        <v>48</v>
      </c>
      <c r="O220" s="33" t="n">
        <f>985</f>
        <v>985.0</v>
      </c>
      <c r="P220" s="34" t="s">
        <v>291</v>
      </c>
      <c r="Q220" s="33" t="n">
        <f>1006</f>
        <v>1006.0</v>
      </c>
      <c r="R220" s="34" t="s">
        <v>51</v>
      </c>
      <c r="S220" s="35" t="n">
        <f>1007.33</f>
        <v>1007.33</v>
      </c>
      <c r="T220" s="32" t="n">
        <f>612210</f>
        <v>612210.0</v>
      </c>
      <c r="U220" s="32" t="n">
        <f>526580</f>
        <v>526580.0</v>
      </c>
      <c r="V220" s="32" t="n">
        <f>619319180</f>
        <v>6.1931918E8</v>
      </c>
      <c r="W220" s="32" t="n">
        <f>533010940</f>
        <v>5.3301094E8</v>
      </c>
      <c r="X220" s="36" t="n">
        <f>21</f>
        <v>21.0</v>
      </c>
    </row>
    <row r="221">
      <c r="A221" s="27" t="s">
        <v>42</v>
      </c>
      <c r="B221" s="27" t="s">
        <v>709</v>
      </c>
      <c r="C221" s="27" t="s">
        <v>710</v>
      </c>
      <c r="D221" s="27" t="s">
        <v>711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10.0</v>
      </c>
      <c r="K221" s="33" t="n">
        <f>1010</f>
        <v>1010.0</v>
      </c>
      <c r="L221" s="34" t="s">
        <v>48</v>
      </c>
      <c r="M221" s="33" t="n">
        <f>1010</f>
        <v>1010.0</v>
      </c>
      <c r="N221" s="34" t="s">
        <v>48</v>
      </c>
      <c r="O221" s="33" t="n">
        <f>935</f>
        <v>935.0</v>
      </c>
      <c r="P221" s="34" t="s">
        <v>66</v>
      </c>
      <c r="Q221" s="33" t="n">
        <f>986</f>
        <v>986.0</v>
      </c>
      <c r="R221" s="34" t="s">
        <v>51</v>
      </c>
      <c r="S221" s="35" t="n">
        <f>972.57</f>
        <v>972.57</v>
      </c>
      <c r="T221" s="32" t="n">
        <f>140260</f>
        <v>140260.0</v>
      </c>
      <c r="U221" s="32" t="str">
        <f>"－"</f>
        <v>－</v>
      </c>
      <c r="V221" s="32" t="n">
        <f>136623820</f>
        <v>1.3662382E8</v>
      </c>
      <c r="W221" s="32" t="str">
        <f>"－"</f>
        <v>－</v>
      </c>
      <c r="X221" s="36" t="n">
        <f>21</f>
        <v>21.0</v>
      </c>
    </row>
    <row r="222">
      <c r="A222" s="27" t="s">
        <v>42</v>
      </c>
      <c r="B222" s="27" t="s">
        <v>712</v>
      </c>
      <c r="C222" s="27" t="s">
        <v>713</v>
      </c>
      <c r="D222" s="27" t="s">
        <v>714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10.0</v>
      </c>
      <c r="K222" s="33" t="n">
        <f>1050</f>
        <v>1050.0</v>
      </c>
      <c r="L222" s="34" t="s">
        <v>48</v>
      </c>
      <c r="M222" s="33" t="n">
        <f>1061</f>
        <v>1061.0</v>
      </c>
      <c r="N222" s="34" t="s">
        <v>328</v>
      </c>
      <c r="O222" s="33" t="n">
        <f>1020</f>
        <v>1020.0</v>
      </c>
      <c r="P222" s="34" t="s">
        <v>66</v>
      </c>
      <c r="Q222" s="33" t="n">
        <f>1050</f>
        <v>1050.0</v>
      </c>
      <c r="R222" s="34" t="s">
        <v>51</v>
      </c>
      <c r="S222" s="35" t="n">
        <f>1043.33</f>
        <v>1043.33</v>
      </c>
      <c r="T222" s="32" t="n">
        <f>1067440</f>
        <v>1067440.0</v>
      </c>
      <c r="U222" s="32" t="n">
        <f>1020000</f>
        <v>1020000.0</v>
      </c>
      <c r="V222" s="32" t="n">
        <f>1084612626</f>
        <v>1.084612626E9</v>
      </c>
      <c r="W222" s="32" t="n">
        <f>1035183516</f>
        <v>1.035183516E9</v>
      </c>
      <c r="X222" s="36" t="n">
        <f>21</f>
        <v>21.0</v>
      </c>
    </row>
    <row r="223">
      <c r="A223" s="27" t="s">
        <v>42</v>
      </c>
      <c r="B223" s="27" t="s">
        <v>715</v>
      </c>
      <c r="C223" s="27" t="s">
        <v>716</v>
      </c>
      <c r="D223" s="27" t="s">
        <v>717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10.0</v>
      </c>
      <c r="K223" s="33" t="n">
        <f>1039</f>
        <v>1039.0</v>
      </c>
      <c r="L223" s="34" t="s">
        <v>48</v>
      </c>
      <c r="M223" s="33" t="n">
        <f>1173</f>
        <v>1173.0</v>
      </c>
      <c r="N223" s="34" t="s">
        <v>49</v>
      </c>
      <c r="O223" s="33" t="n">
        <f>757</f>
        <v>757.0</v>
      </c>
      <c r="P223" s="34" t="s">
        <v>62</v>
      </c>
      <c r="Q223" s="33" t="n">
        <f>890</f>
        <v>890.0</v>
      </c>
      <c r="R223" s="34" t="s">
        <v>51</v>
      </c>
      <c r="S223" s="35" t="n">
        <f>920.29</f>
        <v>920.29</v>
      </c>
      <c r="T223" s="32" t="n">
        <f>970570</f>
        <v>970570.0</v>
      </c>
      <c r="U223" s="32" t="n">
        <f>599000</f>
        <v>599000.0</v>
      </c>
      <c r="V223" s="32" t="n">
        <f>851119380</f>
        <v>8.5111938E8</v>
      </c>
      <c r="W223" s="32" t="n">
        <f>526313100</f>
        <v>5.263131E8</v>
      </c>
      <c r="X223" s="36" t="n">
        <f>21</f>
        <v>21.0</v>
      </c>
    </row>
    <row r="224">
      <c r="A224" s="27" t="s">
        <v>42</v>
      </c>
      <c r="B224" s="27" t="s">
        <v>718</v>
      </c>
      <c r="C224" s="27" t="s">
        <v>719</v>
      </c>
      <c r="D224" s="27" t="s">
        <v>720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10.0</v>
      </c>
      <c r="K224" s="33" t="n">
        <f>1058</f>
        <v>1058.0</v>
      </c>
      <c r="L224" s="34" t="s">
        <v>48</v>
      </c>
      <c r="M224" s="33" t="n">
        <f>1150</f>
        <v>1150.0</v>
      </c>
      <c r="N224" s="34" t="s">
        <v>103</v>
      </c>
      <c r="O224" s="33" t="n">
        <f>773</f>
        <v>773.0</v>
      </c>
      <c r="P224" s="34" t="s">
        <v>62</v>
      </c>
      <c r="Q224" s="33" t="n">
        <f>913</f>
        <v>913.0</v>
      </c>
      <c r="R224" s="34" t="s">
        <v>51</v>
      </c>
      <c r="S224" s="35" t="n">
        <f>938.29</f>
        <v>938.29</v>
      </c>
      <c r="T224" s="32" t="n">
        <f>702700</f>
        <v>702700.0</v>
      </c>
      <c r="U224" s="32" t="n">
        <f>171000</f>
        <v>171000.0</v>
      </c>
      <c r="V224" s="32" t="n">
        <f>609117990</f>
        <v>6.0911799E8</v>
      </c>
      <c r="W224" s="32" t="n">
        <f>155912000</f>
        <v>1.55912E8</v>
      </c>
      <c r="X224" s="36" t="n">
        <f>21</f>
        <v>21.0</v>
      </c>
    </row>
    <row r="225">
      <c r="A225" s="27" t="s">
        <v>42</v>
      </c>
      <c r="B225" s="27" t="s">
        <v>721</v>
      </c>
      <c r="C225" s="27" t="s">
        <v>722</v>
      </c>
      <c r="D225" s="27" t="s">
        <v>723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10.0</v>
      </c>
      <c r="K225" s="33" t="n">
        <f>1032</f>
        <v>1032.0</v>
      </c>
      <c r="L225" s="34" t="s">
        <v>48</v>
      </c>
      <c r="M225" s="33" t="n">
        <f>1150</f>
        <v>1150.0</v>
      </c>
      <c r="N225" s="34" t="s">
        <v>49</v>
      </c>
      <c r="O225" s="33" t="n">
        <f>639</f>
        <v>639.0</v>
      </c>
      <c r="P225" s="34" t="s">
        <v>66</v>
      </c>
      <c r="Q225" s="33" t="n">
        <f>765</f>
        <v>765.0</v>
      </c>
      <c r="R225" s="34" t="s">
        <v>51</v>
      </c>
      <c r="S225" s="35" t="n">
        <f>849.14</f>
        <v>849.14</v>
      </c>
      <c r="T225" s="32" t="n">
        <f>1459210</f>
        <v>1459210.0</v>
      </c>
      <c r="U225" s="32" t="n">
        <f>157860</f>
        <v>157860.0</v>
      </c>
      <c r="V225" s="32" t="n">
        <f>1154132114</f>
        <v>1.154132114E9</v>
      </c>
      <c r="W225" s="32" t="n">
        <f>126208544</f>
        <v>1.26208544E8</v>
      </c>
      <c r="X225" s="36" t="n">
        <f>21</f>
        <v>21.0</v>
      </c>
    </row>
    <row r="226">
      <c r="A226" s="27" t="s">
        <v>42</v>
      </c>
      <c r="B226" s="27" t="s">
        <v>724</v>
      </c>
      <c r="C226" s="27" t="s">
        <v>725</v>
      </c>
      <c r="D226" s="27" t="s">
        <v>726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10.0</v>
      </c>
      <c r="K226" s="33" t="n">
        <f>548</f>
        <v>548.0</v>
      </c>
      <c r="L226" s="34" t="s">
        <v>48</v>
      </c>
      <c r="M226" s="33" t="n">
        <f>589</f>
        <v>589.0</v>
      </c>
      <c r="N226" s="34" t="s">
        <v>49</v>
      </c>
      <c r="O226" s="33" t="n">
        <f>404</f>
        <v>404.0</v>
      </c>
      <c r="P226" s="34" t="s">
        <v>50</v>
      </c>
      <c r="Q226" s="33" t="n">
        <f>475</f>
        <v>475.0</v>
      </c>
      <c r="R226" s="34" t="s">
        <v>51</v>
      </c>
      <c r="S226" s="35" t="n">
        <f>485.29</f>
        <v>485.29</v>
      </c>
      <c r="T226" s="32" t="n">
        <f>4693280</f>
        <v>4693280.0</v>
      </c>
      <c r="U226" s="32" t="n">
        <f>101090</f>
        <v>101090.0</v>
      </c>
      <c r="V226" s="32" t="n">
        <f>2287233240</f>
        <v>2.28723324E9</v>
      </c>
      <c r="W226" s="32" t="n">
        <f>56269420</f>
        <v>5.626942E7</v>
      </c>
      <c r="X226" s="36" t="n">
        <f>21</f>
        <v>21.0</v>
      </c>
    </row>
    <row r="227">
      <c r="A227" s="27" t="s">
        <v>42</v>
      </c>
      <c r="B227" s="27" t="s">
        <v>727</v>
      </c>
      <c r="C227" s="27" t="s">
        <v>728</v>
      </c>
      <c r="D227" s="27" t="s">
        <v>729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10.0</v>
      </c>
      <c r="K227" s="33" t="n">
        <f>1167</f>
        <v>1167.0</v>
      </c>
      <c r="L227" s="34" t="s">
        <v>48</v>
      </c>
      <c r="M227" s="33" t="n">
        <f>1233</f>
        <v>1233.0</v>
      </c>
      <c r="N227" s="34" t="s">
        <v>103</v>
      </c>
      <c r="O227" s="33" t="n">
        <f>694</f>
        <v>694.0</v>
      </c>
      <c r="P227" s="34" t="s">
        <v>66</v>
      </c>
      <c r="Q227" s="33" t="n">
        <f>919</f>
        <v>919.0</v>
      </c>
      <c r="R227" s="34" t="s">
        <v>51</v>
      </c>
      <c r="S227" s="35" t="n">
        <f>1000.95</f>
        <v>1000.95</v>
      </c>
      <c r="T227" s="32" t="n">
        <f>14427060</f>
        <v>1.442706E7</v>
      </c>
      <c r="U227" s="32" t="n">
        <f>13451260</f>
        <v>1.345126E7</v>
      </c>
      <c r="V227" s="32" t="n">
        <f>14933853100</f>
        <v>1.49338531E10</v>
      </c>
      <c r="W227" s="32" t="n">
        <f>13933021990</f>
        <v>1.393302199E10</v>
      </c>
      <c r="X227" s="36" t="n">
        <f>21</f>
        <v>21.0</v>
      </c>
    </row>
    <row r="228">
      <c r="A228" s="27" t="s">
        <v>42</v>
      </c>
      <c r="B228" s="27" t="s">
        <v>730</v>
      </c>
      <c r="C228" s="27" t="s">
        <v>731</v>
      </c>
      <c r="D228" s="27" t="s">
        <v>732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1.0</v>
      </c>
      <c r="K228" s="33" t="n">
        <f>866</f>
        <v>866.0</v>
      </c>
      <c r="L228" s="34" t="s">
        <v>48</v>
      </c>
      <c r="M228" s="33" t="n">
        <f>901</f>
        <v>901.0</v>
      </c>
      <c r="N228" s="34" t="s">
        <v>49</v>
      </c>
      <c r="O228" s="33" t="n">
        <f>707</f>
        <v>707.0</v>
      </c>
      <c r="P228" s="34" t="s">
        <v>107</v>
      </c>
      <c r="Q228" s="33" t="n">
        <f>843</f>
        <v>843.0</v>
      </c>
      <c r="R228" s="34" t="s">
        <v>51</v>
      </c>
      <c r="S228" s="35" t="n">
        <f>816.1</f>
        <v>816.1</v>
      </c>
      <c r="T228" s="32" t="n">
        <f>403904</f>
        <v>403904.0</v>
      </c>
      <c r="U228" s="32" t="str">
        <f>"－"</f>
        <v>－</v>
      </c>
      <c r="V228" s="32" t="n">
        <f>322875288</f>
        <v>3.22875288E8</v>
      </c>
      <c r="W228" s="32" t="str">
        <f>"－"</f>
        <v>－</v>
      </c>
      <c r="X228" s="36" t="n">
        <f>21</f>
        <v>21.0</v>
      </c>
    </row>
    <row r="229">
      <c r="A229" s="27" t="s">
        <v>42</v>
      </c>
      <c r="B229" s="27" t="s">
        <v>733</v>
      </c>
      <c r="C229" s="27" t="s">
        <v>734</v>
      </c>
      <c r="D229" s="27" t="s">
        <v>735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10.0</v>
      </c>
      <c r="K229" s="33" t="n">
        <f>1081</f>
        <v>1081.0</v>
      </c>
      <c r="L229" s="34" t="s">
        <v>48</v>
      </c>
      <c r="M229" s="33" t="n">
        <f>1094</f>
        <v>1094.0</v>
      </c>
      <c r="N229" s="34" t="s">
        <v>77</v>
      </c>
      <c r="O229" s="33" t="n">
        <f>855</f>
        <v>855.0</v>
      </c>
      <c r="P229" s="34" t="s">
        <v>62</v>
      </c>
      <c r="Q229" s="33" t="n">
        <f>945</f>
        <v>945.0</v>
      </c>
      <c r="R229" s="34" t="s">
        <v>51</v>
      </c>
      <c r="S229" s="35" t="n">
        <f>983.57</f>
        <v>983.57</v>
      </c>
      <c r="T229" s="32" t="n">
        <f>92240</f>
        <v>92240.0</v>
      </c>
      <c r="U229" s="32" t="str">
        <f>"－"</f>
        <v>－</v>
      </c>
      <c r="V229" s="32" t="n">
        <f>91543630</f>
        <v>9.154363E7</v>
      </c>
      <c r="W229" s="32" t="str">
        <f>"－"</f>
        <v>－</v>
      </c>
      <c r="X229" s="36" t="n">
        <f>21</f>
        <v>21.0</v>
      </c>
    </row>
    <row r="230">
      <c r="A230" s="27" t="s">
        <v>42</v>
      </c>
      <c r="B230" s="27" t="s">
        <v>736</v>
      </c>
      <c r="C230" s="27" t="s">
        <v>737</v>
      </c>
      <c r="D230" s="27" t="s">
        <v>738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10.0</v>
      </c>
      <c r="K230" s="33" t="n">
        <f>934</f>
        <v>934.0</v>
      </c>
      <c r="L230" s="34" t="s">
        <v>48</v>
      </c>
      <c r="M230" s="33" t="n">
        <f>964</f>
        <v>964.0</v>
      </c>
      <c r="N230" s="34" t="s">
        <v>49</v>
      </c>
      <c r="O230" s="33" t="n">
        <f>694</f>
        <v>694.0</v>
      </c>
      <c r="P230" s="34" t="s">
        <v>66</v>
      </c>
      <c r="Q230" s="33" t="n">
        <f>779</f>
        <v>779.0</v>
      </c>
      <c r="R230" s="34" t="s">
        <v>51</v>
      </c>
      <c r="S230" s="35" t="n">
        <f>825.05</f>
        <v>825.05</v>
      </c>
      <c r="T230" s="32" t="n">
        <f>290820</f>
        <v>290820.0</v>
      </c>
      <c r="U230" s="32" t="str">
        <f>"－"</f>
        <v>－</v>
      </c>
      <c r="V230" s="32" t="n">
        <f>253002750</f>
        <v>2.5300275E8</v>
      </c>
      <c r="W230" s="32" t="str">
        <f>"－"</f>
        <v>－</v>
      </c>
      <c r="X230" s="36" t="n">
        <f>21</f>
        <v>21.0</v>
      </c>
    </row>
    <row r="231">
      <c r="A231" s="27" t="s">
        <v>42</v>
      </c>
      <c r="B231" s="27" t="s">
        <v>739</v>
      </c>
      <c r="C231" s="27" t="s">
        <v>740</v>
      </c>
      <c r="D231" s="27" t="s">
        <v>741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10.0</v>
      </c>
      <c r="K231" s="33" t="n">
        <f>1008</f>
        <v>1008.0</v>
      </c>
      <c r="L231" s="34" t="s">
        <v>48</v>
      </c>
      <c r="M231" s="33" t="n">
        <f>1081</f>
        <v>1081.0</v>
      </c>
      <c r="N231" s="34" t="s">
        <v>103</v>
      </c>
      <c r="O231" s="33" t="n">
        <f>768</f>
        <v>768.0</v>
      </c>
      <c r="P231" s="34" t="s">
        <v>62</v>
      </c>
      <c r="Q231" s="33" t="n">
        <f>920</f>
        <v>920.0</v>
      </c>
      <c r="R231" s="34" t="s">
        <v>51</v>
      </c>
      <c r="S231" s="35" t="n">
        <f>926.81</f>
        <v>926.81</v>
      </c>
      <c r="T231" s="32" t="n">
        <f>18896420</f>
        <v>1.889642E7</v>
      </c>
      <c r="U231" s="32" t="n">
        <f>10723620</f>
        <v>1.072362E7</v>
      </c>
      <c r="V231" s="32" t="n">
        <f>17807446880</f>
        <v>1.780744688E10</v>
      </c>
      <c r="W231" s="32" t="n">
        <f>9860718910</f>
        <v>9.86071891E9</v>
      </c>
      <c r="X231" s="36" t="n">
        <f>21</f>
        <v>21.0</v>
      </c>
    </row>
    <row r="232">
      <c r="A232" s="27" t="s">
        <v>42</v>
      </c>
      <c r="B232" s="27" t="s">
        <v>742</v>
      </c>
      <c r="C232" s="27" t="s">
        <v>743</v>
      </c>
      <c r="D232" s="27" t="s">
        <v>744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1.0</v>
      </c>
      <c r="K232" s="33" t="n">
        <f>2178</f>
        <v>2178.0</v>
      </c>
      <c r="L232" s="34" t="s">
        <v>48</v>
      </c>
      <c r="M232" s="33" t="n">
        <f>2380</f>
        <v>2380.0</v>
      </c>
      <c r="N232" s="34" t="s">
        <v>49</v>
      </c>
      <c r="O232" s="33" t="n">
        <f>1608</f>
        <v>1608.0</v>
      </c>
      <c r="P232" s="34" t="s">
        <v>66</v>
      </c>
      <c r="Q232" s="33" t="n">
        <f>1886</f>
        <v>1886.0</v>
      </c>
      <c r="R232" s="34" t="s">
        <v>51</v>
      </c>
      <c r="S232" s="35" t="n">
        <f>1928.57</f>
        <v>1928.57</v>
      </c>
      <c r="T232" s="32" t="n">
        <f>87129</f>
        <v>87129.0</v>
      </c>
      <c r="U232" s="32" t="str">
        <f>"－"</f>
        <v>－</v>
      </c>
      <c r="V232" s="32" t="n">
        <f>170140164</f>
        <v>1.70140164E8</v>
      </c>
      <c r="W232" s="32" t="str">
        <f>"－"</f>
        <v>－</v>
      </c>
      <c r="X232" s="36" t="n">
        <f>21</f>
        <v>21.0</v>
      </c>
    </row>
    <row r="233">
      <c r="A233" s="27" t="s">
        <v>42</v>
      </c>
      <c r="B233" s="27" t="s">
        <v>745</v>
      </c>
      <c r="C233" s="27" t="s">
        <v>746</v>
      </c>
      <c r="D233" s="27" t="s">
        <v>747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10.0</v>
      </c>
      <c r="K233" s="33" t="n">
        <f>1350</f>
        <v>1350.0</v>
      </c>
      <c r="L233" s="34" t="s">
        <v>77</v>
      </c>
      <c r="M233" s="33" t="n">
        <f>1350</f>
        <v>1350.0</v>
      </c>
      <c r="N233" s="34" t="s">
        <v>77</v>
      </c>
      <c r="O233" s="33" t="n">
        <f>1084</f>
        <v>1084.0</v>
      </c>
      <c r="P233" s="34" t="s">
        <v>50</v>
      </c>
      <c r="Q233" s="33" t="n">
        <f>1265</f>
        <v>1265.0</v>
      </c>
      <c r="R233" s="34" t="s">
        <v>99</v>
      </c>
      <c r="S233" s="35" t="n">
        <f>1212.25</f>
        <v>1212.25</v>
      </c>
      <c r="T233" s="32" t="n">
        <f>250</f>
        <v>250.0</v>
      </c>
      <c r="U233" s="32" t="str">
        <f>"－"</f>
        <v>－</v>
      </c>
      <c r="V233" s="32" t="n">
        <f>292110</f>
        <v>292110.0</v>
      </c>
      <c r="W233" s="32" t="str">
        <f>"－"</f>
        <v>－</v>
      </c>
      <c r="X233" s="36" t="n">
        <f>8</f>
        <v>8.0</v>
      </c>
    </row>
    <row r="234">
      <c r="A234" s="27" t="s">
        <v>42</v>
      </c>
      <c r="B234" s="27" t="s">
        <v>748</v>
      </c>
      <c r="C234" s="27" t="s">
        <v>749</v>
      </c>
      <c r="D234" s="27" t="s">
        <v>750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10.0</v>
      </c>
      <c r="K234" s="33" t="n">
        <f>1528</f>
        <v>1528.0</v>
      </c>
      <c r="L234" s="34" t="s">
        <v>48</v>
      </c>
      <c r="M234" s="33" t="n">
        <f>1529</f>
        <v>1529.0</v>
      </c>
      <c r="N234" s="34" t="s">
        <v>48</v>
      </c>
      <c r="O234" s="33" t="n">
        <f>1252</f>
        <v>1252.0</v>
      </c>
      <c r="P234" s="34" t="s">
        <v>70</v>
      </c>
      <c r="Q234" s="33" t="n">
        <f>1451</f>
        <v>1451.0</v>
      </c>
      <c r="R234" s="34" t="s">
        <v>290</v>
      </c>
      <c r="S234" s="35" t="n">
        <f>1411.43</f>
        <v>1411.43</v>
      </c>
      <c r="T234" s="32" t="n">
        <f>71260</f>
        <v>71260.0</v>
      </c>
      <c r="U234" s="32" t="n">
        <f>70000</f>
        <v>70000.0</v>
      </c>
      <c r="V234" s="32" t="n">
        <f>108535840</f>
        <v>1.0853584E8</v>
      </c>
      <c r="W234" s="32" t="n">
        <f>106841000</f>
        <v>1.06841E8</v>
      </c>
      <c r="X234" s="36" t="n">
        <f>7</f>
        <v>7.0</v>
      </c>
    </row>
    <row r="235">
      <c r="A235" s="27" t="s">
        <v>42</v>
      </c>
      <c r="B235" s="27" t="s">
        <v>751</v>
      </c>
      <c r="C235" s="27" t="s">
        <v>752</v>
      </c>
      <c r="D235" s="27" t="s">
        <v>753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1.0</v>
      </c>
      <c r="K235" s="33" t="n">
        <f>21430</f>
        <v>21430.0</v>
      </c>
      <c r="L235" s="34" t="s">
        <v>49</v>
      </c>
      <c r="M235" s="33" t="n">
        <f>21430</f>
        <v>21430.0</v>
      </c>
      <c r="N235" s="34" t="s">
        <v>49</v>
      </c>
      <c r="O235" s="33" t="n">
        <f>16680</f>
        <v>16680.0</v>
      </c>
      <c r="P235" s="34" t="s">
        <v>62</v>
      </c>
      <c r="Q235" s="33" t="n">
        <f>19350</f>
        <v>19350.0</v>
      </c>
      <c r="R235" s="34" t="s">
        <v>192</v>
      </c>
      <c r="S235" s="35" t="n">
        <f>18997.69</f>
        <v>18997.69</v>
      </c>
      <c r="T235" s="32" t="n">
        <f>25068</f>
        <v>25068.0</v>
      </c>
      <c r="U235" s="32" t="n">
        <f>24000</f>
        <v>24000.0</v>
      </c>
      <c r="V235" s="32" t="n">
        <f>525950810</f>
        <v>5.2595081E8</v>
      </c>
      <c r="W235" s="32" t="n">
        <f>505368000</f>
        <v>5.05368E8</v>
      </c>
      <c r="X235" s="36" t="n">
        <f>13</f>
        <v>13.0</v>
      </c>
    </row>
    <row r="236">
      <c r="A236" s="27" t="s">
        <v>42</v>
      </c>
      <c r="B236" s="27" t="s">
        <v>754</v>
      </c>
      <c r="C236" s="27" t="s">
        <v>755</v>
      </c>
      <c r="D236" s="27" t="s">
        <v>756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1.0</v>
      </c>
      <c r="K236" s="33" t="n">
        <f>13580</f>
        <v>13580.0</v>
      </c>
      <c r="L236" s="34" t="s">
        <v>48</v>
      </c>
      <c r="M236" s="33" t="n">
        <f>16920</f>
        <v>16920.0</v>
      </c>
      <c r="N236" s="34" t="s">
        <v>192</v>
      </c>
      <c r="O236" s="33" t="n">
        <f>11220</f>
        <v>11220.0</v>
      </c>
      <c r="P236" s="34" t="s">
        <v>62</v>
      </c>
      <c r="Q236" s="33" t="n">
        <f>13610</f>
        <v>13610.0</v>
      </c>
      <c r="R236" s="34" t="s">
        <v>169</v>
      </c>
      <c r="S236" s="35" t="n">
        <f>13096.36</f>
        <v>13096.36</v>
      </c>
      <c r="T236" s="32" t="n">
        <f>1407</f>
        <v>1407.0</v>
      </c>
      <c r="U236" s="32" t="str">
        <f>"－"</f>
        <v>－</v>
      </c>
      <c r="V236" s="32" t="n">
        <f>18280750</f>
        <v>1.828075E7</v>
      </c>
      <c r="W236" s="32" t="str">
        <f>"－"</f>
        <v>－</v>
      </c>
      <c r="X236" s="36" t="n">
        <f>11</f>
        <v>11.0</v>
      </c>
    </row>
    <row r="237">
      <c r="A237" s="27" t="s">
        <v>42</v>
      </c>
      <c r="B237" s="27" t="s">
        <v>757</v>
      </c>
      <c r="C237" s="27" t="s">
        <v>758</v>
      </c>
      <c r="D237" s="27" t="s">
        <v>759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10.0</v>
      </c>
      <c r="K237" s="33" t="n">
        <f>1156</f>
        <v>1156.0</v>
      </c>
      <c r="L237" s="34" t="s">
        <v>48</v>
      </c>
      <c r="M237" s="33" t="n">
        <f>1201</f>
        <v>1201.0</v>
      </c>
      <c r="N237" s="34" t="s">
        <v>48</v>
      </c>
      <c r="O237" s="33" t="n">
        <f>733</f>
        <v>733.0</v>
      </c>
      <c r="P237" s="34" t="s">
        <v>62</v>
      </c>
      <c r="Q237" s="33" t="n">
        <f>927</f>
        <v>927.0</v>
      </c>
      <c r="R237" s="34" t="s">
        <v>51</v>
      </c>
      <c r="S237" s="35" t="n">
        <f>935.6</f>
        <v>935.6</v>
      </c>
      <c r="T237" s="32" t="n">
        <f>1626100</f>
        <v>1626100.0</v>
      </c>
      <c r="U237" s="32" t="n">
        <f>670000</f>
        <v>670000.0</v>
      </c>
      <c r="V237" s="32" t="n">
        <f>1695474590</f>
        <v>1.69547459E9</v>
      </c>
      <c r="W237" s="32" t="n">
        <f>680505300</f>
        <v>6.805053E8</v>
      </c>
      <c r="X237" s="36" t="n">
        <f>15</f>
        <v>15.0</v>
      </c>
    </row>
    <row r="238">
      <c r="A238" s="27" t="s">
        <v>42</v>
      </c>
      <c r="B238" s="27" t="s">
        <v>760</v>
      </c>
      <c r="C238" s="27" t="s">
        <v>761</v>
      </c>
      <c r="D238" s="27" t="s">
        <v>762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10.0</v>
      </c>
      <c r="K238" s="33" t="n">
        <f>1160</f>
        <v>1160.0</v>
      </c>
      <c r="L238" s="34" t="s">
        <v>48</v>
      </c>
      <c r="M238" s="33" t="n">
        <f>1234</f>
        <v>1234.0</v>
      </c>
      <c r="N238" s="34" t="s">
        <v>103</v>
      </c>
      <c r="O238" s="33" t="n">
        <f>684</f>
        <v>684.0</v>
      </c>
      <c r="P238" s="34" t="s">
        <v>62</v>
      </c>
      <c r="Q238" s="33" t="n">
        <f>910</f>
        <v>910.0</v>
      </c>
      <c r="R238" s="34" t="s">
        <v>51</v>
      </c>
      <c r="S238" s="35" t="n">
        <f>990.65</f>
        <v>990.65</v>
      </c>
      <c r="T238" s="32" t="n">
        <f>298080</f>
        <v>298080.0</v>
      </c>
      <c r="U238" s="32" t="n">
        <f>218100</f>
        <v>218100.0</v>
      </c>
      <c r="V238" s="32" t="n">
        <f>240216580</f>
        <v>2.4021658E8</v>
      </c>
      <c r="W238" s="32" t="n">
        <f>157428700</f>
        <v>1.574287E8</v>
      </c>
      <c r="X238" s="36" t="n">
        <f>20</f>
        <v>20.0</v>
      </c>
    </row>
    <row r="239">
      <c r="A239" s="27" t="s">
        <v>42</v>
      </c>
      <c r="B239" s="27" t="s">
        <v>763</v>
      </c>
      <c r="C239" s="27" t="s">
        <v>764</v>
      </c>
      <c r="D239" s="27" t="s">
        <v>765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1.0</v>
      </c>
      <c r="K239" s="33" t="n">
        <f>890</f>
        <v>890.0</v>
      </c>
      <c r="L239" s="34" t="s">
        <v>48</v>
      </c>
      <c r="M239" s="33" t="n">
        <f>927</f>
        <v>927.0</v>
      </c>
      <c r="N239" s="34" t="s">
        <v>49</v>
      </c>
      <c r="O239" s="33" t="n">
        <f>750</f>
        <v>750.0</v>
      </c>
      <c r="P239" s="34" t="s">
        <v>107</v>
      </c>
      <c r="Q239" s="33" t="n">
        <f>840</f>
        <v>840.0</v>
      </c>
      <c r="R239" s="34" t="s">
        <v>51</v>
      </c>
      <c r="S239" s="35" t="n">
        <f>841.29</f>
        <v>841.29</v>
      </c>
      <c r="T239" s="32" t="n">
        <f>74795</f>
        <v>74795.0</v>
      </c>
      <c r="U239" s="32" t="str">
        <f>"－"</f>
        <v>－</v>
      </c>
      <c r="V239" s="32" t="n">
        <f>62034676</f>
        <v>6.2034676E7</v>
      </c>
      <c r="W239" s="32" t="str">
        <f>"－"</f>
        <v>－</v>
      </c>
      <c r="X239" s="36" t="n">
        <f>21</f>
        <v>21.0</v>
      </c>
    </row>
    <row r="240">
      <c r="A240" s="27" t="s">
        <v>42</v>
      </c>
      <c r="B240" s="27" t="s">
        <v>766</v>
      </c>
      <c r="C240" s="27" t="s">
        <v>767</v>
      </c>
      <c r="D240" s="27" t="s">
        <v>768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1.0</v>
      </c>
      <c r="K240" s="33" t="n">
        <f>10200</f>
        <v>10200.0</v>
      </c>
      <c r="L240" s="34" t="s">
        <v>48</v>
      </c>
      <c r="M240" s="33" t="n">
        <f>10860</f>
        <v>10860.0</v>
      </c>
      <c r="N240" s="34" t="s">
        <v>277</v>
      </c>
      <c r="O240" s="33" t="n">
        <f>8710</f>
        <v>8710.0</v>
      </c>
      <c r="P240" s="34" t="s">
        <v>107</v>
      </c>
      <c r="Q240" s="33" t="n">
        <f>9120</f>
        <v>9120.0</v>
      </c>
      <c r="R240" s="34" t="s">
        <v>51</v>
      </c>
      <c r="S240" s="35" t="n">
        <f>9963</f>
        <v>9963.0</v>
      </c>
      <c r="T240" s="32" t="n">
        <f>1453</f>
        <v>1453.0</v>
      </c>
      <c r="U240" s="32" t="str">
        <f>"－"</f>
        <v>－</v>
      </c>
      <c r="V240" s="32" t="n">
        <f>14623920</f>
        <v>1.462392E7</v>
      </c>
      <c r="W240" s="32" t="str">
        <f>"－"</f>
        <v>－</v>
      </c>
      <c r="X240" s="36" t="n">
        <f>20</f>
        <v>20.0</v>
      </c>
    </row>
    <row r="241">
      <c r="A241" s="27" t="s">
        <v>42</v>
      </c>
      <c r="B241" s="27" t="s">
        <v>769</v>
      </c>
      <c r="C241" s="27" t="s">
        <v>770</v>
      </c>
      <c r="D241" s="27" t="s">
        <v>771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1.0</v>
      </c>
      <c r="K241" s="33" t="n">
        <f>2100</f>
        <v>2100.0</v>
      </c>
      <c r="L241" s="34" t="s">
        <v>48</v>
      </c>
      <c r="M241" s="33" t="n">
        <f>2245</f>
        <v>2245.0</v>
      </c>
      <c r="N241" s="34" t="s">
        <v>103</v>
      </c>
      <c r="O241" s="33" t="n">
        <f>1330</f>
        <v>1330.0</v>
      </c>
      <c r="P241" s="34" t="s">
        <v>66</v>
      </c>
      <c r="Q241" s="33" t="n">
        <f>1666</f>
        <v>1666.0</v>
      </c>
      <c r="R241" s="34" t="s">
        <v>51</v>
      </c>
      <c r="S241" s="35" t="n">
        <f>1844.86</f>
        <v>1844.86</v>
      </c>
      <c r="T241" s="32" t="n">
        <f>21177</f>
        <v>21177.0</v>
      </c>
      <c r="U241" s="32" t="str">
        <f>"－"</f>
        <v>－</v>
      </c>
      <c r="V241" s="32" t="n">
        <f>36858170</f>
        <v>3.685817E7</v>
      </c>
      <c r="W241" s="32" t="str">
        <f>"－"</f>
        <v>－</v>
      </c>
      <c r="X241" s="36" t="n">
        <f>21</f>
        <v>21.0</v>
      </c>
    </row>
    <row r="242">
      <c r="A242" s="27" t="s">
        <v>42</v>
      </c>
      <c r="B242" s="27" t="s">
        <v>772</v>
      </c>
      <c r="C242" s="27" t="s">
        <v>773</v>
      </c>
      <c r="D242" s="27" t="s">
        <v>774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10.0</v>
      </c>
      <c r="K242" s="33" t="n">
        <f>1093</f>
        <v>1093.0</v>
      </c>
      <c r="L242" s="34" t="s">
        <v>48</v>
      </c>
      <c r="M242" s="33" t="n">
        <f>1149</f>
        <v>1149.0</v>
      </c>
      <c r="N242" s="34" t="s">
        <v>49</v>
      </c>
      <c r="O242" s="33" t="n">
        <f>999</f>
        <v>999.0</v>
      </c>
      <c r="P242" s="34" t="s">
        <v>99</v>
      </c>
      <c r="Q242" s="33" t="n">
        <f>1000</f>
        <v>1000.0</v>
      </c>
      <c r="R242" s="34" t="s">
        <v>290</v>
      </c>
      <c r="S242" s="35" t="n">
        <f>1070.46</f>
        <v>1070.46</v>
      </c>
      <c r="T242" s="32" t="n">
        <f>1710</f>
        <v>1710.0</v>
      </c>
      <c r="U242" s="32" t="str">
        <f>"－"</f>
        <v>－</v>
      </c>
      <c r="V242" s="32" t="n">
        <f>1822810</f>
        <v>1822810.0</v>
      </c>
      <c r="W242" s="32" t="str">
        <f>"－"</f>
        <v>－</v>
      </c>
      <c r="X242" s="36" t="n">
        <f>13</f>
        <v>13.0</v>
      </c>
    </row>
    <row r="243">
      <c r="A243" s="27" t="s">
        <v>42</v>
      </c>
      <c r="B243" s="27" t="s">
        <v>775</v>
      </c>
      <c r="C243" s="27" t="s">
        <v>776</v>
      </c>
      <c r="D243" s="27" t="s">
        <v>777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10.0</v>
      </c>
      <c r="K243" s="33" t="n">
        <f>1009</f>
        <v>1009.0</v>
      </c>
      <c r="L243" s="34" t="s">
        <v>48</v>
      </c>
      <c r="M243" s="33" t="n">
        <f>1053</f>
        <v>1053.0</v>
      </c>
      <c r="N243" s="34" t="s">
        <v>49</v>
      </c>
      <c r="O243" s="33" t="n">
        <f>906</f>
        <v>906.0</v>
      </c>
      <c r="P243" s="34" t="s">
        <v>182</v>
      </c>
      <c r="Q243" s="33" t="n">
        <f>954</f>
        <v>954.0</v>
      </c>
      <c r="R243" s="34" t="s">
        <v>51</v>
      </c>
      <c r="S243" s="35" t="n">
        <f>977.71</f>
        <v>977.71</v>
      </c>
      <c r="T243" s="32" t="n">
        <f>33430</f>
        <v>33430.0</v>
      </c>
      <c r="U243" s="32" t="str">
        <f>"－"</f>
        <v>－</v>
      </c>
      <c r="V243" s="32" t="n">
        <f>31378990</f>
        <v>3.137899E7</v>
      </c>
      <c r="W243" s="32" t="str">
        <f>"－"</f>
        <v>－</v>
      </c>
      <c r="X243" s="36" t="n">
        <f>21</f>
        <v>21.0</v>
      </c>
    </row>
    <row r="244">
      <c r="A244" s="27" t="s">
        <v>42</v>
      </c>
      <c r="B244" s="27" t="s">
        <v>778</v>
      </c>
      <c r="C244" s="27" t="s">
        <v>779</v>
      </c>
      <c r="D244" s="27" t="s">
        <v>780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10.0</v>
      </c>
      <c r="K244" s="33" t="n">
        <f>2019</f>
        <v>2019.0</v>
      </c>
      <c r="L244" s="34" t="s">
        <v>48</v>
      </c>
      <c r="M244" s="33" t="n">
        <f>2200</f>
        <v>2200.0</v>
      </c>
      <c r="N244" s="34" t="s">
        <v>168</v>
      </c>
      <c r="O244" s="33" t="n">
        <f>1200</f>
        <v>1200.0</v>
      </c>
      <c r="P244" s="34" t="s">
        <v>66</v>
      </c>
      <c r="Q244" s="33" t="n">
        <f>1652</f>
        <v>1652.0</v>
      </c>
      <c r="R244" s="34" t="s">
        <v>51</v>
      </c>
      <c r="S244" s="35" t="n">
        <f>1782.05</f>
        <v>1782.05</v>
      </c>
      <c r="T244" s="32" t="n">
        <f>112080</f>
        <v>112080.0</v>
      </c>
      <c r="U244" s="32" t="str">
        <f>"－"</f>
        <v>－</v>
      </c>
      <c r="V244" s="32" t="n">
        <f>185086790</f>
        <v>1.8508679E8</v>
      </c>
      <c r="W244" s="32" t="str">
        <f>"－"</f>
        <v>－</v>
      </c>
      <c r="X244" s="36" t="n">
        <f>19</f>
        <v>19.0</v>
      </c>
    </row>
    <row r="245">
      <c r="A245" s="27" t="s">
        <v>42</v>
      </c>
      <c r="B245" s="27" t="s">
        <v>781</v>
      </c>
      <c r="C245" s="27" t="s">
        <v>782</v>
      </c>
      <c r="D245" s="27" t="s">
        <v>783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10.0</v>
      </c>
      <c r="K245" s="33" t="n">
        <f>2007</f>
        <v>2007.0</v>
      </c>
      <c r="L245" s="34" t="s">
        <v>48</v>
      </c>
      <c r="M245" s="33" t="n">
        <f>2114</f>
        <v>2114.0</v>
      </c>
      <c r="N245" s="34" t="s">
        <v>103</v>
      </c>
      <c r="O245" s="33" t="n">
        <f>1304</f>
        <v>1304.0</v>
      </c>
      <c r="P245" s="34" t="s">
        <v>66</v>
      </c>
      <c r="Q245" s="33" t="n">
        <f>1572</f>
        <v>1572.0</v>
      </c>
      <c r="R245" s="34" t="s">
        <v>51</v>
      </c>
      <c r="S245" s="35" t="n">
        <f>1816.89</f>
        <v>1816.89</v>
      </c>
      <c r="T245" s="32" t="n">
        <f>35710</f>
        <v>35710.0</v>
      </c>
      <c r="U245" s="32" t="str">
        <f>"－"</f>
        <v>－</v>
      </c>
      <c r="V245" s="32" t="n">
        <f>60540720</f>
        <v>6.054072E7</v>
      </c>
      <c r="W245" s="32" t="str">
        <f>"－"</f>
        <v>－</v>
      </c>
      <c r="X245" s="36" t="n">
        <f>18</f>
        <v>18.0</v>
      </c>
    </row>
    <row r="246">
      <c r="A246" s="27" t="s">
        <v>42</v>
      </c>
      <c r="B246" s="27" t="s">
        <v>784</v>
      </c>
      <c r="C246" s="27" t="s">
        <v>785</v>
      </c>
      <c r="D246" s="27" t="s">
        <v>786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10.0</v>
      </c>
      <c r="K246" s="33" t="n">
        <f>1530</f>
        <v>1530.0</v>
      </c>
      <c r="L246" s="34" t="s">
        <v>49</v>
      </c>
      <c r="M246" s="33" t="n">
        <f>1530</f>
        <v>1530.0</v>
      </c>
      <c r="N246" s="34" t="s">
        <v>49</v>
      </c>
      <c r="O246" s="33" t="n">
        <f>1260</f>
        <v>1260.0</v>
      </c>
      <c r="P246" s="34" t="s">
        <v>50</v>
      </c>
      <c r="Q246" s="33" t="n">
        <f>1411</f>
        <v>1411.0</v>
      </c>
      <c r="R246" s="34" t="s">
        <v>99</v>
      </c>
      <c r="S246" s="35" t="n">
        <f>1367.13</f>
        <v>1367.13</v>
      </c>
      <c r="T246" s="32" t="n">
        <f>25540</f>
        <v>25540.0</v>
      </c>
      <c r="U246" s="32" t="n">
        <f>12300</f>
        <v>12300.0</v>
      </c>
      <c r="V246" s="32" t="n">
        <f>33782710</f>
        <v>3.378271E7</v>
      </c>
      <c r="W246" s="32" t="n">
        <f>16531200</f>
        <v>1.65312E7</v>
      </c>
      <c r="X246" s="36" t="n">
        <f>8</f>
        <v>8.0</v>
      </c>
    </row>
    <row r="247">
      <c r="A247" s="27" t="s">
        <v>42</v>
      </c>
      <c r="B247" s="27" t="s">
        <v>787</v>
      </c>
      <c r="C247" s="27" t="s">
        <v>788</v>
      </c>
      <c r="D247" s="27" t="s">
        <v>789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1.0</v>
      </c>
      <c r="K247" s="33" t="n">
        <f>9100</f>
        <v>9100.0</v>
      </c>
      <c r="L247" s="34" t="s">
        <v>48</v>
      </c>
      <c r="M247" s="33" t="n">
        <f>9710</f>
        <v>9710.0</v>
      </c>
      <c r="N247" s="34" t="s">
        <v>49</v>
      </c>
      <c r="O247" s="33" t="n">
        <f>6940</f>
        <v>6940.0</v>
      </c>
      <c r="P247" s="34" t="s">
        <v>62</v>
      </c>
      <c r="Q247" s="33" t="n">
        <f>8120</f>
        <v>8120.0</v>
      </c>
      <c r="R247" s="34" t="s">
        <v>51</v>
      </c>
      <c r="S247" s="35" t="n">
        <f>8180.48</f>
        <v>8180.48</v>
      </c>
      <c r="T247" s="32" t="n">
        <f>265552</f>
        <v>265552.0</v>
      </c>
      <c r="U247" s="32" t="n">
        <f>491</f>
        <v>491.0</v>
      </c>
      <c r="V247" s="32" t="n">
        <f>2160765880</f>
        <v>2.16076588E9</v>
      </c>
      <c r="W247" s="32" t="n">
        <f>4075990</f>
        <v>4075990.0</v>
      </c>
      <c r="X247" s="36" t="n">
        <f>21</f>
        <v>21.0</v>
      </c>
    </row>
    <row r="248">
      <c r="A248" s="27" t="s">
        <v>42</v>
      </c>
      <c r="B248" s="27" t="s">
        <v>790</v>
      </c>
      <c r="C248" s="27" t="s">
        <v>791</v>
      </c>
      <c r="D248" s="27" t="s">
        <v>792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1.0</v>
      </c>
      <c r="K248" s="33" t="n">
        <f>9000</f>
        <v>9000.0</v>
      </c>
      <c r="L248" s="34" t="s">
        <v>48</v>
      </c>
      <c r="M248" s="33" t="n">
        <f>9500</f>
        <v>9500.0</v>
      </c>
      <c r="N248" s="34" t="s">
        <v>49</v>
      </c>
      <c r="O248" s="33" t="n">
        <f>6800</f>
        <v>6800.0</v>
      </c>
      <c r="P248" s="34" t="s">
        <v>62</v>
      </c>
      <c r="Q248" s="33" t="n">
        <f>7950</f>
        <v>7950.0</v>
      </c>
      <c r="R248" s="34" t="s">
        <v>51</v>
      </c>
      <c r="S248" s="35" t="n">
        <f>8064.29</f>
        <v>8064.29</v>
      </c>
      <c r="T248" s="32" t="n">
        <f>125390</f>
        <v>125390.0</v>
      </c>
      <c r="U248" s="32" t="n">
        <f>135</f>
        <v>135.0</v>
      </c>
      <c r="V248" s="32" t="n">
        <f>989321080</f>
        <v>9.8932108E8</v>
      </c>
      <c r="W248" s="32" t="n">
        <f>1005560</f>
        <v>1005560.0</v>
      </c>
      <c r="X248" s="36" t="n">
        <f>21</f>
        <v>21.0</v>
      </c>
    </row>
    <row r="249">
      <c r="A249" s="27" t="s">
        <v>42</v>
      </c>
      <c r="B249" s="27" t="s">
        <v>793</v>
      </c>
      <c r="C249" s="27" t="s">
        <v>794</v>
      </c>
      <c r="D249" s="27" t="s">
        <v>795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1.0</v>
      </c>
      <c r="K249" s="33" t="n">
        <f>20430</f>
        <v>20430.0</v>
      </c>
      <c r="L249" s="34" t="s">
        <v>48</v>
      </c>
      <c r="M249" s="33" t="n">
        <f>20490</f>
        <v>20490.0</v>
      </c>
      <c r="N249" s="34" t="s">
        <v>103</v>
      </c>
      <c r="O249" s="33" t="n">
        <f>16450</f>
        <v>16450.0</v>
      </c>
      <c r="P249" s="34" t="s">
        <v>70</v>
      </c>
      <c r="Q249" s="33" t="n">
        <f>18880</f>
        <v>18880.0</v>
      </c>
      <c r="R249" s="34" t="s">
        <v>51</v>
      </c>
      <c r="S249" s="35" t="n">
        <f>18375.63</f>
        <v>18375.63</v>
      </c>
      <c r="T249" s="32" t="n">
        <f>199</f>
        <v>199.0</v>
      </c>
      <c r="U249" s="32" t="str">
        <f>"－"</f>
        <v>－</v>
      </c>
      <c r="V249" s="32" t="n">
        <f>3716230</f>
        <v>3716230.0</v>
      </c>
      <c r="W249" s="32" t="str">
        <f>"－"</f>
        <v>－</v>
      </c>
      <c r="X249" s="36" t="n">
        <f>16</f>
        <v>16.0</v>
      </c>
    </row>
    <row r="250">
      <c r="A250" s="27" t="s">
        <v>42</v>
      </c>
      <c r="B250" s="27" t="s">
        <v>796</v>
      </c>
      <c r="C250" s="27" t="s">
        <v>797</v>
      </c>
      <c r="D250" s="27" t="s">
        <v>798</v>
      </c>
      <c r="E250" s="28" t="s">
        <v>46</v>
      </c>
      <c r="F250" s="29" t="s">
        <v>46</v>
      </c>
      <c r="G250" s="30" t="s">
        <v>46</v>
      </c>
      <c r="H250" s="31"/>
      <c r="I250" s="31" t="s">
        <v>47</v>
      </c>
      <c r="J250" s="32" t="n">
        <v>1.0</v>
      </c>
      <c r="K250" s="33" t="n">
        <f>2868</f>
        <v>2868.0</v>
      </c>
      <c r="L250" s="34" t="s">
        <v>48</v>
      </c>
      <c r="M250" s="33" t="n">
        <f>2868</f>
        <v>2868.0</v>
      </c>
      <c r="N250" s="34" t="s">
        <v>48</v>
      </c>
      <c r="O250" s="33" t="n">
        <f>2721</f>
        <v>2721.0</v>
      </c>
      <c r="P250" s="34" t="s">
        <v>62</v>
      </c>
      <c r="Q250" s="33" t="n">
        <f>2762</f>
        <v>2762.0</v>
      </c>
      <c r="R250" s="34" t="s">
        <v>51</v>
      </c>
      <c r="S250" s="35" t="n">
        <f>2785.76</f>
        <v>2785.76</v>
      </c>
      <c r="T250" s="32" t="n">
        <f>13587</f>
        <v>13587.0</v>
      </c>
      <c r="U250" s="32" t="str">
        <f>"－"</f>
        <v>－</v>
      </c>
      <c r="V250" s="32" t="n">
        <f>38096928</f>
        <v>3.8096928E7</v>
      </c>
      <c r="W250" s="32" t="str">
        <f>"－"</f>
        <v>－</v>
      </c>
      <c r="X250" s="36" t="n">
        <f>21</f>
        <v>21.0</v>
      </c>
    </row>
    <row r="251">
      <c r="A251" s="27" t="s">
        <v>42</v>
      </c>
      <c r="B251" s="27" t="s">
        <v>799</v>
      </c>
      <c r="C251" s="27" t="s">
        <v>800</v>
      </c>
      <c r="D251" s="27" t="s">
        <v>801</v>
      </c>
      <c r="E251" s="28" t="s">
        <v>802</v>
      </c>
      <c r="F251" s="29" t="s">
        <v>803</v>
      </c>
      <c r="G251" s="30" t="s">
        <v>804</v>
      </c>
      <c r="H251" s="31"/>
      <c r="I251" s="31" t="s">
        <v>47</v>
      </c>
      <c r="J251" s="32" t="n">
        <v>10.0</v>
      </c>
      <c r="K251" s="33" t="n">
        <f>1800</f>
        <v>1800.0</v>
      </c>
      <c r="L251" s="34" t="s">
        <v>805</v>
      </c>
      <c r="M251" s="33" t="n">
        <f>1958</f>
        <v>1958.0</v>
      </c>
      <c r="N251" s="34" t="s">
        <v>192</v>
      </c>
      <c r="O251" s="33" t="n">
        <f>1576</f>
        <v>1576.0</v>
      </c>
      <c r="P251" s="34" t="s">
        <v>62</v>
      </c>
      <c r="Q251" s="33" t="n">
        <f>1922</f>
        <v>1922.0</v>
      </c>
      <c r="R251" s="34" t="s">
        <v>51</v>
      </c>
      <c r="S251" s="35" t="n">
        <f>1783.67</f>
        <v>1783.67</v>
      </c>
      <c r="T251" s="32" t="n">
        <f>314800</f>
        <v>314800.0</v>
      </c>
      <c r="U251" s="32" t="str">
        <f>"－"</f>
        <v>－</v>
      </c>
      <c r="V251" s="32" t="n">
        <f>601699790</f>
        <v>6.0169979E8</v>
      </c>
      <c r="W251" s="32" t="str">
        <f>"－"</f>
        <v>－</v>
      </c>
      <c r="X251" s="36" t="n">
        <f>9</f>
        <v>9.0</v>
      </c>
    </row>
    <row r="252">
      <c r="A252" s="27" t="s">
        <v>42</v>
      </c>
      <c r="B252" s="27" t="s">
        <v>806</v>
      </c>
      <c r="C252" s="27" t="s">
        <v>807</v>
      </c>
      <c r="D252" s="27" t="s">
        <v>808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1.0</v>
      </c>
      <c r="K252" s="33" t="n">
        <f>111100</f>
        <v>111100.0</v>
      </c>
      <c r="L252" s="34" t="s">
        <v>48</v>
      </c>
      <c r="M252" s="33" t="n">
        <f>121000</f>
        <v>121000.0</v>
      </c>
      <c r="N252" s="34" t="s">
        <v>49</v>
      </c>
      <c r="O252" s="33" t="n">
        <f>70900</f>
        <v>70900.0</v>
      </c>
      <c r="P252" s="34" t="s">
        <v>66</v>
      </c>
      <c r="Q252" s="33" t="n">
        <f>94900</f>
        <v>94900.0</v>
      </c>
      <c r="R252" s="34" t="s">
        <v>51</v>
      </c>
      <c r="S252" s="35" t="n">
        <f>96014.29</f>
        <v>96014.29</v>
      </c>
      <c r="T252" s="32" t="n">
        <f>63890</f>
        <v>63890.0</v>
      </c>
      <c r="U252" s="32" t="n">
        <f>4775</f>
        <v>4775.0</v>
      </c>
      <c r="V252" s="32" t="n">
        <f>6035004649</f>
        <v>6.035004649E9</v>
      </c>
      <c r="W252" s="32" t="n">
        <f>464957149</f>
        <v>4.64957149E8</v>
      </c>
      <c r="X252" s="36" t="n">
        <f>21</f>
        <v>21.0</v>
      </c>
    </row>
    <row r="253">
      <c r="A253" s="27" t="s">
        <v>42</v>
      </c>
      <c r="B253" s="27" t="s">
        <v>809</v>
      </c>
      <c r="C253" s="27" t="s">
        <v>810</v>
      </c>
      <c r="D253" s="27" t="s">
        <v>811</v>
      </c>
      <c r="E253" s="28" t="s">
        <v>46</v>
      </c>
      <c r="F253" s="29" t="s">
        <v>46</v>
      </c>
      <c r="G253" s="30" t="s">
        <v>46</v>
      </c>
      <c r="H253" s="31"/>
      <c r="I253" s="31" t="s">
        <v>636</v>
      </c>
      <c r="J253" s="32" t="n">
        <v>1.0</v>
      </c>
      <c r="K253" s="33" t="n">
        <f>114600</f>
        <v>114600.0</v>
      </c>
      <c r="L253" s="34" t="s">
        <v>48</v>
      </c>
      <c r="M253" s="33" t="n">
        <f>127600</f>
        <v>127600.0</v>
      </c>
      <c r="N253" s="34" t="s">
        <v>103</v>
      </c>
      <c r="O253" s="33" t="n">
        <f>61000</f>
        <v>61000.0</v>
      </c>
      <c r="P253" s="34" t="s">
        <v>66</v>
      </c>
      <c r="Q253" s="33" t="n">
        <f>99400</f>
        <v>99400.0</v>
      </c>
      <c r="R253" s="34" t="s">
        <v>51</v>
      </c>
      <c r="S253" s="35" t="n">
        <f>98976.19</f>
        <v>98976.19</v>
      </c>
      <c r="T253" s="32" t="n">
        <f>59161</f>
        <v>59161.0</v>
      </c>
      <c r="U253" s="32" t="n">
        <f>7696</f>
        <v>7696.0</v>
      </c>
      <c r="V253" s="32" t="n">
        <f>5638725766</f>
        <v>5.638725766E9</v>
      </c>
      <c r="W253" s="32" t="n">
        <f>797507966</f>
        <v>7.97507966E8</v>
      </c>
      <c r="X253" s="36" t="n">
        <f>21</f>
        <v>21.0</v>
      </c>
    </row>
    <row r="254">
      <c r="A254" s="27" t="s">
        <v>42</v>
      </c>
      <c r="B254" s="27" t="s">
        <v>812</v>
      </c>
      <c r="C254" s="27" t="s">
        <v>813</v>
      </c>
      <c r="D254" s="27" t="s">
        <v>814</v>
      </c>
      <c r="E254" s="28" t="s">
        <v>46</v>
      </c>
      <c r="F254" s="29" t="s">
        <v>46</v>
      </c>
      <c r="G254" s="30" t="s">
        <v>46</v>
      </c>
      <c r="H254" s="31"/>
      <c r="I254" s="31" t="s">
        <v>636</v>
      </c>
      <c r="J254" s="32" t="n">
        <v>1.0</v>
      </c>
      <c r="K254" s="33" t="n">
        <f>116500</f>
        <v>116500.0</v>
      </c>
      <c r="L254" s="34" t="s">
        <v>48</v>
      </c>
      <c r="M254" s="33" t="n">
        <f>128500</f>
        <v>128500.0</v>
      </c>
      <c r="N254" s="34" t="s">
        <v>103</v>
      </c>
      <c r="O254" s="33" t="n">
        <f>83000</f>
        <v>83000.0</v>
      </c>
      <c r="P254" s="34" t="s">
        <v>66</v>
      </c>
      <c r="Q254" s="33" t="n">
        <f>107900</f>
        <v>107900.0</v>
      </c>
      <c r="R254" s="34" t="s">
        <v>51</v>
      </c>
      <c r="S254" s="35" t="n">
        <f>107466.67</f>
        <v>107466.67</v>
      </c>
      <c r="T254" s="32" t="n">
        <f>104695</f>
        <v>104695.0</v>
      </c>
      <c r="U254" s="32" t="n">
        <f>11716</f>
        <v>11716.0</v>
      </c>
      <c r="V254" s="32" t="n">
        <f>11127460950</f>
        <v>1.112746095E10</v>
      </c>
      <c r="W254" s="32" t="n">
        <f>1315834450</f>
        <v>1.31583445E9</v>
      </c>
      <c r="X254" s="36" t="n">
        <f>21</f>
        <v>21.0</v>
      </c>
    </row>
    <row r="255">
      <c r="A255" s="27" t="s">
        <v>42</v>
      </c>
      <c r="B255" s="27" t="s">
        <v>815</v>
      </c>
      <c r="C255" s="27" t="s">
        <v>816</v>
      </c>
      <c r="D255" s="27" t="s">
        <v>817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1.0</v>
      </c>
      <c r="K255" s="33" t="n">
        <f>651000</f>
        <v>651000.0</v>
      </c>
      <c r="L255" s="34" t="s">
        <v>48</v>
      </c>
      <c r="M255" s="33" t="n">
        <f>683000</f>
        <v>683000.0</v>
      </c>
      <c r="N255" s="34" t="s">
        <v>49</v>
      </c>
      <c r="O255" s="33" t="n">
        <f>442000</f>
        <v>442000.0</v>
      </c>
      <c r="P255" s="34" t="s">
        <v>66</v>
      </c>
      <c r="Q255" s="33" t="n">
        <f>584000</f>
        <v>584000.0</v>
      </c>
      <c r="R255" s="34" t="s">
        <v>51</v>
      </c>
      <c r="S255" s="35" t="n">
        <f>584761.9</f>
        <v>584761.9</v>
      </c>
      <c r="T255" s="32" t="n">
        <f>105194</f>
        <v>105194.0</v>
      </c>
      <c r="U255" s="32" t="n">
        <f>23672</f>
        <v>23672.0</v>
      </c>
      <c r="V255" s="32" t="n">
        <f>59857744047</f>
        <v>5.9857744047E10</v>
      </c>
      <c r="W255" s="32" t="n">
        <f>13556230047</f>
        <v>1.3556230047E10</v>
      </c>
      <c r="X255" s="36" t="n">
        <f>21</f>
        <v>21.0</v>
      </c>
    </row>
    <row r="256">
      <c r="A256" s="27" t="s">
        <v>42</v>
      </c>
      <c r="B256" s="27" t="s">
        <v>818</v>
      </c>
      <c r="C256" s="27" t="s">
        <v>819</v>
      </c>
      <c r="D256" s="27" t="s">
        <v>820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1.0</v>
      </c>
      <c r="K256" s="33" t="n">
        <f>108300</f>
        <v>108300.0</v>
      </c>
      <c r="L256" s="34" t="s">
        <v>48</v>
      </c>
      <c r="M256" s="33" t="n">
        <f>114200</f>
        <v>114200.0</v>
      </c>
      <c r="N256" s="34" t="s">
        <v>49</v>
      </c>
      <c r="O256" s="33" t="n">
        <f>51400</f>
        <v>51400.0</v>
      </c>
      <c r="P256" s="34" t="s">
        <v>66</v>
      </c>
      <c r="Q256" s="33" t="n">
        <f>76500</f>
        <v>76500.0</v>
      </c>
      <c r="R256" s="34" t="s">
        <v>51</v>
      </c>
      <c r="S256" s="35" t="n">
        <f>83642.86</f>
        <v>83642.86</v>
      </c>
      <c r="T256" s="32" t="n">
        <f>470215</f>
        <v>470215.0</v>
      </c>
      <c r="U256" s="32" t="n">
        <f>80399</f>
        <v>80399.0</v>
      </c>
      <c r="V256" s="32" t="n">
        <f>37763504503</f>
        <v>3.7763504503E10</v>
      </c>
      <c r="W256" s="32" t="n">
        <f>6705504103</f>
        <v>6.705504103E9</v>
      </c>
      <c r="X256" s="36" t="n">
        <f>21</f>
        <v>21.0</v>
      </c>
    </row>
    <row r="257">
      <c r="A257" s="27" t="s">
        <v>42</v>
      </c>
      <c r="B257" s="27" t="s">
        <v>821</v>
      </c>
      <c r="C257" s="27" t="s">
        <v>822</v>
      </c>
      <c r="D257" s="27" t="s">
        <v>823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1.0</v>
      </c>
      <c r="K257" s="33" t="n">
        <f>167400</f>
        <v>167400.0</v>
      </c>
      <c r="L257" s="34" t="s">
        <v>48</v>
      </c>
      <c r="M257" s="33" t="n">
        <f>179100</f>
        <v>179100.0</v>
      </c>
      <c r="N257" s="34" t="s">
        <v>103</v>
      </c>
      <c r="O257" s="33" t="n">
        <f>83600</f>
        <v>83600.0</v>
      </c>
      <c r="P257" s="34" t="s">
        <v>66</v>
      </c>
      <c r="Q257" s="33" t="n">
        <f>143500</f>
        <v>143500.0</v>
      </c>
      <c r="R257" s="34" t="s">
        <v>51</v>
      </c>
      <c r="S257" s="35" t="n">
        <f>143980.95</f>
        <v>143980.95</v>
      </c>
      <c r="T257" s="32" t="n">
        <f>358495</f>
        <v>358495.0</v>
      </c>
      <c r="U257" s="32" t="n">
        <f>55730</f>
        <v>55730.0</v>
      </c>
      <c r="V257" s="32" t="n">
        <f>48264017272</f>
        <v>4.8264017272E10</v>
      </c>
      <c r="W257" s="32" t="n">
        <f>7665540472</f>
        <v>7.665540472E9</v>
      </c>
      <c r="X257" s="36" t="n">
        <f>21</f>
        <v>21.0</v>
      </c>
    </row>
    <row r="258">
      <c r="A258" s="27" t="s">
        <v>42</v>
      </c>
      <c r="B258" s="27" t="s">
        <v>824</v>
      </c>
      <c r="C258" s="27" t="s">
        <v>825</v>
      </c>
      <c r="D258" s="27" t="s">
        <v>826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1.0</v>
      </c>
      <c r="K258" s="33" t="n">
        <f>166300</f>
        <v>166300.0</v>
      </c>
      <c r="L258" s="34" t="s">
        <v>48</v>
      </c>
      <c r="M258" s="33" t="n">
        <f>176400</f>
        <v>176400.0</v>
      </c>
      <c r="N258" s="34" t="s">
        <v>103</v>
      </c>
      <c r="O258" s="33" t="n">
        <f>94500</f>
        <v>94500.0</v>
      </c>
      <c r="P258" s="34" t="s">
        <v>66</v>
      </c>
      <c r="Q258" s="33" t="n">
        <f>146200</f>
        <v>146200.0</v>
      </c>
      <c r="R258" s="34" t="s">
        <v>51</v>
      </c>
      <c r="S258" s="35" t="n">
        <f>144161.9</f>
        <v>144161.9</v>
      </c>
      <c r="T258" s="32" t="n">
        <f>489856</f>
        <v>489856.0</v>
      </c>
      <c r="U258" s="32" t="n">
        <f>90657</f>
        <v>90657.0</v>
      </c>
      <c r="V258" s="32" t="n">
        <f>68751319572</f>
        <v>6.8751319572E10</v>
      </c>
      <c r="W258" s="32" t="n">
        <f>12774951872</f>
        <v>1.2774951872E10</v>
      </c>
      <c r="X258" s="36" t="n">
        <f>21</f>
        <v>21.0</v>
      </c>
    </row>
    <row r="259">
      <c r="A259" s="27" t="s">
        <v>42</v>
      </c>
      <c r="B259" s="27" t="s">
        <v>827</v>
      </c>
      <c r="C259" s="27" t="s">
        <v>828</v>
      </c>
      <c r="D259" s="27" t="s">
        <v>829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1.0</v>
      </c>
      <c r="K259" s="33" t="n">
        <f>308000</f>
        <v>308000.0</v>
      </c>
      <c r="L259" s="34" t="s">
        <v>48</v>
      </c>
      <c r="M259" s="33" t="n">
        <f>334000</f>
        <v>334000.0</v>
      </c>
      <c r="N259" s="34" t="s">
        <v>103</v>
      </c>
      <c r="O259" s="33" t="n">
        <f>209000</f>
        <v>209000.0</v>
      </c>
      <c r="P259" s="34" t="s">
        <v>66</v>
      </c>
      <c r="Q259" s="33" t="n">
        <f>313500</f>
        <v>313500.0</v>
      </c>
      <c r="R259" s="34" t="s">
        <v>51</v>
      </c>
      <c r="S259" s="35" t="n">
        <f>296790.48</f>
        <v>296790.48</v>
      </c>
      <c r="T259" s="32" t="n">
        <f>274306</f>
        <v>274306.0</v>
      </c>
      <c r="U259" s="32" t="n">
        <f>42719</f>
        <v>42719.0</v>
      </c>
      <c r="V259" s="32" t="n">
        <f>79559225154</f>
        <v>7.9559225154E10</v>
      </c>
      <c r="W259" s="32" t="n">
        <f>12342452854</f>
        <v>1.2342452854E10</v>
      </c>
      <c r="X259" s="36" t="n">
        <f>21</f>
        <v>21.0</v>
      </c>
    </row>
    <row r="260">
      <c r="A260" s="27" t="s">
        <v>42</v>
      </c>
      <c r="B260" s="27" t="s">
        <v>830</v>
      </c>
      <c r="C260" s="27" t="s">
        <v>831</v>
      </c>
      <c r="D260" s="27" t="s">
        <v>832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1.0</v>
      </c>
      <c r="K260" s="33" t="n">
        <f>181200</f>
        <v>181200.0</v>
      </c>
      <c r="L260" s="34" t="s">
        <v>48</v>
      </c>
      <c r="M260" s="33" t="n">
        <f>193000</f>
        <v>193000.0</v>
      </c>
      <c r="N260" s="34" t="s">
        <v>103</v>
      </c>
      <c r="O260" s="33" t="n">
        <f>100000</f>
        <v>100000.0</v>
      </c>
      <c r="P260" s="34" t="s">
        <v>66</v>
      </c>
      <c r="Q260" s="33" t="n">
        <f>168300</f>
        <v>168300.0</v>
      </c>
      <c r="R260" s="34" t="s">
        <v>51</v>
      </c>
      <c r="S260" s="35" t="n">
        <f>159633.33</f>
        <v>159633.33</v>
      </c>
      <c r="T260" s="32" t="n">
        <f>225948</f>
        <v>225948.0</v>
      </c>
      <c r="U260" s="32" t="n">
        <f>34210</f>
        <v>34210.0</v>
      </c>
      <c r="V260" s="32" t="n">
        <f>35187758692</f>
        <v>3.5187758692E10</v>
      </c>
      <c r="W260" s="32" t="n">
        <f>5608017692</f>
        <v>5.608017692E9</v>
      </c>
      <c r="X260" s="36" t="n">
        <f>21</f>
        <v>21.0</v>
      </c>
    </row>
    <row r="261">
      <c r="A261" s="27" t="s">
        <v>42</v>
      </c>
      <c r="B261" s="27" t="s">
        <v>833</v>
      </c>
      <c r="C261" s="27" t="s">
        <v>834</v>
      </c>
      <c r="D261" s="27" t="s">
        <v>835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1.0</v>
      </c>
      <c r="K261" s="33" t="n">
        <f>504000</f>
        <v>504000.0</v>
      </c>
      <c r="L261" s="34" t="s">
        <v>48</v>
      </c>
      <c r="M261" s="33" t="n">
        <f>530000</f>
        <v>530000.0</v>
      </c>
      <c r="N261" s="34" t="s">
        <v>103</v>
      </c>
      <c r="O261" s="33" t="n">
        <f>227400</f>
        <v>227400.0</v>
      </c>
      <c r="P261" s="34" t="s">
        <v>62</v>
      </c>
      <c r="Q261" s="33" t="n">
        <f>349000</f>
        <v>349000.0</v>
      </c>
      <c r="R261" s="34" t="s">
        <v>51</v>
      </c>
      <c r="S261" s="35" t="n">
        <f>394676.19</f>
        <v>394676.19</v>
      </c>
      <c r="T261" s="32" t="n">
        <f>210676</f>
        <v>210676.0</v>
      </c>
      <c r="U261" s="32" t="n">
        <f>33213</f>
        <v>33213.0</v>
      </c>
      <c r="V261" s="32" t="n">
        <f>74706413814</f>
        <v>7.4706413814E10</v>
      </c>
      <c r="W261" s="32" t="n">
        <f>11864724214</f>
        <v>1.1864724214E10</v>
      </c>
      <c r="X261" s="36" t="n">
        <f>21</f>
        <v>21.0</v>
      </c>
    </row>
    <row r="262">
      <c r="A262" s="27" t="s">
        <v>42</v>
      </c>
      <c r="B262" s="27" t="s">
        <v>836</v>
      </c>
      <c r="C262" s="27" t="s">
        <v>837</v>
      </c>
      <c r="D262" s="27" t="s">
        <v>838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1.0</v>
      </c>
      <c r="K262" s="33" t="n">
        <f>133800</f>
        <v>133800.0</v>
      </c>
      <c r="L262" s="34" t="s">
        <v>48</v>
      </c>
      <c r="M262" s="33" t="n">
        <f>146200</f>
        <v>146200.0</v>
      </c>
      <c r="N262" s="34" t="s">
        <v>103</v>
      </c>
      <c r="O262" s="33" t="n">
        <f>80600</f>
        <v>80600.0</v>
      </c>
      <c r="P262" s="34" t="s">
        <v>66</v>
      </c>
      <c r="Q262" s="33" t="n">
        <f>121600</f>
        <v>121600.0</v>
      </c>
      <c r="R262" s="34" t="s">
        <v>51</v>
      </c>
      <c r="S262" s="35" t="n">
        <f>120657.14</f>
        <v>120657.14</v>
      </c>
      <c r="T262" s="32" t="n">
        <f>886971</f>
        <v>886971.0</v>
      </c>
      <c r="U262" s="32" t="n">
        <f>154640</f>
        <v>154640.0</v>
      </c>
      <c r="V262" s="32" t="n">
        <f>103126266824</f>
        <v>1.03126266824E11</v>
      </c>
      <c r="W262" s="32" t="n">
        <f>17859184124</f>
        <v>1.7859184124E10</v>
      </c>
      <c r="X262" s="36" t="n">
        <f>21</f>
        <v>21.0</v>
      </c>
    </row>
    <row r="263">
      <c r="A263" s="27" t="s">
        <v>42</v>
      </c>
      <c r="B263" s="27" t="s">
        <v>839</v>
      </c>
      <c r="C263" s="27" t="s">
        <v>840</v>
      </c>
      <c r="D263" s="27" t="s">
        <v>841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1.0</v>
      </c>
      <c r="K263" s="33" t="n">
        <f>323500</f>
        <v>323500.0</v>
      </c>
      <c r="L263" s="34" t="s">
        <v>48</v>
      </c>
      <c r="M263" s="33" t="n">
        <f>341000</f>
        <v>341000.0</v>
      </c>
      <c r="N263" s="34" t="s">
        <v>103</v>
      </c>
      <c r="O263" s="33" t="n">
        <f>198100</f>
        <v>198100.0</v>
      </c>
      <c r="P263" s="34" t="s">
        <v>66</v>
      </c>
      <c r="Q263" s="33" t="n">
        <f>307500</f>
        <v>307500.0</v>
      </c>
      <c r="R263" s="34" t="s">
        <v>51</v>
      </c>
      <c r="S263" s="35" t="n">
        <f>294109.52</f>
        <v>294109.52</v>
      </c>
      <c r="T263" s="32" t="n">
        <f>150370</f>
        <v>150370.0</v>
      </c>
      <c r="U263" s="32" t="n">
        <f>19141</f>
        <v>19141.0</v>
      </c>
      <c r="V263" s="32" t="n">
        <f>42648004803</f>
        <v>4.2648004803E10</v>
      </c>
      <c r="W263" s="32" t="n">
        <f>5426248203</f>
        <v>5.426248203E9</v>
      </c>
      <c r="X263" s="36" t="n">
        <f>21</f>
        <v>21.0</v>
      </c>
    </row>
    <row r="264">
      <c r="A264" s="27" t="s">
        <v>42</v>
      </c>
      <c r="B264" s="27" t="s">
        <v>842</v>
      </c>
      <c r="C264" s="27" t="s">
        <v>843</v>
      </c>
      <c r="D264" s="27" t="s">
        <v>844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1.0</v>
      </c>
      <c r="K264" s="33" t="n">
        <f>287700</f>
        <v>287700.0</v>
      </c>
      <c r="L264" s="34" t="s">
        <v>48</v>
      </c>
      <c r="M264" s="33" t="n">
        <f>313500</f>
        <v>313500.0</v>
      </c>
      <c r="N264" s="34" t="s">
        <v>103</v>
      </c>
      <c r="O264" s="33" t="n">
        <f>221200</f>
        <v>221200.0</v>
      </c>
      <c r="P264" s="34" t="s">
        <v>66</v>
      </c>
      <c r="Q264" s="33" t="n">
        <f>271200</f>
        <v>271200.0</v>
      </c>
      <c r="R264" s="34" t="s">
        <v>51</v>
      </c>
      <c r="S264" s="35" t="n">
        <f>280490.48</f>
        <v>280490.48</v>
      </c>
      <c r="T264" s="32" t="n">
        <f>533748</f>
        <v>533748.0</v>
      </c>
      <c r="U264" s="32" t="n">
        <f>83005</f>
        <v>83005.0</v>
      </c>
      <c r="V264" s="32" t="n">
        <f>146555643923</f>
        <v>1.46555643923E11</v>
      </c>
      <c r="W264" s="32" t="n">
        <f>22806864823</f>
        <v>2.2806864823E10</v>
      </c>
      <c r="X264" s="36" t="n">
        <f>21</f>
        <v>21.0</v>
      </c>
    </row>
    <row r="265">
      <c r="A265" s="27" t="s">
        <v>42</v>
      </c>
      <c r="B265" s="27" t="s">
        <v>845</v>
      </c>
      <c r="C265" s="27" t="s">
        <v>846</v>
      </c>
      <c r="D265" s="27" t="s">
        <v>847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1.0</v>
      </c>
      <c r="K265" s="33" t="n">
        <f>456500</f>
        <v>456500.0</v>
      </c>
      <c r="L265" s="34" t="s">
        <v>48</v>
      </c>
      <c r="M265" s="33" t="n">
        <f>492000</f>
        <v>492000.0</v>
      </c>
      <c r="N265" s="34" t="s">
        <v>103</v>
      </c>
      <c r="O265" s="33" t="n">
        <f>250000</f>
        <v>250000.0</v>
      </c>
      <c r="P265" s="34" t="s">
        <v>66</v>
      </c>
      <c r="Q265" s="33" t="n">
        <f>332000</f>
        <v>332000.0</v>
      </c>
      <c r="R265" s="34" t="s">
        <v>51</v>
      </c>
      <c r="S265" s="35" t="n">
        <f>376147.62</f>
        <v>376147.62</v>
      </c>
      <c r="T265" s="32" t="n">
        <f>106464</f>
        <v>106464.0</v>
      </c>
      <c r="U265" s="32" t="n">
        <f>8878</f>
        <v>8878.0</v>
      </c>
      <c r="V265" s="32" t="n">
        <f>37569806890</f>
        <v>3.756980689E10</v>
      </c>
      <c r="W265" s="32" t="n">
        <f>3140654890</f>
        <v>3.14065489E9</v>
      </c>
      <c r="X265" s="36" t="n">
        <f>21</f>
        <v>21.0</v>
      </c>
    </row>
    <row r="266">
      <c r="A266" s="27" t="s">
        <v>42</v>
      </c>
      <c r="B266" s="27" t="s">
        <v>848</v>
      </c>
      <c r="C266" s="27" t="s">
        <v>849</v>
      </c>
      <c r="D266" s="27" t="s">
        <v>850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1.0</v>
      </c>
      <c r="K266" s="33" t="n">
        <f>315000</f>
        <v>315000.0</v>
      </c>
      <c r="L266" s="34" t="s">
        <v>48</v>
      </c>
      <c r="M266" s="33" t="n">
        <f>341500</f>
        <v>341500.0</v>
      </c>
      <c r="N266" s="34" t="s">
        <v>49</v>
      </c>
      <c r="O266" s="33" t="n">
        <f>165900</f>
        <v>165900.0</v>
      </c>
      <c r="P266" s="34" t="s">
        <v>66</v>
      </c>
      <c r="Q266" s="33" t="n">
        <f>244200</f>
        <v>244200.0</v>
      </c>
      <c r="R266" s="34" t="s">
        <v>51</v>
      </c>
      <c r="S266" s="35" t="n">
        <f>261614.29</f>
        <v>261614.29</v>
      </c>
      <c r="T266" s="32" t="n">
        <f>50711</f>
        <v>50711.0</v>
      </c>
      <c r="U266" s="32" t="n">
        <f>5524</f>
        <v>5524.0</v>
      </c>
      <c r="V266" s="32" t="n">
        <f>12389407879</f>
        <v>1.2389407879E10</v>
      </c>
      <c r="W266" s="32" t="n">
        <f>1415923279</f>
        <v>1.415923279E9</v>
      </c>
      <c r="X266" s="36" t="n">
        <f>21</f>
        <v>21.0</v>
      </c>
    </row>
    <row r="267">
      <c r="A267" s="27" t="s">
        <v>42</v>
      </c>
      <c r="B267" s="27" t="s">
        <v>851</v>
      </c>
      <c r="C267" s="27" t="s">
        <v>852</v>
      </c>
      <c r="D267" s="27" t="s">
        <v>853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1.0</v>
      </c>
      <c r="K267" s="33" t="n">
        <f>128200</f>
        <v>128200.0</v>
      </c>
      <c r="L267" s="34" t="s">
        <v>48</v>
      </c>
      <c r="M267" s="33" t="n">
        <f>135000</f>
        <v>135000.0</v>
      </c>
      <c r="N267" s="34" t="s">
        <v>49</v>
      </c>
      <c r="O267" s="33" t="n">
        <f>69600</f>
        <v>69600.0</v>
      </c>
      <c r="P267" s="34" t="s">
        <v>66</v>
      </c>
      <c r="Q267" s="33" t="n">
        <f>103500</f>
        <v>103500.0</v>
      </c>
      <c r="R267" s="34" t="s">
        <v>51</v>
      </c>
      <c r="S267" s="35" t="n">
        <f>106095.24</f>
        <v>106095.24</v>
      </c>
      <c r="T267" s="32" t="n">
        <f>378147</f>
        <v>378147.0</v>
      </c>
      <c r="U267" s="32" t="n">
        <f>54486</f>
        <v>54486.0</v>
      </c>
      <c r="V267" s="32" t="n">
        <f>38415719609</f>
        <v>3.8415719609E10</v>
      </c>
      <c r="W267" s="32" t="n">
        <f>5556793209</f>
        <v>5.556793209E9</v>
      </c>
      <c r="X267" s="36" t="n">
        <f>21</f>
        <v>21.0</v>
      </c>
    </row>
    <row r="268">
      <c r="A268" s="27" t="s">
        <v>42</v>
      </c>
      <c r="B268" s="27" t="s">
        <v>854</v>
      </c>
      <c r="C268" s="27" t="s">
        <v>855</v>
      </c>
      <c r="D268" s="27" t="s">
        <v>856</v>
      </c>
      <c r="E268" s="28" t="s">
        <v>46</v>
      </c>
      <c r="F268" s="29" t="s">
        <v>46</v>
      </c>
      <c r="G268" s="30" t="s">
        <v>46</v>
      </c>
      <c r="H268" s="31"/>
      <c r="I268" s="31" t="s">
        <v>47</v>
      </c>
      <c r="J268" s="32" t="n">
        <v>1.0</v>
      </c>
      <c r="K268" s="33" t="n">
        <f>178400</f>
        <v>178400.0</v>
      </c>
      <c r="L268" s="34" t="s">
        <v>48</v>
      </c>
      <c r="M268" s="33" t="n">
        <f>187700</f>
        <v>187700.0</v>
      </c>
      <c r="N268" s="34" t="s">
        <v>103</v>
      </c>
      <c r="O268" s="33" t="n">
        <f>82900</f>
        <v>82900.0</v>
      </c>
      <c r="P268" s="34" t="s">
        <v>66</v>
      </c>
      <c r="Q268" s="33" t="n">
        <f>125200</f>
        <v>125200.0</v>
      </c>
      <c r="R268" s="34" t="s">
        <v>51</v>
      </c>
      <c r="S268" s="35" t="n">
        <f>141600</f>
        <v>141600.0</v>
      </c>
      <c r="T268" s="32" t="n">
        <f>302189</f>
        <v>302189.0</v>
      </c>
      <c r="U268" s="32" t="n">
        <f>43158</f>
        <v>43158.0</v>
      </c>
      <c r="V268" s="32" t="n">
        <f>38960625318</f>
        <v>3.8960625318E10</v>
      </c>
      <c r="W268" s="32" t="n">
        <f>5540033518</f>
        <v>5.540033518E9</v>
      </c>
      <c r="X268" s="36" t="n">
        <f>21</f>
        <v>21.0</v>
      </c>
    </row>
    <row r="269">
      <c r="A269" s="27" t="s">
        <v>42</v>
      </c>
      <c r="B269" s="27" t="s">
        <v>857</v>
      </c>
      <c r="C269" s="27" t="s">
        <v>858</v>
      </c>
      <c r="D269" s="27" t="s">
        <v>859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1.0</v>
      </c>
      <c r="K269" s="33" t="n">
        <f>452000</f>
        <v>452000.0</v>
      </c>
      <c r="L269" s="34" t="s">
        <v>48</v>
      </c>
      <c r="M269" s="33" t="n">
        <f>489000</f>
        <v>489000.0</v>
      </c>
      <c r="N269" s="34" t="s">
        <v>49</v>
      </c>
      <c r="O269" s="33" t="n">
        <f>222500</f>
        <v>222500.0</v>
      </c>
      <c r="P269" s="34" t="s">
        <v>62</v>
      </c>
      <c r="Q269" s="33" t="n">
        <f>319000</f>
        <v>319000.0</v>
      </c>
      <c r="R269" s="34" t="s">
        <v>51</v>
      </c>
      <c r="S269" s="35" t="n">
        <f>354147.62</f>
        <v>354147.62</v>
      </c>
      <c r="T269" s="32" t="n">
        <f>107618</f>
        <v>107618.0</v>
      </c>
      <c r="U269" s="32" t="n">
        <f>15587</f>
        <v>15587.0</v>
      </c>
      <c r="V269" s="32" t="n">
        <f>34734216194</f>
        <v>3.4734216194E10</v>
      </c>
      <c r="W269" s="32" t="n">
        <f>4971575094</f>
        <v>4.971575094E9</v>
      </c>
      <c r="X269" s="36" t="n">
        <f>21</f>
        <v>21.0</v>
      </c>
    </row>
    <row r="270">
      <c r="A270" s="27" t="s">
        <v>42</v>
      </c>
      <c r="B270" s="27" t="s">
        <v>860</v>
      </c>
      <c r="C270" s="27" t="s">
        <v>861</v>
      </c>
      <c r="D270" s="27" t="s">
        <v>862</v>
      </c>
      <c r="E270" s="28" t="s">
        <v>46</v>
      </c>
      <c r="F270" s="29" t="s">
        <v>46</v>
      </c>
      <c r="G270" s="30" t="s">
        <v>46</v>
      </c>
      <c r="H270" s="31"/>
      <c r="I270" s="31" t="s">
        <v>47</v>
      </c>
      <c r="J270" s="32" t="n">
        <v>1.0</v>
      </c>
      <c r="K270" s="33" t="n">
        <f>20980</f>
        <v>20980.0</v>
      </c>
      <c r="L270" s="34" t="s">
        <v>48</v>
      </c>
      <c r="M270" s="33" t="n">
        <f>23120</f>
        <v>23120.0</v>
      </c>
      <c r="N270" s="34" t="s">
        <v>103</v>
      </c>
      <c r="O270" s="33" t="n">
        <f>9510</f>
        <v>9510.0</v>
      </c>
      <c r="P270" s="34" t="s">
        <v>66</v>
      </c>
      <c r="Q270" s="33" t="n">
        <f>14300</f>
        <v>14300.0</v>
      </c>
      <c r="R270" s="34" t="s">
        <v>51</v>
      </c>
      <c r="S270" s="35" t="n">
        <f>16535.71</f>
        <v>16535.71</v>
      </c>
      <c r="T270" s="32" t="n">
        <f>2949152</f>
        <v>2949152.0</v>
      </c>
      <c r="U270" s="32" t="n">
        <f>452291</f>
        <v>452291.0</v>
      </c>
      <c r="V270" s="32" t="n">
        <f>46435597356</f>
        <v>4.6435597356E10</v>
      </c>
      <c r="W270" s="32" t="n">
        <f>7308778616</f>
        <v>7.308778616E9</v>
      </c>
      <c r="X270" s="36" t="n">
        <f>21</f>
        <v>21.0</v>
      </c>
    </row>
    <row r="271">
      <c r="A271" s="27" t="s">
        <v>42</v>
      </c>
      <c r="B271" s="27" t="s">
        <v>863</v>
      </c>
      <c r="C271" s="27" t="s">
        <v>864</v>
      </c>
      <c r="D271" s="27" t="s">
        <v>865</v>
      </c>
      <c r="E271" s="28" t="s">
        <v>866</v>
      </c>
      <c r="F271" s="29" t="s">
        <v>867</v>
      </c>
      <c r="G271" s="30" t="s">
        <v>868</v>
      </c>
      <c r="H271" s="31"/>
      <c r="I271" s="31"/>
      <c r="J271" s="32" t="n">
        <v>1.0</v>
      </c>
      <c r="K271" s="33" t="n">
        <f>193300</f>
        <v>193300.0</v>
      </c>
      <c r="L271" s="34" t="s">
        <v>48</v>
      </c>
      <c r="M271" s="33" t="n">
        <f>219900</f>
        <v>219900.0</v>
      </c>
      <c r="N271" s="34" t="s">
        <v>103</v>
      </c>
      <c r="O271" s="33" t="n">
        <f>134700</f>
        <v>134700.0</v>
      </c>
      <c r="P271" s="34" t="s">
        <v>66</v>
      </c>
      <c r="Q271" s="33" t="n">
        <f>176200</f>
        <v>176200.0</v>
      </c>
      <c r="R271" s="34" t="s">
        <v>192</v>
      </c>
      <c r="S271" s="35" t="n">
        <f>182310.53</f>
        <v>182310.53</v>
      </c>
      <c r="T271" s="32" t="n">
        <f>16119</f>
        <v>16119.0</v>
      </c>
      <c r="U271" s="32" t="n">
        <f>2862</f>
        <v>2862.0</v>
      </c>
      <c r="V271" s="32" t="n">
        <f>2885382925</f>
        <v>2.885382925E9</v>
      </c>
      <c r="W271" s="32" t="n">
        <f>504073625</f>
        <v>5.04073625E8</v>
      </c>
      <c r="X271" s="36" t="n">
        <f>19</f>
        <v>19.0</v>
      </c>
    </row>
    <row r="272">
      <c r="A272" s="27" t="s">
        <v>42</v>
      </c>
      <c r="B272" s="27" t="s">
        <v>869</v>
      </c>
      <c r="C272" s="27" t="s">
        <v>870</v>
      </c>
      <c r="D272" s="27" t="s">
        <v>871</v>
      </c>
      <c r="E272" s="28" t="s">
        <v>46</v>
      </c>
      <c r="F272" s="29" t="s">
        <v>46</v>
      </c>
      <c r="G272" s="30" t="s">
        <v>46</v>
      </c>
      <c r="H272" s="31"/>
      <c r="I272" s="31" t="s">
        <v>47</v>
      </c>
      <c r="J272" s="32" t="n">
        <v>1.0</v>
      </c>
      <c r="K272" s="33" t="n">
        <f>83800</f>
        <v>83800.0</v>
      </c>
      <c r="L272" s="34" t="s">
        <v>48</v>
      </c>
      <c r="M272" s="33" t="n">
        <f>89400</f>
        <v>89400.0</v>
      </c>
      <c r="N272" s="34" t="s">
        <v>49</v>
      </c>
      <c r="O272" s="33" t="n">
        <f>46700</f>
        <v>46700.0</v>
      </c>
      <c r="P272" s="34" t="s">
        <v>66</v>
      </c>
      <c r="Q272" s="33" t="n">
        <f>69200</f>
        <v>69200.0</v>
      </c>
      <c r="R272" s="34" t="s">
        <v>51</v>
      </c>
      <c r="S272" s="35" t="n">
        <f>70626.19</f>
        <v>70626.19</v>
      </c>
      <c r="T272" s="32" t="n">
        <f>771364</f>
        <v>771364.0</v>
      </c>
      <c r="U272" s="32" t="n">
        <f>135679</f>
        <v>135679.0</v>
      </c>
      <c r="V272" s="32" t="n">
        <f>51959143665</f>
        <v>5.1959143665E10</v>
      </c>
      <c r="W272" s="32" t="n">
        <f>9150365565</f>
        <v>9.150365565E9</v>
      </c>
      <c r="X272" s="36" t="n">
        <f>21</f>
        <v>21.0</v>
      </c>
    </row>
    <row r="273">
      <c r="A273" s="27" t="s">
        <v>42</v>
      </c>
      <c r="B273" s="27" t="s">
        <v>872</v>
      </c>
      <c r="C273" s="27" t="s">
        <v>873</v>
      </c>
      <c r="D273" s="27" t="s">
        <v>874</v>
      </c>
      <c r="E273" s="28" t="s">
        <v>46</v>
      </c>
      <c r="F273" s="29" t="s">
        <v>46</v>
      </c>
      <c r="G273" s="30" t="s">
        <v>46</v>
      </c>
      <c r="H273" s="31"/>
      <c r="I273" s="31" t="s">
        <v>636</v>
      </c>
      <c r="J273" s="32" t="n">
        <v>1.0</v>
      </c>
      <c r="K273" s="33" t="n">
        <f>117500</f>
        <v>117500.0</v>
      </c>
      <c r="L273" s="34" t="s">
        <v>48</v>
      </c>
      <c r="M273" s="33" t="n">
        <f>130100</f>
        <v>130100.0</v>
      </c>
      <c r="N273" s="34" t="s">
        <v>103</v>
      </c>
      <c r="O273" s="33" t="n">
        <f>74900</f>
        <v>74900.0</v>
      </c>
      <c r="P273" s="34" t="s">
        <v>66</v>
      </c>
      <c r="Q273" s="33" t="n">
        <f>96600</f>
        <v>96600.0</v>
      </c>
      <c r="R273" s="34" t="s">
        <v>51</v>
      </c>
      <c r="S273" s="35" t="n">
        <f>102690.48</f>
        <v>102690.48</v>
      </c>
      <c r="T273" s="32" t="n">
        <f>99103</f>
        <v>99103.0</v>
      </c>
      <c r="U273" s="32" t="n">
        <f>8919</f>
        <v>8919.0</v>
      </c>
      <c r="V273" s="32" t="n">
        <f>9830226316</f>
        <v>9.830226316E9</v>
      </c>
      <c r="W273" s="32" t="n">
        <f>888299316</f>
        <v>8.88299316E8</v>
      </c>
      <c r="X273" s="36" t="n">
        <f>21</f>
        <v>21.0</v>
      </c>
    </row>
    <row r="274">
      <c r="A274" s="27" t="s">
        <v>42</v>
      </c>
      <c r="B274" s="27" t="s">
        <v>875</v>
      </c>
      <c r="C274" s="27" t="s">
        <v>876</v>
      </c>
      <c r="D274" s="27" t="s">
        <v>877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1.0</v>
      </c>
      <c r="K274" s="33" t="n">
        <f>236900</f>
        <v>236900.0</v>
      </c>
      <c r="L274" s="34" t="s">
        <v>48</v>
      </c>
      <c r="M274" s="33" t="n">
        <f>244500</f>
        <v>244500.0</v>
      </c>
      <c r="N274" s="34" t="s">
        <v>103</v>
      </c>
      <c r="O274" s="33" t="n">
        <f>110900</f>
        <v>110900.0</v>
      </c>
      <c r="P274" s="34" t="s">
        <v>66</v>
      </c>
      <c r="Q274" s="33" t="n">
        <f>152700</f>
        <v>152700.0</v>
      </c>
      <c r="R274" s="34" t="s">
        <v>51</v>
      </c>
      <c r="S274" s="35" t="n">
        <f>185400</f>
        <v>185400.0</v>
      </c>
      <c r="T274" s="32" t="n">
        <f>241154</f>
        <v>241154.0</v>
      </c>
      <c r="U274" s="32" t="n">
        <f>25872</f>
        <v>25872.0</v>
      </c>
      <c r="V274" s="32" t="n">
        <f>40435185981</f>
        <v>4.0435185981E10</v>
      </c>
      <c r="W274" s="32" t="n">
        <f>4604237481</f>
        <v>4.604237481E9</v>
      </c>
      <c r="X274" s="36" t="n">
        <f>21</f>
        <v>21.0</v>
      </c>
    </row>
    <row r="275">
      <c r="A275" s="27" t="s">
        <v>42</v>
      </c>
      <c r="B275" s="27" t="s">
        <v>878</v>
      </c>
      <c r="C275" s="27" t="s">
        <v>879</v>
      </c>
      <c r="D275" s="27" t="s">
        <v>880</v>
      </c>
      <c r="E275" s="28" t="s">
        <v>46</v>
      </c>
      <c r="F275" s="29" t="s">
        <v>46</v>
      </c>
      <c r="G275" s="30" t="s">
        <v>46</v>
      </c>
      <c r="H275" s="31"/>
      <c r="I275" s="31" t="s">
        <v>47</v>
      </c>
      <c r="J275" s="32" t="n">
        <v>1.0</v>
      </c>
      <c r="K275" s="33" t="n">
        <f>119500</f>
        <v>119500.0</v>
      </c>
      <c r="L275" s="34" t="s">
        <v>48</v>
      </c>
      <c r="M275" s="33" t="n">
        <f>130700</f>
        <v>130700.0</v>
      </c>
      <c r="N275" s="34" t="s">
        <v>49</v>
      </c>
      <c r="O275" s="33" t="n">
        <f>78400</f>
        <v>78400.0</v>
      </c>
      <c r="P275" s="34" t="s">
        <v>66</v>
      </c>
      <c r="Q275" s="33" t="n">
        <f>112100</f>
        <v>112100.0</v>
      </c>
      <c r="R275" s="34" t="s">
        <v>51</v>
      </c>
      <c r="S275" s="35" t="n">
        <f>108319.05</f>
        <v>108319.05</v>
      </c>
      <c r="T275" s="32" t="n">
        <f>84190</f>
        <v>84190.0</v>
      </c>
      <c r="U275" s="32" t="n">
        <f>9090</f>
        <v>9090.0</v>
      </c>
      <c r="V275" s="32" t="n">
        <f>8758826125</f>
        <v>8.758826125E9</v>
      </c>
      <c r="W275" s="32" t="n">
        <f>982105425</f>
        <v>9.82105425E8</v>
      </c>
      <c r="X275" s="36" t="n">
        <f>21</f>
        <v>21.0</v>
      </c>
    </row>
    <row r="276">
      <c r="A276" s="27" t="s">
        <v>42</v>
      </c>
      <c r="B276" s="27" t="s">
        <v>881</v>
      </c>
      <c r="C276" s="27" t="s">
        <v>882</v>
      </c>
      <c r="D276" s="27" t="s">
        <v>883</v>
      </c>
      <c r="E276" s="28" t="s">
        <v>46</v>
      </c>
      <c r="F276" s="29" t="s">
        <v>46</v>
      </c>
      <c r="G276" s="30" t="s">
        <v>46</v>
      </c>
      <c r="H276" s="31"/>
      <c r="I276" s="31" t="s">
        <v>636</v>
      </c>
      <c r="J276" s="32" t="n">
        <v>1.0</v>
      </c>
      <c r="K276" s="33" t="n">
        <f>91900</f>
        <v>91900.0</v>
      </c>
      <c r="L276" s="34" t="s">
        <v>48</v>
      </c>
      <c r="M276" s="33" t="n">
        <f>103200</f>
        <v>103200.0</v>
      </c>
      <c r="N276" s="34" t="s">
        <v>103</v>
      </c>
      <c r="O276" s="33" t="n">
        <f>67100</f>
        <v>67100.0</v>
      </c>
      <c r="P276" s="34" t="s">
        <v>66</v>
      </c>
      <c r="Q276" s="33" t="n">
        <f>84700</f>
        <v>84700.0</v>
      </c>
      <c r="R276" s="34" t="s">
        <v>51</v>
      </c>
      <c r="S276" s="35" t="n">
        <f>86638.1</f>
        <v>86638.1</v>
      </c>
      <c r="T276" s="32" t="n">
        <f>81486</f>
        <v>81486.0</v>
      </c>
      <c r="U276" s="32" t="n">
        <f>8604</f>
        <v>8604.0</v>
      </c>
      <c r="V276" s="32" t="n">
        <f>6855649049</f>
        <v>6.855649049E9</v>
      </c>
      <c r="W276" s="32" t="n">
        <f>753612449</f>
        <v>7.53612449E8</v>
      </c>
      <c r="X276" s="36" t="n">
        <f>21</f>
        <v>21.0</v>
      </c>
    </row>
    <row r="277">
      <c r="A277" s="27" t="s">
        <v>42</v>
      </c>
      <c r="B277" s="27" t="s">
        <v>884</v>
      </c>
      <c r="C277" s="27" t="s">
        <v>885</v>
      </c>
      <c r="D277" s="27" t="s">
        <v>886</v>
      </c>
      <c r="E277" s="28" t="s">
        <v>46</v>
      </c>
      <c r="F277" s="29" t="s">
        <v>46</v>
      </c>
      <c r="G277" s="30" t="s">
        <v>46</v>
      </c>
      <c r="H277" s="31"/>
      <c r="I277" s="31" t="s">
        <v>47</v>
      </c>
      <c r="J277" s="32" t="n">
        <v>1.0</v>
      </c>
      <c r="K277" s="33" t="n">
        <f>168500</f>
        <v>168500.0</v>
      </c>
      <c r="L277" s="34" t="s">
        <v>48</v>
      </c>
      <c r="M277" s="33" t="n">
        <f>175900</f>
        <v>175900.0</v>
      </c>
      <c r="N277" s="34" t="s">
        <v>49</v>
      </c>
      <c r="O277" s="33" t="n">
        <f>78800</f>
        <v>78800.0</v>
      </c>
      <c r="P277" s="34" t="s">
        <v>66</v>
      </c>
      <c r="Q277" s="33" t="n">
        <f>136600</f>
        <v>136600.0</v>
      </c>
      <c r="R277" s="34" t="s">
        <v>51</v>
      </c>
      <c r="S277" s="35" t="n">
        <f>138876.19</f>
        <v>138876.19</v>
      </c>
      <c r="T277" s="32" t="n">
        <f>991085</f>
        <v>991085.0</v>
      </c>
      <c r="U277" s="32" t="n">
        <f>190858</f>
        <v>190858.0</v>
      </c>
      <c r="V277" s="32" t="n">
        <f>128213125811</f>
        <v>1.28213125811E11</v>
      </c>
      <c r="W277" s="32" t="n">
        <f>25176216711</f>
        <v>2.5176216711E10</v>
      </c>
      <c r="X277" s="36" t="n">
        <f>21</f>
        <v>21.0</v>
      </c>
    </row>
    <row r="278">
      <c r="A278" s="27" t="s">
        <v>42</v>
      </c>
      <c r="B278" s="27" t="s">
        <v>887</v>
      </c>
      <c r="C278" s="27" t="s">
        <v>888</v>
      </c>
      <c r="D278" s="27" t="s">
        <v>889</v>
      </c>
      <c r="E278" s="28" t="s">
        <v>46</v>
      </c>
      <c r="F278" s="29" t="s">
        <v>46</v>
      </c>
      <c r="G278" s="30" t="s">
        <v>46</v>
      </c>
      <c r="H278" s="31"/>
      <c r="I278" s="31" t="s">
        <v>636</v>
      </c>
      <c r="J278" s="32" t="n">
        <v>1.0</v>
      </c>
      <c r="K278" s="33" t="n">
        <f>95600</f>
        <v>95600.0</v>
      </c>
      <c r="L278" s="34" t="s">
        <v>48</v>
      </c>
      <c r="M278" s="33" t="n">
        <f>103800</f>
        <v>103800.0</v>
      </c>
      <c r="N278" s="34" t="s">
        <v>49</v>
      </c>
      <c r="O278" s="33" t="n">
        <f>40150</f>
        <v>40150.0</v>
      </c>
      <c r="P278" s="34" t="s">
        <v>66</v>
      </c>
      <c r="Q278" s="33" t="n">
        <f>53100</f>
        <v>53100.0</v>
      </c>
      <c r="R278" s="34" t="s">
        <v>51</v>
      </c>
      <c r="S278" s="35" t="n">
        <f>69138.1</f>
        <v>69138.1</v>
      </c>
      <c r="T278" s="32" t="n">
        <f>116212</f>
        <v>116212.0</v>
      </c>
      <c r="U278" s="32" t="n">
        <f>8830</f>
        <v>8830.0</v>
      </c>
      <c r="V278" s="32" t="n">
        <f>7268668143</f>
        <v>7.268668143E9</v>
      </c>
      <c r="W278" s="32" t="n">
        <f>630329693</f>
        <v>6.30329693E8</v>
      </c>
      <c r="X278" s="36" t="n">
        <f>21</f>
        <v>21.0</v>
      </c>
    </row>
    <row r="279">
      <c r="A279" s="27" t="s">
        <v>42</v>
      </c>
      <c r="B279" s="27" t="s">
        <v>890</v>
      </c>
      <c r="C279" s="27" t="s">
        <v>891</v>
      </c>
      <c r="D279" s="27" t="s">
        <v>892</v>
      </c>
      <c r="E279" s="28" t="s">
        <v>46</v>
      </c>
      <c r="F279" s="29" t="s">
        <v>46</v>
      </c>
      <c r="G279" s="30" t="s">
        <v>46</v>
      </c>
      <c r="H279" s="31"/>
      <c r="I279" s="31" t="s">
        <v>47</v>
      </c>
      <c r="J279" s="32" t="n">
        <v>1.0</v>
      </c>
      <c r="K279" s="33" t="n">
        <f>155200</f>
        <v>155200.0</v>
      </c>
      <c r="L279" s="34" t="s">
        <v>48</v>
      </c>
      <c r="M279" s="33" t="n">
        <f>165700</f>
        <v>165700.0</v>
      </c>
      <c r="N279" s="34" t="s">
        <v>49</v>
      </c>
      <c r="O279" s="33" t="n">
        <f>91300</f>
        <v>91300.0</v>
      </c>
      <c r="P279" s="34" t="s">
        <v>66</v>
      </c>
      <c r="Q279" s="33" t="n">
        <f>145800</f>
        <v>145800.0</v>
      </c>
      <c r="R279" s="34" t="s">
        <v>51</v>
      </c>
      <c r="S279" s="35" t="n">
        <f>138338.1</f>
        <v>138338.1</v>
      </c>
      <c r="T279" s="32" t="n">
        <f>291591</f>
        <v>291591.0</v>
      </c>
      <c r="U279" s="32" t="n">
        <f>47663</f>
        <v>47663.0</v>
      </c>
      <c r="V279" s="32" t="n">
        <f>39704444182</f>
        <v>3.9704444182E10</v>
      </c>
      <c r="W279" s="32" t="n">
        <f>6505427882</f>
        <v>6.505427882E9</v>
      </c>
      <c r="X279" s="36" t="n">
        <f>21</f>
        <v>21.0</v>
      </c>
    </row>
    <row r="280">
      <c r="A280" s="27" t="s">
        <v>42</v>
      </c>
      <c r="B280" s="27" t="s">
        <v>893</v>
      </c>
      <c r="C280" s="27" t="s">
        <v>894</v>
      </c>
      <c r="D280" s="27" t="s">
        <v>895</v>
      </c>
      <c r="E280" s="28" t="s">
        <v>46</v>
      </c>
      <c r="F280" s="29" t="s">
        <v>46</v>
      </c>
      <c r="G280" s="30" t="s">
        <v>46</v>
      </c>
      <c r="H280" s="31"/>
      <c r="I280" s="31" t="s">
        <v>636</v>
      </c>
      <c r="J280" s="32" t="n">
        <v>1.0</v>
      </c>
      <c r="K280" s="33" t="n">
        <f>97600</f>
        <v>97600.0</v>
      </c>
      <c r="L280" s="34" t="s">
        <v>48</v>
      </c>
      <c r="M280" s="33" t="n">
        <f>107700</f>
        <v>107700.0</v>
      </c>
      <c r="N280" s="34" t="s">
        <v>49</v>
      </c>
      <c r="O280" s="33" t="n">
        <f>60100</f>
        <v>60100.0</v>
      </c>
      <c r="P280" s="34" t="s">
        <v>62</v>
      </c>
      <c r="Q280" s="33" t="n">
        <f>85500</f>
        <v>85500.0</v>
      </c>
      <c r="R280" s="34" t="s">
        <v>51</v>
      </c>
      <c r="S280" s="35" t="n">
        <f>87933.33</f>
        <v>87933.33</v>
      </c>
      <c r="T280" s="32" t="n">
        <f>145835</f>
        <v>145835.0</v>
      </c>
      <c r="U280" s="32" t="n">
        <f>12687</f>
        <v>12687.0</v>
      </c>
      <c r="V280" s="32" t="n">
        <f>12473452433</f>
        <v>1.2473452433E10</v>
      </c>
      <c r="W280" s="32" t="n">
        <f>1080388033</f>
        <v>1.080388033E9</v>
      </c>
      <c r="X280" s="36" t="n">
        <f>21</f>
        <v>21.0</v>
      </c>
    </row>
    <row r="281">
      <c r="A281" s="27" t="s">
        <v>42</v>
      </c>
      <c r="B281" s="27" t="s">
        <v>896</v>
      </c>
      <c r="C281" s="27" t="s">
        <v>897</v>
      </c>
      <c r="D281" s="27" t="s">
        <v>898</v>
      </c>
      <c r="E281" s="28" t="s">
        <v>46</v>
      </c>
      <c r="F281" s="29" t="s">
        <v>46</v>
      </c>
      <c r="G281" s="30" t="s">
        <v>46</v>
      </c>
      <c r="H281" s="31"/>
      <c r="I281" s="31" t="s">
        <v>636</v>
      </c>
      <c r="J281" s="32" t="n">
        <v>1.0</v>
      </c>
      <c r="K281" s="33" t="n">
        <f>110500</f>
        <v>110500.0</v>
      </c>
      <c r="L281" s="34" t="s">
        <v>48</v>
      </c>
      <c r="M281" s="33" t="n">
        <f>120000</f>
        <v>120000.0</v>
      </c>
      <c r="N281" s="34" t="s">
        <v>103</v>
      </c>
      <c r="O281" s="33" t="n">
        <f>67000</f>
        <v>67000.0</v>
      </c>
      <c r="P281" s="34" t="s">
        <v>66</v>
      </c>
      <c r="Q281" s="33" t="n">
        <f>87700</f>
        <v>87700.0</v>
      </c>
      <c r="R281" s="34" t="s">
        <v>51</v>
      </c>
      <c r="S281" s="35" t="n">
        <f>94414.29</f>
        <v>94414.29</v>
      </c>
      <c r="T281" s="32" t="n">
        <f>40188</f>
        <v>40188.0</v>
      </c>
      <c r="U281" s="32" t="n">
        <f>3916</f>
        <v>3916.0</v>
      </c>
      <c r="V281" s="32" t="n">
        <f>3655078909</f>
        <v>3.655078909E9</v>
      </c>
      <c r="W281" s="32" t="n">
        <f>380161809</f>
        <v>3.80161809E8</v>
      </c>
      <c r="X281" s="36" t="n">
        <f>21</f>
        <v>21.0</v>
      </c>
    </row>
    <row r="282">
      <c r="A282" s="27" t="s">
        <v>42</v>
      </c>
      <c r="B282" s="27" t="s">
        <v>899</v>
      </c>
      <c r="C282" s="27" t="s">
        <v>900</v>
      </c>
      <c r="D282" s="27" t="s">
        <v>901</v>
      </c>
      <c r="E282" s="28" t="s">
        <v>46</v>
      </c>
      <c r="F282" s="29" t="s">
        <v>46</v>
      </c>
      <c r="G282" s="30" t="s">
        <v>46</v>
      </c>
      <c r="H282" s="31"/>
      <c r="I282" s="31" t="s">
        <v>47</v>
      </c>
      <c r="J282" s="32" t="n">
        <v>1.0</v>
      </c>
      <c r="K282" s="33" t="n">
        <f>475500</f>
        <v>475500.0</v>
      </c>
      <c r="L282" s="34" t="s">
        <v>48</v>
      </c>
      <c r="M282" s="33" t="n">
        <f>530000</f>
        <v>530000.0</v>
      </c>
      <c r="N282" s="34" t="s">
        <v>103</v>
      </c>
      <c r="O282" s="33" t="n">
        <f>336000</f>
        <v>336000.0</v>
      </c>
      <c r="P282" s="34" t="s">
        <v>66</v>
      </c>
      <c r="Q282" s="33" t="n">
        <f>456000</f>
        <v>456000.0</v>
      </c>
      <c r="R282" s="34" t="s">
        <v>51</v>
      </c>
      <c r="S282" s="35" t="n">
        <f>443738.1</f>
        <v>443738.1</v>
      </c>
      <c r="T282" s="32" t="n">
        <f>109349</f>
        <v>109349.0</v>
      </c>
      <c r="U282" s="32" t="n">
        <f>17724</f>
        <v>17724.0</v>
      </c>
      <c r="V282" s="32" t="n">
        <f>47555970417</f>
        <v>4.7555970417E10</v>
      </c>
      <c r="W282" s="32" t="n">
        <f>7804501417</f>
        <v>7.804501417E9</v>
      </c>
      <c r="X282" s="36" t="n">
        <f>21</f>
        <v>21.0</v>
      </c>
    </row>
    <row r="283">
      <c r="A283" s="27" t="s">
        <v>42</v>
      </c>
      <c r="B283" s="27" t="s">
        <v>902</v>
      </c>
      <c r="C283" s="27" t="s">
        <v>903</v>
      </c>
      <c r="D283" s="27" t="s">
        <v>904</v>
      </c>
      <c r="E283" s="28" t="s">
        <v>46</v>
      </c>
      <c r="F283" s="29" t="s">
        <v>46</v>
      </c>
      <c r="G283" s="30" t="s">
        <v>46</v>
      </c>
      <c r="H283" s="31"/>
      <c r="I283" s="31" t="s">
        <v>636</v>
      </c>
      <c r="J283" s="32" t="n">
        <v>1.0</v>
      </c>
      <c r="K283" s="33" t="n">
        <f>77200</f>
        <v>77200.0</v>
      </c>
      <c r="L283" s="34" t="s">
        <v>48</v>
      </c>
      <c r="M283" s="33" t="n">
        <f>83300</f>
        <v>83300.0</v>
      </c>
      <c r="N283" s="34" t="s">
        <v>49</v>
      </c>
      <c r="O283" s="33" t="n">
        <f>45000</f>
        <v>45000.0</v>
      </c>
      <c r="P283" s="34" t="s">
        <v>66</v>
      </c>
      <c r="Q283" s="33" t="n">
        <f>53100</f>
        <v>53100.0</v>
      </c>
      <c r="R283" s="34" t="s">
        <v>51</v>
      </c>
      <c r="S283" s="35" t="n">
        <f>61871.43</f>
        <v>61871.43</v>
      </c>
      <c r="T283" s="32" t="n">
        <f>68734</f>
        <v>68734.0</v>
      </c>
      <c r="U283" s="32" t="n">
        <f>5287</f>
        <v>5287.0</v>
      </c>
      <c r="V283" s="32" t="n">
        <f>4052015721</f>
        <v>4.052015721E9</v>
      </c>
      <c r="W283" s="32" t="n">
        <f>315270321</f>
        <v>3.15270321E8</v>
      </c>
      <c r="X283" s="36" t="n">
        <f>21</f>
        <v>21.0</v>
      </c>
    </row>
    <row r="284">
      <c r="A284" s="27" t="s">
        <v>42</v>
      </c>
      <c r="B284" s="27" t="s">
        <v>905</v>
      </c>
      <c r="C284" s="27" t="s">
        <v>906</v>
      </c>
      <c r="D284" s="27" t="s">
        <v>907</v>
      </c>
      <c r="E284" s="28" t="s">
        <v>46</v>
      </c>
      <c r="F284" s="29" t="s">
        <v>46</v>
      </c>
      <c r="G284" s="30" t="s">
        <v>46</v>
      </c>
      <c r="H284" s="31"/>
      <c r="I284" s="31" t="s">
        <v>636</v>
      </c>
      <c r="J284" s="32" t="n">
        <v>1.0</v>
      </c>
      <c r="K284" s="33" t="n">
        <f>81000</f>
        <v>81000.0</v>
      </c>
      <c r="L284" s="34" t="s">
        <v>48</v>
      </c>
      <c r="M284" s="33" t="n">
        <f>90600</f>
        <v>90600.0</v>
      </c>
      <c r="N284" s="34" t="s">
        <v>49</v>
      </c>
      <c r="O284" s="33" t="n">
        <f>49200</f>
        <v>49200.0</v>
      </c>
      <c r="P284" s="34" t="s">
        <v>62</v>
      </c>
      <c r="Q284" s="33" t="n">
        <f>72900</f>
        <v>72900.0</v>
      </c>
      <c r="R284" s="34" t="s">
        <v>51</v>
      </c>
      <c r="S284" s="35" t="n">
        <f>74219.05</f>
        <v>74219.05</v>
      </c>
      <c r="T284" s="32" t="n">
        <f>87475</f>
        <v>87475.0</v>
      </c>
      <c r="U284" s="32" t="n">
        <f>15259</f>
        <v>15259.0</v>
      </c>
      <c r="V284" s="32" t="n">
        <f>6341453909</f>
        <v>6.341453909E9</v>
      </c>
      <c r="W284" s="32" t="n">
        <f>1148780909</f>
        <v>1.148780909E9</v>
      </c>
      <c r="X284" s="36" t="n">
        <f>21</f>
        <v>21.0</v>
      </c>
    </row>
    <row r="285">
      <c r="A285" s="27" t="s">
        <v>42</v>
      </c>
      <c r="B285" s="27" t="s">
        <v>908</v>
      </c>
      <c r="C285" s="27" t="s">
        <v>909</v>
      </c>
      <c r="D285" s="27" t="s">
        <v>910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1.0</v>
      </c>
      <c r="K285" s="33" t="n">
        <f>49600</f>
        <v>49600.0</v>
      </c>
      <c r="L285" s="34" t="s">
        <v>48</v>
      </c>
      <c r="M285" s="33" t="n">
        <f>54300</f>
        <v>54300.0</v>
      </c>
      <c r="N285" s="34" t="s">
        <v>103</v>
      </c>
      <c r="O285" s="33" t="n">
        <f>28000</f>
        <v>28000.0</v>
      </c>
      <c r="P285" s="34" t="s">
        <v>66</v>
      </c>
      <c r="Q285" s="33" t="n">
        <f>36700</f>
        <v>36700.0</v>
      </c>
      <c r="R285" s="34" t="s">
        <v>51</v>
      </c>
      <c r="S285" s="35" t="n">
        <f>40936.19</f>
        <v>40936.19</v>
      </c>
      <c r="T285" s="32" t="n">
        <f>675156</f>
        <v>675156.0</v>
      </c>
      <c r="U285" s="32" t="n">
        <f>59841</f>
        <v>59841.0</v>
      </c>
      <c r="V285" s="32" t="n">
        <f>27180092065</f>
        <v>2.7180092065E10</v>
      </c>
      <c r="W285" s="32" t="n">
        <f>2549561045</f>
        <v>2.549561045E9</v>
      </c>
      <c r="X285" s="36" t="n">
        <f>21</f>
        <v>21.0</v>
      </c>
    </row>
    <row r="286">
      <c r="A286" s="27" t="s">
        <v>42</v>
      </c>
      <c r="B286" s="27" t="s">
        <v>911</v>
      </c>
      <c r="C286" s="27" t="s">
        <v>912</v>
      </c>
      <c r="D286" s="27" t="s">
        <v>913</v>
      </c>
      <c r="E286" s="28" t="s">
        <v>46</v>
      </c>
      <c r="F286" s="29" t="s">
        <v>46</v>
      </c>
      <c r="G286" s="30" t="s">
        <v>46</v>
      </c>
      <c r="H286" s="31"/>
      <c r="I286" s="31" t="s">
        <v>47</v>
      </c>
      <c r="J286" s="32" t="n">
        <v>1.0</v>
      </c>
      <c r="K286" s="33" t="n">
        <f>121700</f>
        <v>121700.0</v>
      </c>
      <c r="L286" s="34" t="s">
        <v>48</v>
      </c>
      <c r="M286" s="33" t="n">
        <f>132000</f>
        <v>132000.0</v>
      </c>
      <c r="N286" s="34" t="s">
        <v>49</v>
      </c>
      <c r="O286" s="33" t="n">
        <f>63600</f>
        <v>63600.0</v>
      </c>
      <c r="P286" s="34" t="s">
        <v>66</v>
      </c>
      <c r="Q286" s="33" t="n">
        <f>81900</f>
        <v>81900.0</v>
      </c>
      <c r="R286" s="34" t="s">
        <v>51</v>
      </c>
      <c r="S286" s="35" t="n">
        <f>95714.29</f>
        <v>95714.29</v>
      </c>
      <c r="T286" s="32" t="n">
        <f>131083</f>
        <v>131083.0</v>
      </c>
      <c r="U286" s="32" t="n">
        <f>13854</f>
        <v>13854.0</v>
      </c>
      <c r="V286" s="32" t="n">
        <f>11685448245</f>
        <v>1.1685448245E10</v>
      </c>
      <c r="W286" s="32" t="n">
        <f>1323866645</f>
        <v>1.323866645E9</v>
      </c>
      <c r="X286" s="36" t="n">
        <f>21</f>
        <v>21.0</v>
      </c>
    </row>
    <row r="287">
      <c r="A287" s="27" t="s">
        <v>42</v>
      </c>
      <c r="B287" s="27" t="s">
        <v>914</v>
      </c>
      <c r="C287" s="27" t="s">
        <v>915</v>
      </c>
      <c r="D287" s="27" t="s">
        <v>916</v>
      </c>
      <c r="E287" s="28" t="s">
        <v>46</v>
      </c>
      <c r="F287" s="29" t="s">
        <v>46</v>
      </c>
      <c r="G287" s="30" t="s">
        <v>46</v>
      </c>
      <c r="H287" s="31"/>
      <c r="I287" s="31" t="s">
        <v>47</v>
      </c>
      <c r="J287" s="32" t="n">
        <v>1.0</v>
      </c>
      <c r="K287" s="33" t="n">
        <f>368000</f>
        <v>368000.0</v>
      </c>
      <c r="L287" s="34" t="s">
        <v>48</v>
      </c>
      <c r="M287" s="33" t="n">
        <f>396500</f>
        <v>396500.0</v>
      </c>
      <c r="N287" s="34" t="s">
        <v>103</v>
      </c>
      <c r="O287" s="33" t="n">
        <f>250600</f>
        <v>250600.0</v>
      </c>
      <c r="P287" s="34" t="s">
        <v>66</v>
      </c>
      <c r="Q287" s="33" t="n">
        <f>355500</f>
        <v>355500.0</v>
      </c>
      <c r="R287" s="34" t="s">
        <v>51</v>
      </c>
      <c r="S287" s="35" t="n">
        <f>335700</f>
        <v>335700.0</v>
      </c>
      <c r="T287" s="32" t="n">
        <f>68567</f>
        <v>68567.0</v>
      </c>
      <c r="U287" s="32" t="n">
        <f>8159</f>
        <v>8159.0</v>
      </c>
      <c r="V287" s="32" t="n">
        <f>22238060395</f>
        <v>2.2238060395E10</v>
      </c>
      <c r="W287" s="32" t="n">
        <f>2739313995</f>
        <v>2.739313995E9</v>
      </c>
      <c r="X287" s="36" t="n">
        <f>21</f>
        <v>21.0</v>
      </c>
    </row>
    <row r="288">
      <c r="A288" s="27" t="s">
        <v>42</v>
      </c>
      <c r="B288" s="27" t="s">
        <v>917</v>
      </c>
      <c r="C288" s="27" t="s">
        <v>918</v>
      </c>
      <c r="D288" s="27" t="s">
        <v>919</v>
      </c>
      <c r="E288" s="28" t="s">
        <v>46</v>
      </c>
      <c r="F288" s="29" t="s">
        <v>46</v>
      </c>
      <c r="G288" s="30" t="s">
        <v>46</v>
      </c>
      <c r="H288" s="31"/>
      <c r="I288" s="31" t="s">
        <v>47</v>
      </c>
      <c r="J288" s="32" t="n">
        <v>1.0</v>
      </c>
      <c r="K288" s="33" t="n">
        <f>127500</f>
        <v>127500.0</v>
      </c>
      <c r="L288" s="34" t="s">
        <v>48</v>
      </c>
      <c r="M288" s="33" t="n">
        <f>139200</f>
        <v>139200.0</v>
      </c>
      <c r="N288" s="34" t="s">
        <v>103</v>
      </c>
      <c r="O288" s="33" t="n">
        <f>82000</f>
        <v>82000.0</v>
      </c>
      <c r="P288" s="34" t="s">
        <v>66</v>
      </c>
      <c r="Q288" s="33" t="n">
        <f>124000</f>
        <v>124000.0</v>
      </c>
      <c r="R288" s="34" t="s">
        <v>51</v>
      </c>
      <c r="S288" s="35" t="n">
        <f>115176.19</f>
        <v>115176.19</v>
      </c>
      <c r="T288" s="32" t="n">
        <f>109776</f>
        <v>109776.0</v>
      </c>
      <c r="U288" s="32" t="n">
        <f>13934</f>
        <v>13934.0</v>
      </c>
      <c r="V288" s="32" t="n">
        <f>12222347718</f>
        <v>1.2222347718E10</v>
      </c>
      <c r="W288" s="32" t="n">
        <f>1579018918</f>
        <v>1.579018918E9</v>
      </c>
      <c r="X288" s="36" t="n">
        <f>21</f>
        <v>21.0</v>
      </c>
    </row>
    <row r="289">
      <c r="A289" s="27" t="s">
        <v>42</v>
      </c>
      <c r="B289" s="27" t="s">
        <v>920</v>
      </c>
      <c r="C289" s="27" t="s">
        <v>921</v>
      </c>
      <c r="D289" s="27" t="s">
        <v>922</v>
      </c>
      <c r="E289" s="28" t="s">
        <v>46</v>
      </c>
      <c r="F289" s="29" t="s">
        <v>46</v>
      </c>
      <c r="G289" s="30" t="s">
        <v>46</v>
      </c>
      <c r="H289" s="31"/>
      <c r="I289" s="31" t="s">
        <v>636</v>
      </c>
      <c r="J289" s="32" t="n">
        <v>1.0</v>
      </c>
      <c r="K289" s="33" t="n">
        <f>120000</f>
        <v>120000.0</v>
      </c>
      <c r="L289" s="34" t="s">
        <v>48</v>
      </c>
      <c r="M289" s="33" t="n">
        <f>125000</f>
        <v>125000.0</v>
      </c>
      <c r="N289" s="34" t="s">
        <v>49</v>
      </c>
      <c r="O289" s="33" t="n">
        <f>68700</f>
        <v>68700.0</v>
      </c>
      <c r="P289" s="34" t="s">
        <v>62</v>
      </c>
      <c r="Q289" s="33" t="n">
        <f>84400</f>
        <v>84400.0</v>
      </c>
      <c r="R289" s="34" t="s">
        <v>51</v>
      </c>
      <c r="S289" s="35" t="n">
        <f>96552.38</f>
        <v>96552.38</v>
      </c>
      <c r="T289" s="32" t="n">
        <f>69564</f>
        <v>69564.0</v>
      </c>
      <c r="U289" s="32" t="n">
        <f>9024</f>
        <v>9024.0</v>
      </c>
      <c r="V289" s="32" t="n">
        <f>6394177716</f>
        <v>6.394177716E9</v>
      </c>
      <c r="W289" s="32" t="n">
        <f>891146716</f>
        <v>8.91146716E8</v>
      </c>
      <c r="X289" s="36" t="n">
        <f>21</f>
        <v>21.0</v>
      </c>
    </row>
    <row r="290">
      <c r="A290" s="27" t="s">
        <v>42</v>
      </c>
      <c r="B290" s="27" t="s">
        <v>923</v>
      </c>
      <c r="C290" s="27" t="s">
        <v>924</v>
      </c>
      <c r="D290" s="27" t="s">
        <v>925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1.0</v>
      </c>
      <c r="K290" s="33" t="n">
        <f>104500</f>
        <v>104500.0</v>
      </c>
      <c r="L290" s="34" t="s">
        <v>48</v>
      </c>
      <c r="M290" s="33" t="n">
        <f>115100</f>
        <v>115100.0</v>
      </c>
      <c r="N290" s="34" t="s">
        <v>103</v>
      </c>
      <c r="O290" s="33" t="n">
        <f>59700</f>
        <v>59700.0</v>
      </c>
      <c r="P290" s="34" t="s">
        <v>66</v>
      </c>
      <c r="Q290" s="33" t="n">
        <f>80100</f>
        <v>80100.0</v>
      </c>
      <c r="R290" s="34" t="s">
        <v>51</v>
      </c>
      <c r="S290" s="35" t="n">
        <f>87700</f>
        <v>87700.0</v>
      </c>
      <c r="T290" s="32" t="n">
        <f>180685</f>
        <v>180685.0</v>
      </c>
      <c r="U290" s="32" t="n">
        <f>18254</f>
        <v>18254.0</v>
      </c>
      <c r="V290" s="32" t="n">
        <f>15422677543</f>
        <v>1.5422677543E10</v>
      </c>
      <c r="W290" s="32" t="n">
        <f>1703637043</f>
        <v>1.703637043E9</v>
      </c>
      <c r="X290" s="36" t="n">
        <f>21</f>
        <v>21.0</v>
      </c>
    </row>
    <row r="291">
      <c r="A291" s="27" t="s">
        <v>42</v>
      </c>
      <c r="B291" s="27" t="s">
        <v>926</v>
      </c>
      <c r="C291" s="27" t="s">
        <v>927</v>
      </c>
      <c r="D291" s="27" t="s">
        <v>928</v>
      </c>
      <c r="E291" s="28" t="s">
        <v>46</v>
      </c>
      <c r="F291" s="29" t="s">
        <v>46</v>
      </c>
      <c r="G291" s="30" t="s">
        <v>46</v>
      </c>
      <c r="H291" s="31"/>
      <c r="I291" s="31" t="s">
        <v>636</v>
      </c>
      <c r="J291" s="32" t="n">
        <v>1.0</v>
      </c>
      <c r="K291" s="33" t="n">
        <f>113700</f>
        <v>113700.0</v>
      </c>
      <c r="L291" s="34" t="s">
        <v>48</v>
      </c>
      <c r="M291" s="33" t="n">
        <f>123800</f>
        <v>123800.0</v>
      </c>
      <c r="N291" s="34" t="s">
        <v>49</v>
      </c>
      <c r="O291" s="33" t="n">
        <f>72300</f>
        <v>72300.0</v>
      </c>
      <c r="P291" s="34" t="s">
        <v>66</v>
      </c>
      <c r="Q291" s="33" t="n">
        <f>100300</f>
        <v>100300.0</v>
      </c>
      <c r="R291" s="34" t="s">
        <v>51</v>
      </c>
      <c r="S291" s="35" t="n">
        <f>100904.76</f>
        <v>100904.76</v>
      </c>
      <c r="T291" s="32" t="n">
        <f>125789</f>
        <v>125789.0</v>
      </c>
      <c r="U291" s="32" t="n">
        <f>12420</f>
        <v>12420.0</v>
      </c>
      <c r="V291" s="32" t="n">
        <f>12361090699</f>
        <v>1.2361090699E10</v>
      </c>
      <c r="W291" s="32" t="n">
        <f>1240905999</f>
        <v>1.240905999E9</v>
      </c>
      <c r="X291" s="36" t="n">
        <f>21</f>
        <v>21.0</v>
      </c>
    </row>
    <row r="292">
      <c r="A292" s="27" t="s">
        <v>42</v>
      </c>
      <c r="B292" s="27" t="s">
        <v>929</v>
      </c>
      <c r="C292" s="27" t="s">
        <v>930</v>
      </c>
      <c r="D292" s="27" t="s">
        <v>931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1.0</v>
      </c>
      <c r="K292" s="33" t="n">
        <f>801000</f>
        <v>801000.0</v>
      </c>
      <c r="L292" s="34" t="s">
        <v>48</v>
      </c>
      <c r="M292" s="33" t="n">
        <f>873000</f>
        <v>873000.0</v>
      </c>
      <c r="N292" s="34" t="s">
        <v>61</v>
      </c>
      <c r="O292" s="33" t="n">
        <f>555000</f>
        <v>555000.0</v>
      </c>
      <c r="P292" s="34" t="s">
        <v>66</v>
      </c>
      <c r="Q292" s="33" t="n">
        <f>724000</f>
        <v>724000.0</v>
      </c>
      <c r="R292" s="34" t="s">
        <v>51</v>
      </c>
      <c r="S292" s="35" t="n">
        <f>752238.1</f>
        <v>752238.1</v>
      </c>
      <c r="T292" s="32" t="n">
        <f>304753</f>
        <v>304753.0</v>
      </c>
      <c r="U292" s="32" t="n">
        <f>51925</f>
        <v>51925.0</v>
      </c>
      <c r="V292" s="32" t="n">
        <f>222284938578</f>
        <v>2.22284938578E11</v>
      </c>
      <c r="W292" s="32" t="n">
        <f>37740854578</f>
        <v>3.7740854578E10</v>
      </c>
      <c r="X292" s="36" t="n">
        <f>21</f>
        <v>21.0</v>
      </c>
    </row>
    <row r="293">
      <c r="A293" s="27" t="s">
        <v>42</v>
      </c>
      <c r="B293" s="27" t="s">
        <v>932</v>
      </c>
      <c r="C293" s="27" t="s">
        <v>933</v>
      </c>
      <c r="D293" s="27" t="s">
        <v>934</v>
      </c>
      <c r="E293" s="28" t="s">
        <v>46</v>
      </c>
      <c r="F293" s="29" t="s">
        <v>46</v>
      </c>
      <c r="G293" s="30" t="s">
        <v>46</v>
      </c>
      <c r="H293" s="31"/>
      <c r="I293" s="31" t="s">
        <v>47</v>
      </c>
      <c r="J293" s="32" t="n">
        <v>1.0</v>
      </c>
      <c r="K293" s="33" t="n">
        <f>728000</f>
        <v>728000.0</v>
      </c>
      <c r="L293" s="34" t="s">
        <v>48</v>
      </c>
      <c r="M293" s="33" t="n">
        <f>796000</f>
        <v>796000.0</v>
      </c>
      <c r="N293" s="34" t="s">
        <v>61</v>
      </c>
      <c r="O293" s="33" t="n">
        <f>500000</f>
        <v>500000.0</v>
      </c>
      <c r="P293" s="34" t="s">
        <v>66</v>
      </c>
      <c r="Q293" s="33" t="n">
        <f>633000</f>
        <v>633000.0</v>
      </c>
      <c r="R293" s="34" t="s">
        <v>51</v>
      </c>
      <c r="S293" s="35" t="n">
        <f>679333.33</f>
        <v>679333.33</v>
      </c>
      <c r="T293" s="32" t="n">
        <f>311215</f>
        <v>311215.0</v>
      </c>
      <c r="U293" s="32" t="n">
        <f>49684</f>
        <v>49684.0</v>
      </c>
      <c r="V293" s="32" t="n">
        <f>204970335089</f>
        <v>2.04970335089E11</v>
      </c>
      <c r="W293" s="32" t="n">
        <f>33001816089</f>
        <v>3.3001816089E10</v>
      </c>
      <c r="X293" s="36" t="n">
        <f>21</f>
        <v>21.0</v>
      </c>
    </row>
    <row r="294">
      <c r="A294" s="27" t="s">
        <v>42</v>
      </c>
      <c r="B294" s="27" t="s">
        <v>935</v>
      </c>
      <c r="C294" s="27" t="s">
        <v>936</v>
      </c>
      <c r="D294" s="27" t="s">
        <v>937</v>
      </c>
      <c r="E294" s="28" t="s">
        <v>46</v>
      </c>
      <c r="F294" s="29" t="s">
        <v>46</v>
      </c>
      <c r="G294" s="30" t="s">
        <v>46</v>
      </c>
      <c r="H294" s="31"/>
      <c r="I294" s="31" t="s">
        <v>47</v>
      </c>
      <c r="J294" s="32" t="n">
        <v>1.0</v>
      </c>
      <c r="K294" s="33" t="n">
        <f>198300</f>
        <v>198300.0</v>
      </c>
      <c r="L294" s="34" t="s">
        <v>48</v>
      </c>
      <c r="M294" s="33" t="n">
        <f>210700</f>
        <v>210700.0</v>
      </c>
      <c r="N294" s="34" t="s">
        <v>103</v>
      </c>
      <c r="O294" s="33" t="n">
        <f>97700</f>
        <v>97700.0</v>
      </c>
      <c r="P294" s="34" t="s">
        <v>66</v>
      </c>
      <c r="Q294" s="33" t="n">
        <f>122200</f>
        <v>122200.0</v>
      </c>
      <c r="R294" s="34" t="s">
        <v>51</v>
      </c>
      <c r="S294" s="35" t="n">
        <f>158209.52</f>
        <v>158209.52</v>
      </c>
      <c r="T294" s="32" t="n">
        <f>662732</f>
        <v>662732.0</v>
      </c>
      <c r="U294" s="32" t="n">
        <f>88713</f>
        <v>88713.0</v>
      </c>
      <c r="V294" s="32" t="n">
        <f>95873746537</f>
        <v>9.5873746537E10</v>
      </c>
      <c r="W294" s="32" t="n">
        <f>13241958737</f>
        <v>1.3241958737E10</v>
      </c>
      <c r="X294" s="36" t="n">
        <f>21</f>
        <v>21.0</v>
      </c>
    </row>
    <row r="295">
      <c r="A295" s="27" t="s">
        <v>42</v>
      </c>
      <c r="B295" s="27" t="s">
        <v>938</v>
      </c>
      <c r="C295" s="27" t="s">
        <v>939</v>
      </c>
      <c r="D295" s="27" t="s">
        <v>940</v>
      </c>
      <c r="E295" s="28" t="s">
        <v>46</v>
      </c>
      <c r="F295" s="29" t="s">
        <v>46</v>
      </c>
      <c r="G295" s="30" t="s">
        <v>46</v>
      </c>
      <c r="H295" s="31"/>
      <c r="I295" s="31" t="s">
        <v>47</v>
      </c>
      <c r="J295" s="32" t="n">
        <v>1.0</v>
      </c>
      <c r="K295" s="33" t="n">
        <f>201800</f>
        <v>201800.0</v>
      </c>
      <c r="L295" s="34" t="s">
        <v>48</v>
      </c>
      <c r="M295" s="33" t="n">
        <f>220100</f>
        <v>220100.0</v>
      </c>
      <c r="N295" s="34" t="s">
        <v>103</v>
      </c>
      <c r="O295" s="33" t="n">
        <f>99000</f>
        <v>99000.0</v>
      </c>
      <c r="P295" s="34" t="s">
        <v>62</v>
      </c>
      <c r="Q295" s="33" t="n">
        <f>142000</f>
        <v>142000.0</v>
      </c>
      <c r="R295" s="34" t="s">
        <v>51</v>
      </c>
      <c r="S295" s="35" t="n">
        <f>168428.57</f>
        <v>168428.57</v>
      </c>
      <c r="T295" s="32" t="n">
        <f>653917</f>
        <v>653917.0</v>
      </c>
      <c r="U295" s="32" t="n">
        <f>82917</f>
        <v>82917.0</v>
      </c>
      <c r="V295" s="32" t="n">
        <f>102967490174</f>
        <v>1.02967490174E11</v>
      </c>
      <c r="W295" s="32" t="n">
        <f>13197442974</f>
        <v>1.3197442974E10</v>
      </c>
      <c r="X295" s="36" t="n">
        <f>21</f>
        <v>21.0</v>
      </c>
    </row>
    <row r="296">
      <c r="A296" s="27" t="s">
        <v>42</v>
      </c>
      <c r="B296" s="27" t="s">
        <v>941</v>
      </c>
      <c r="C296" s="27" t="s">
        <v>942</v>
      </c>
      <c r="D296" s="27" t="s">
        <v>943</v>
      </c>
      <c r="E296" s="28" t="s">
        <v>46</v>
      </c>
      <c r="F296" s="29" t="s">
        <v>46</v>
      </c>
      <c r="G296" s="30" t="s">
        <v>46</v>
      </c>
      <c r="H296" s="31"/>
      <c r="I296" s="31" t="s">
        <v>47</v>
      </c>
      <c r="J296" s="32" t="n">
        <v>1.0</v>
      </c>
      <c r="K296" s="33" t="n">
        <f>468000</f>
        <v>468000.0</v>
      </c>
      <c r="L296" s="34" t="s">
        <v>48</v>
      </c>
      <c r="M296" s="33" t="n">
        <f>482000</f>
        <v>482000.0</v>
      </c>
      <c r="N296" s="34" t="s">
        <v>103</v>
      </c>
      <c r="O296" s="33" t="n">
        <f>214100</f>
        <v>214100.0</v>
      </c>
      <c r="P296" s="34" t="s">
        <v>62</v>
      </c>
      <c r="Q296" s="33" t="n">
        <f>325000</f>
        <v>325000.0</v>
      </c>
      <c r="R296" s="34" t="s">
        <v>51</v>
      </c>
      <c r="S296" s="35" t="n">
        <f>371571.43</f>
        <v>371571.43</v>
      </c>
      <c r="T296" s="32" t="n">
        <f>255201</f>
        <v>255201.0</v>
      </c>
      <c r="U296" s="32" t="n">
        <f>35490</f>
        <v>35490.0</v>
      </c>
      <c r="V296" s="32" t="n">
        <f>95596454145</f>
        <v>9.5596454145E10</v>
      </c>
      <c r="W296" s="32" t="n">
        <f>13943310445</f>
        <v>1.3943310445E10</v>
      </c>
      <c r="X296" s="36" t="n">
        <f>21</f>
        <v>21.0</v>
      </c>
    </row>
    <row r="297">
      <c r="A297" s="27" t="s">
        <v>42</v>
      </c>
      <c r="B297" s="27" t="s">
        <v>944</v>
      </c>
      <c r="C297" s="27" t="s">
        <v>945</v>
      </c>
      <c r="D297" s="27" t="s">
        <v>946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1.0</v>
      </c>
      <c r="K297" s="33" t="n">
        <f>145000</f>
        <v>145000.0</v>
      </c>
      <c r="L297" s="34" t="s">
        <v>48</v>
      </c>
      <c r="M297" s="33" t="n">
        <f>151400</f>
        <v>151400.0</v>
      </c>
      <c r="N297" s="34" t="s">
        <v>103</v>
      </c>
      <c r="O297" s="33" t="n">
        <f>75200</f>
        <v>75200.0</v>
      </c>
      <c r="P297" s="34" t="s">
        <v>66</v>
      </c>
      <c r="Q297" s="33" t="n">
        <f>119100</f>
        <v>119100.0</v>
      </c>
      <c r="R297" s="34" t="s">
        <v>51</v>
      </c>
      <c r="S297" s="35" t="n">
        <f>117200</f>
        <v>117200.0</v>
      </c>
      <c r="T297" s="32" t="n">
        <f>277002</f>
        <v>277002.0</v>
      </c>
      <c r="U297" s="32" t="n">
        <f>40264</f>
        <v>40264.0</v>
      </c>
      <c r="V297" s="32" t="n">
        <f>30011883000</f>
        <v>3.0011883E10</v>
      </c>
      <c r="W297" s="32" t="n">
        <f>4487853900</f>
        <v>4.4878539E9</v>
      </c>
      <c r="X297" s="36" t="n">
        <f>21</f>
        <v>21.0</v>
      </c>
    </row>
    <row r="298">
      <c r="A298" s="27" t="s">
        <v>42</v>
      </c>
      <c r="B298" s="27" t="s">
        <v>947</v>
      </c>
      <c r="C298" s="27" t="s">
        <v>948</v>
      </c>
      <c r="D298" s="27" t="s">
        <v>949</v>
      </c>
      <c r="E298" s="28" t="s">
        <v>46</v>
      </c>
      <c r="F298" s="29" t="s">
        <v>46</v>
      </c>
      <c r="G298" s="30" t="s">
        <v>46</v>
      </c>
      <c r="H298" s="31"/>
      <c r="I298" s="31" t="s">
        <v>47</v>
      </c>
      <c r="J298" s="32" t="n">
        <v>1.0</v>
      </c>
      <c r="K298" s="33" t="n">
        <f>189500</f>
        <v>189500.0</v>
      </c>
      <c r="L298" s="34" t="s">
        <v>48</v>
      </c>
      <c r="M298" s="33" t="n">
        <f>199700</f>
        <v>199700.0</v>
      </c>
      <c r="N298" s="34" t="s">
        <v>49</v>
      </c>
      <c r="O298" s="33" t="n">
        <f>89300</f>
        <v>89300.0</v>
      </c>
      <c r="P298" s="34" t="s">
        <v>66</v>
      </c>
      <c r="Q298" s="33" t="n">
        <f>141400</f>
        <v>141400.0</v>
      </c>
      <c r="R298" s="34" t="s">
        <v>51</v>
      </c>
      <c r="S298" s="35" t="n">
        <f>150661.9</f>
        <v>150661.9</v>
      </c>
      <c r="T298" s="32" t="n">
        <f>223812</f>
        <v>223812.0</v>
      </c>
      <c r="U298" s="32" t="n">
        <f>32658</f>
        <v>32658.0</v>
      </c>
      <c r="V298" s="32" t="n">
        <f>31278589625</f>
        <v>3.1278589625E10</v>
      </c>
      <c r="W298" s="32" t="n">
        <f>4602175325</f>
        <v>4.602175325E9</v>
      </c>
      <c r="X298" s="36" t="n">
        <f>21</f>
        <v>21.0</v>
      </c>
    </row>
    <row r="299">
      <c r="A299" s="27" t="s">
        <v>42</v>
      </c>
      <c r="B299" s="27" t="s">
        <v>950</v>
      </c>
      <c r="C299" s="27" t="s">
        <v>951</v>
      </c>
      <c r="D299" s="27" t="s">
        <v>952</v>
      </c>
      <c r="E299" s="28" t="s">
        <v>46</v>
      </c>
      <c r="F299" s="29" t="s">
        <v>46</v>
      </c>
      <c r="G299" s="30" t="s">
        <v>46</v>
      </c>
      <c r="H299" s="31"/>
      <c r="I299" s="31" t="s">
        <v>47</v>
      </c>
      <c r="J299" s="32" t="n">
        <v>1.0</v>
      </c>
      <c r="K299" s="33" t="n">
        <f>126500</f>
        <v>126500.0</v>
      </c>
      <c r="L299" s="34" t="s">
        <v>48</v>
      </c>
      <c r="M299" s="33" t="n">
        <f>137300</f>
        <v>137300.0</v>
      </c>
      <c r="N299" s="34" t="s">
        <v>103</v>
      </c>
      <c r="O299" s="33" t="n">
        <f>67400</f>
        <v>67400.0</v>
      </c>
      <c r="P299" s="34" t="s">
        <v>66</v>
      </c>
      <c r="Q299" s="33" t="n">
        <f>90700</f>
        <v>90700.0</v>
      </c>
      <c r="R299" s="34" t="s">
        <v>51</v>
      </c>
      <c r="S299" s="35" t="n">
        <f>104614.29</f>
        <v>104614.29</v>
      </c>
      <c r="T299" s="32" t="n">
        <f>287516</f>
        <v>287516.0</v>
      </c>
      <c r="U299" s="32" t="n">
        <f>47646</f>
        <v>47646.0</v>
      </c>
      <c r="V299" s="32" t="n">
        <f>28850680297</f>
        <v>2.8850680297E10</v>
      </c>
      <c r="W299" s="32" t="n">
        <f>5039506197</f>
        <v>5.039506197E9</v>
      </c>
      <c r="X299" s="36" t="n">
        <f>21</f>
        <v>21.0</v>
      </c>
    </row>
    <row r="300">
      <c r="A300" s="27" t="s">
        <v>42</v>
      </c>
      <c r="B300" s="27" t="s">
        <v>953</v>
      </c>
      <c r="C300" s="27" t="s">
        <v>954</v>
      </c>
      <c r="D300" s="27" t="s">
        <v>955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1.0</v>
      </c>
      <c r="K300" s="33" t="n">
        <f>167400</f>
        <v>167400.0</v>
      </c>
      <c r="L300" s="34" t="s">
        <v>48</v>
      </c>
      <c r="M300" s="33" t="n">
        <f>181800</f>
        <v>181800.0</v>
      </c>
      <c r="N300" s="34" t="s">
        <v>103</v>
      </c>
      <c r="O300" s="33" t="n">
        <f>77900</f>
        <v>77900.0</v>
      </c>
      <c r="P300" s="34" t="s">
        <v>62</v>
      </c>
      <c r="Q300" s="33" t="n">
        <f>107500</f>
        <v>107500.0</v>
      </c>
      <c r="R300" s="34" t="s">
        <v>51</v>
      </c>
      <c r="S300" s="35" t="n">
        <f>132747.62</f>
        <v>132747.62</v>
      </c>
      <c r="T300" s="32" t="n">
        <f>717809</f>
        <v>717809.0</v>
      </c>
      <c r="U300" s="32" t="n">
        <f>125665</f>
        <v>125665.0</v>
      </c>
      <c r="V300" s="32" t="n">
        <f>88195486405</f>
        <v>8.8195486405E10</v>
      </c>
      <c r="W300" s="32" t="n">
        <f>15463999605</f>
        <v>1.5463999605E10</v>
      </c>
      <c r="X300" s="36" t="n">
        <f>21</f>
        <v>21.0</v>
      </c>
    </row>
    <row r="301">
      <c r="A301" s="27" t="s">
        <v>42</v>
      </c>
      <c r="B301" s="27" t="s">
        <v>956</v>
      </c>
      <c r="C301" s="27" t="s">
        <v>957</v>
      </c>
      <c r="D301" s="27" t="s">
        <v>958</v>
      </c>
      <c r="E301" s="28" t="s">
        <v>46</v>
      </c>
      <c r="F301" s="29" t="s">
        <v>46</v>
      </c>
      <c r="G301" s="30" t="s">
        <v>46</v>
      </c>
      <c r="H301" s="31"/>
      <c r="I301" s="31" t="s">
        <v>47</v>
      </c>
      <c r="J301" s="32" t="n">
        <v>1.0</v>
      </c>
      <c r="K301" s="33" t="n">
        <f>180500</f>
        <v>180500.0</v>
      </c>
      <c r="L301" s="34" t="s">
        <v>48</v>
      </c>
      <c r="M301" s="33" t="n">
        <f>190000</f>
        <v>190000.0</v>
      </c>
      <c r="N301" s="34" t="s">
        <v>103</v>
      </c>
      <c r="O301" s="33" t="n">
        <f>99000</f>
        <v>99000.0</v>
      </c>
      <c r="P301" s="34" t="s">
        <v>66</v>
      </c>
      <c r="Q301" s="33" t="n">
        <f>130600</f>
        <v>130600.0</v>
      </c>
      <c r="R301" s="34" t="s">
        <v>51</v>
      </c>
      <c r="S301" s="35" t="n">
        <f>148000</f>
        <v>148000.0</v>
      </c>
      <c r="T301" s="32" t="n">
        <f>245500</f>
        <v>245500.0</v>
      </c>
      <c r="U301" s="32" t="n">
        <f>32775</f>
        <v>32775.0</v>
      </c>
      <c r="V301" s="32" t="n">
        <f>34216006993</f>
        <v>3.4216006993E10</v>
      </c>
      <c r="W301" s="32" t="n">
        <f>4834376093</f>
        <v>4.834376093E9</v>
      </c>
      <c r="X301" s="36" t="n">
        <f>21</f>
        <v>21.0</v>
      </c>
    </row>
    <row r="302">
      <c r="A302" s="27" t="s">
        <v>42</v>
      </c>
      <c r="B302" s="27" t="s">
        <v>959</v>
      </c>
      <c r="C302" s="27" t="s">
        <v>960</v>
      </c>
      <c r="D302" s="27" t="s">
        <v>961</v>
      </c>
      <c r="E302" s="28" t="s">
        <v>46</v>
      </c>
      <c r="F302" s="29" t="s">
        <v>46</v>
      </c>
      <c r="G302" s="30" t="s">
        <v>46</v>
      </c>
      <c r="H302" s="31"/>
      <c r="I302" s="31" t="s">
        <v>47</v>
      </c>
      <c r="J302" s="32" t="n">
        <v>1.0</v>
      </c>
      <c r="K302" s="33" t="n">
        <f>43450</f>
        <v>43450.0</v>
      </c>
      <c r="L302" s="34" t="s">
        <v>48</v>
      </c>
      <c r="M302" s="33" t="n">
        <f>46750</f>
        <v>46750.0</v>
      </c>
      <c r="N302" s="34" t="s">
        <v>49</v>
      </c>
      <c r="O302" s="33" t="n">
        <f>18870</f>
        <v>18870.0</v>
      </c>
      <c r="P302" s="34" t="s">
        <v>62</v>
      </c>
      <c r="Q302" s="33" t="n">
        <f>24230</f>
        <v>24230.0</v>
      </c>
      <c r="R302" s="34" t="s">
        <v>51</v>
      </c>
      <c r="S302" s="35" t="n">
        <f>31869.52</f>
        <v>31869.52</v>
      </c>
      <c r="T302" s="32" t="n">
        <f>3328774</f>
        <v>3328774.0</v>
      </c>
      <c r="U302" s="32" t="n">
        <f>237405</f>
        <v>237405.0</v>
      </c>
      <c r="V302" s="32" t="n">
        <f>101412357103</f>
        <v>1.01412357103E11</v>
      </c>
      <c r="W302" s="32" t="n">
        <f>7672789533</f>
        <v>7.672789533E9</v>
      </c>
      <c r="X302" s="36" t="n">
        <f>21</f>
        <v>21.0</v>
      </c>
    </row>
    <row r="303">
      <c r="A303" s="27" t="s">
        <v>42</v>
      </c>
      <c r="B303" s="27" t="s">
        <v>962</v>
      </c>
      <c r="C303" s="27" t="s">
        <v>963</v>
      </c>
      <c r="D303" s="27" t="s">
        <v>964</v>
      </c>
      <c r="E303" s="28" t="s">
        <v>46</v>
      </c>
      <c r="F303" s="29" t="s">
        <v>46</v>
      </c>
      <c r="G303" s="30" t="s">
        <v>46</v>
      </c>
      <c r="H303" s="31"/>
      <c r="I303" s="31" t="s">
        <v>47</v>
      </c>
      <c r="J303" s="32" t="n">
        <v>1.0</v>
      </c>
      <c r="K303" s="33" t="n">
        <f>396000</f>
        <v>396000.0</v>
      </c>
      <c r="L303" s="34" t="s">
        <v>48</v>
      </c>
      <c r="M303" s="33" t="n">
        <f>414000</f>
        <v>414000.0</v>
      </c>
      <c r="N303" s="34" t="s">
        <v>49</v>
      </c>
      <c r="O303" s="33" t="n">
        <f>240500</f>
        <v>240500.0</v>
      </c>
      <c r="P303" s="34" t="s">
        <v>66</v>
      </c>
      <c r="Q303" s="33" t="n">
        <f>304500</f>
        <v>304500.0</v>
      </c>
      <c r="R303" s="34" t="s">
        <v>51</v>
      </c>
      <c r="S303" s="35" t="n">
        <f>331900</f>
        <v>331900.0</v>
      </c>
      <c r="T303" s="32" t="n">
        <f>132493</f>
        <v>132493.0</v>
      </c>
      <c r="U303" s="32" t="n">
        <f>16140</f>
        <v>16140.0</v>
      </c>
      <c r="V303" s="32" t="n">
        <f>41375673687</f>
        <v>4.1375673687E10</v>
      </c>
      <c r="W303" s="32" t="n">
        <f>5101542887</f>
        <v>5.101542887E9</v>
      </c>
      <c r="X303" s="36" t="n">
        <f>21</f>
        <v>21.0</v>
      </c>
    </row>
    <row r="304">
      <c r="A304" s="27" t="s">
        <v>42</v>
      </c>
      <c r="B304" s="27" t="s">
        <v>965</v>
      </c>
      <c r="C304" s="27" t="s">
        <v>966</v>
      </c>
      <c r="D304" s="27" t="s">
        <v>967</v>
      </c>
      <c r="E304" s="28" t="s">
        <v>46</v>
      </c>
      <c r="F304" s="29" t="s">
        <v>46</v>
      </c>
      <c r="G304" s="30" t="s">
        <v>46</v>
      </c>
      <c r="H304" s="31"/>
      <c r="I304" s="31" t="s">
        <v>47</v>
      </c>
      <c r="J304" s="32" t="n">
        <v>1.0</v>
      </c>
      <c r="K304" s="33" t="n">
        <f>129200</f>
        <v>129200.0</v>
      </c>
      <c r="L304" s="34" t="s">
        <v>48</v>
      </c>
      <c r="M304" s="33" t="n">
        <f>137900</f>
        <v>137900.0</v>
      </c>
      <c r="N304" s="34" t="s">
        <v>103</v>
      </c>
      <c r="O304" s="33" t="n">
        <f>65700</f>
        <v>65700.0</v>
      </c>
      <c r="P304" s="34" t="s">
        <v>66</v>
      </c>
      <c r="Q304" s="33" t="n">
        <f>100400</f>
        <v>100400.0</v>
      </c>
      <c r="R304" s="34" t="s">
        <v>51</v>
      </c>
      <c r="S304" s="35" t="n">
        <f>105361.9</f>
        <v>105361.9</v>
      </c>
      <c r="T304" s="32" t="n">
        <f>155846</f>
        <v>155846.0</v>
      </c>
      <c r="U304" s="32" t="n">
        <f>22406</f>
        <v>22406.0</v>
      </c>
      <c r="V304" s="32" t="n">
        <f>15348717927</f>
        <v>1.5348717927E10</v>
      </c>
      <c r="W304" s="32" t="n">
        <f>2322586727</f>
        <v>2.322586727E9</v>
      </c>
      <c r="X304" s="36" t="n">
        <f>21</f>
        <v>21.0</v>
      </c>
    </row>
    <row r="305">
      <c r="A305" s="27" t="s">
        <v>42</v>
      </c>
      <c r="B305" s="27" t="s">
        <v>968</v>
      </c>
      <c r="C305" s="27" t="s">
        <v>969</v>
      </c>
      <c r="D305" s="27" t="s">
        <v>970</v>
      </c>
      <c r="E305" s="28" t="s">
        <v>46</v>
      </c>
      <c r="F305" s="29" t="s">
        <v>46</v>
      </c>
      <c r="G305" s="30" t="s">
        <v>46</v>
      </c>
      <c r="H305" s="31"/>
      <c r="I305" s="31" t="s">
        <v>47</v>
      </c>
      <c r="J305" s="32" t="n">
        <v>1.0</v>
      </c>
      <c r="K305" s="33" t="n">
        <f>258800</f>
        <v>258800.0</v>
      </c>
      <c r="L305" s="34" t="s">
        <v>48</v>
      </c>
      <c r="M305" s="33" t="n">
        <f>275700</f>
        <v>275700.0</v>
      </c>
      <c r="N305" s="34" t="s">
        <v>49</v>
      </c>
      <c r="O305" s="33" t="n">
        <f>160000</f>
        <v>160000.0</v>
      </c>
      <c r="P305" s="34" t="s">
        <v>66</v>
      </c>
      <c r="Q305" s="33" t="n">
        <f>239900</f>
        <v>239900.0</v>
      </c>
      <c r="R305" s="34" t="s">
        <v>51</v>
      </c>
      <c r="S305" s="35" t="n">
        <f>232295.24</f>
        <v>232295.24</v>
      </c>
      <c r="T305" s="32" t="n">
        <f>185858</f>
        <v>185858.0</v>
      </c>
      <c r="U305" s="32" t="n">
        <f>27853</f>
        <v>27853.0</v>
      </c>
      <c r="V305" s="32" t="n">
        <f>41620204611</f>
        <v>4.1620204611E10</v>
      </c>
      <c r="W305" s="32" t="n">
        <f>6265349111</f>
        <v>6.265349111E9</v>
      </c>
      <c r="X305" s="36" t="n">
        <f>21</f>
        <v>21.0</v>
      </c>
    </row>
    <row r="306">
      <c r="A306" s="27" t="s">
        <v>42</v>
      </c>
      <c r="B306" s="27" t="s">
        <v>971</v>
      </c>
      <c r="C306" s="27" t="s">
        <v>972</v>
      </c>
      <c r="D306" s="27" t="s">
        <v>973</v>
      </c>
      <c r="E306" s="28" t="s">
        <v>46</v>
      </c>
      <c r="F306" s="29" t="s">
        <v>46</v>
      </c>
      <c r="G306" s="30" t="s">
        <v>46</v>
      </c>
      <c r="H306" s="31"/>
      <c r="I306" s="31" t="s">
        <v>47</v>
      </c>
      <c r="J306" s="32" t="n">
        <v>1.0</v>
      </c>
      <c r="K306" s="33" t="n">
        <f>164800</f>
        <v>164800.0</v>
      </c>
      <c r="L306" s="34" t="s">
        <v>48</v>
      </c>
      <c r="M306" s="33" t="n">
        <f>172100</f>
        <v>172100.0</v>
      </c>
      <c r="N306" s="34" t="s">
        <v>49</v>
      </c>
      <c r="O306" s="33" t="n">
        <f>71600</f>
        <v>71600.0</v>
      </c>
      <c r="P306" s="34" t="s">
        <v>66</v>
      </c>
      <c r="Q306" s="33" t="n">
        <f>111800</f>
        <v>111800.0</v>
      </c>
      <c r="R306" s="34" t="s">
        <v>51</v>
      </c>
      <c r="S306" s="35" t="n">
        <f>123052.38</f>
        <v>123052.38</v>
      </c>
      <c r="T306" s="32" t="n">
        <f>260650</f>
        <v>260650.0</v>
      </c>
      <c r="U306" s="32" t="n">
        <f>28041</f>
        <v>28041.0</v>
      </c>
      <c r="V306" s="32" t="n">
        <f>27951590520</f>
        <v>2.795159052E10</v>
      </c>
      <c r="W306" s="32" t="n">
        <f>3211734220</f>
        <v>3.21173422E9</v>
      </c>
      <c r="X306" s="36" t="n">
        <f>21</f>
        <v>21.0</v>
      </c>
    </row>
    <row r="307">
      <c r="A307" s="27" t="s">
        <v>42</v>
      </c>
      <c r="B307" s="27" t="s">
        <v>974</v>
      </c>
      <c r="C307" s="27" t="s">
        <v>975</v>
      </c>
      <c r="D307" s="27" t="s">
        <v>976</v>
      </c>
      <c r="E307" s="28" t="s">
        <v>46</v>
      </c>
      <c r="F307" s="29" t="s">
        <v>46</v>
      </c>
      <c r="G307" s="30" t="s">
        <v>46</v>
      </c>
      <c r="H307" s="31"/>
      <c r="I307" s="31" t="s">
        <v>47</v>
      </c>
      <c r="J307" s="32" t="n">
        <v>1.0</v>
      </c>
      <c r="K307" s="33" t="n">
        <f>785000</f>
        <v>785000.0</v>
      </c>
      <c r="L307" s="34" t="s">
        <v>48</v>
      </c>
      <c r="M307" s="33" t="n">
        <f>850000</f>
        <v>850000.0</v>
      </c>
      <c r="N307" s="34" t="s">
        <v>103</v>
      </c>
      <c r="O307" s="33" t="n">
        <f>415000</f>
        <v>415000.0</v>
      </c>
      <c r="P307" s="34" t="s">
        <v>66</v>
      </c>
      <c r="Q307" s="33" t="n">
        <f>569000</f>
        <v>569000.0</v>
      </c>
      <c r="R307" s="34" t="s">
        <v>51</v>
      </c>
      <c r="S307" s="35" t="n">
        <f>647547.62</f>
        <v>647547.62</v>
      </c>
      <c r="T307" s="32" t="n">
        <f>119319</f>
        <v>119319.0</v>
      </c>
      <c r="U307" s="32" t="n">
        <f>20054</f>
        <v>20054.0</v>
      </c>
      <c r="V307" s="32" t="n">
        <f>70807221991</f>
        <v>7.0807221991E10</v>
      </c>
      <c r="W307" s="32" t="n">
        <f>12030211991</f>
        <v>1.2030211991E10</v>
      </c>
      <c r="X307" s="36" t="n">
        <f>21</f>
        <v>21.0</v>
      </c>
    </row>
    <row r="308">
      <c r="A308" s="27" t="s">
        <v>42</v>
      </c>
      <c r="B308" s="27" t="s">
        <v>977</v>
      </c>
      <c r="C308" s="27" t="s">
        <v>978</v>
      </c>
      <c r="D308" s="27" t="s">
        <v>979</v>
      </c>
      <c r="E308" s="28" t="s">
        <v>46</v>
      </c>
      <c r="F308" s="29" t="s">
        <v>46</v>
      </c>
      <c r="G308" s="30" t="s">
        <v>46</v>
      </c>
      <c r="H308" s="31"/>
      <c r="I308" s="31" t="s">
        <v>47</v>
      </c>
      <c r="J308" s="32" t="n">
        <v>1.0</v>
      </c>
      <c r="K308" s="33" t="n">
        <f>102700</f>
        <v>102700.0</v>
      </c>
      <c r="L308" s="34" t="s">
        <v>48</v>
      </c>
      <c r="M308" s="33" t="n">
        <f>108300</f>
        <v>108300.0</v>
      </c>
      <c r="N308" s="34" t="s">
        <v>49</v>
      </c>
      <c r="O308" s="33" t="n">
        <f>54300</f>
        <v>54300.0</v>
      </c>
      <c r="P308" s="34" t="s">
        <v>66</v>
      </c>
      <c r="Q308" s="33" t="n">
        <f>74900</f>
        <v>74900.0</v>
      </c>
      <c r="R308" s="34" t="s">
        <v>51</v>
      </c>
      <c r="S308" s="35" t="n">
        <f>81585.71</f>
        <v>81585.71</v>
      </c>
      <c r="T308" s="32" t="n">
        <f>316393</f>
        <v>316393.0</v>
      </c>
      <c r="U308" s="32" t="n">
        <f>44951</f>
        <v>44951.0</v>
      </c>
      <c r="V308" s="32" t="n">
        <f>23848150451</f>
        <v>2.3848150451E10</v>
      </c>
      <c r="W308" s="32" t="n">
        <f>3392093151</f>
        <v>3.392093151E9</v>
      </c>
      <c r="X308" s="36" t="n">
        <f>21</f>
        <v>21.0</v>
      </c>
    </row>
    <row r="309">
      <c r="A309" s="27" t="s">
        <v>42</v>
      </c>
      <c r="B309" s="27" t="s">
        <v>980</v>
      </c>
      <c r="C309" s="27" t="s">
        <v>981</v>
      </c>
      <c r="D309" s="27" t="s">
        <v>982</v>
      </c>
      <c r="E309" s="28" t="s">
        <v>46</v>
      </c>
      <c r="F309" s="29" t="s">
        <v>46</v>
      </c>
      <c r="G309" s="30" t="s">
        <v>46</v>
      </c>
      <c r="H309" s="31"/>
      <c r="I309" s="31" t="s">
        <v>47</v>
      </c>
      <c r="J309" s="32" t="n">
        <v>1.0</v>
      </c>
      <c r="K309" s="33" t="n">
        <f>808000</f>
        <v>808000.0</v>
      </c>
      <c r="L309" s="34" t="s">
        <v>48</v>
      </c>
      <c r="M309" s="33" t="n">
        <f>871000</f>
        <v>871000.0</v>
      </c>
      <c r="N309" s="34" t="s">
        <v>103</v>
      </c>
      <c r="O309" s="33" t="n">
        <f>400500</f>
        <v>400500.0</v>
      </c>
      <c r="P309" s="34" t="s">
        <v>66</v>
      </c>
      <c r="Q309" s="33" t="n">
        <f>596000</f>
        <v>596000.0</v>
      </c>
      <c r="R309" s="34" t="s">
        <v>51</v>
      </c>
      <c r="S309" s="35" t="n">
        <f>658738.1</f>
        <v>658738.1</v>
      </c>
      <c r="T309" s="32" t="n">
        <f>98275</f>
        <v>98275.0</v>
      </c>
      <c r="U309" s="32" t="n">
        <f>13486</f>
        <v>13486.0</v>
      </c>
      <c r="V309" s="32" t="n">
        <f>58439332661</f>
        <v>5.8439332661E10</v>
      </c>
      <c r="W309" s="32" t="n">
        <f>7911017661</f>
        <v>7.911017661E9</v>
      </c>
      <c r="X309" s="36" t="n">
        <f>21</f>
        <v>21.0</v>
      </c>
    </row>
    <row r="310">
      <c r="A310" s="27" t="s">
        <v>42</v>
      </c>
      <c r="B310" s="27" t="s">
        <v>983</v>
      </c>
      <c r="C310" s="27" t="s">
        <v>984</v>
      </c>
      <c r="D310" s="27" t="s">
        <v>985</v>
      </c>
      <c r="E310" s="28" t="s">
        <v>46</v>
      </c>
      <c r="F310" s="29" t="s">
        <v>46</v>
      </c>
      <c r="G310" s="30" t="s">
        <v>46</v>
      </c>
      <c r="H310" s="31"/>
      <c r="I310" s="31" t="s">
        <v>636</v>
      </c>
      <c r="J310" s="32" t="n">
        <v>1.0</v>
      </c>
      <c r="K310" s="33" t="n">
        <f>151600</f>
        <v>151600.0</v>
      </c>
      <c r="L310" s="34" t="s">
        <v>48</v>
      </c>
      <c r="M310" s="33" t="n">
        <f>166300</f>
        <v>166300.0</v>
      </c>
      <c r="N310" s="34" t="s">
        <v>49</v>
      </c>
      <c r="O310" s="33" t="n">
        <f>85100</f>
        <v>85100.0</v>
      </c>
      <c r="P310" s="34" t="s">
        <v>66</v>
      </c>
      <c r="Q310" s="33" t="n">
        <f>116800</f>
        <v>116800.0</v>
      </c>
      <c r="R310" s="34" t="s">
        <v>51</v>
      </c>
      <c r="S310" s="35" t="n">
        <f>127538.1</f>
        <v>127538.1</v>
      </c>
      <c r="T310" s="32" t="n">
        <f>137256</f>
        <v>137256.0</v>
      </c>
      <c r="U310" s="32" t="n">
        <f>16947</f>
        <v>16947.0</v>
      </c>
      <c r="V310" s="32" t="n">
        <f>16508499648</f>
        <v>1.6508499648E10</v>
      </c>
      <c r="W310" s="32" t="n">
        <f>2113501748</f>
        <v>2.113501748E9</v>
      </c>
      <c r="X310" s="36" t="n">
        <f>21</f>
        <v>21.0</v>
      </c>
    </row>
    <row r="311">
      <c r="A311" s="27" t="s">
        <v>42</v>
      </c>
      <c r="B311" s="27" t="s">
        <v>986</v>
      </c>
      <c r="C311" s="27" t="s">
        <v>987</v>
      </c>
      <c r="D311" s="27" t="s">
        <v>988</v>
      </c>
      <c r="E311" s="28" t="s">
        <v>46</v>
      </c>
      <c r="F311" s="29" t="s">
        <v>46</v>
      </c>
      <c r="G311" s="30" t="s">
        <v>46</v>
      </c>
      <c r="H311" s="31"/>
      <c r="I311" s="31" t="s">
        <v>636</v>
      </c>
      <c r="J311" s="32" t="n">
        <v>1.0</v>
      </c>
      <c r="K311" s="33" t="n">
        <f>187400</f>
        <v>187400.0</v>
      </c>
      <c r="L311" s="34" t="s">
        <v>48</v>
      </c>
      <c r="M311" s="33" t="n">
        <f>206800</f>
        <v>206800.0</v>
      </c>
      <c r="N311" s="34" t="s">
        <v>103</v>
      </c>
      <c r="O311" s="33" t="n">
        <f>145600</f>
        <v>145600.0</v>
      </c>
      <c r="P311" s="34" t="s">
        <v>66</v>
      </c>
      <c r="Q311" s="33" t="n">
        <f>179500</f>
        <v>179500.0</v>
      </c>
      <c r="R311" s="34" t="s">
        <v>51</v>
      </c>
      <c r="S311" s="35" t="n">
        <f>178042.86</f>
        <v>178042.86</v>
      </c>
      <c r="T311" s="32" t="n">
        <f>48743</f>
        <v>48743.0</v>
      </c>
      <c r="U311" s="32" t="n">
        <f>5533</f>
        <v>5533.0</v>
      </c>
      <c r="V311" s="32" t="n">
        <f>8430900852</f>
        <v>8.430900852E9</v>
      </c>
      <c r="W311" s="32" t="n">
        <f>979267352</f>
        <v>9.79267352E8</v>
      </c>
      <c r="X311" s="36" t="n">
        <f>21</f>
        <v>21.0</v>
      </c>
    </row>
    <row r="312">
      <c r="A312" s="27" t="s">
        <v>42</v>
      </c>
      <c r="B312" s="27" t="s">
        <v>989</v>
      </c>
      <c r="C312" s="27" t="s">
        <v>990</v>
      </c>
      <c r="D312" s="27" t="s">
        <v>991</v>
      </c>
      <c r="E312" s="28" t="s">
        <v>46</v>
      </c>
      <c r="F312" s="29" t="s">
        <v>46</v>
      </c>
      <c r="G312" s="30" t="s">
        <v>46</v>
      </c>
      <c r="H312" s="31"/>
      <c r="I312" s="31" t="s">
        <v>47</v>
      </c>
      <c r="J312" s="32" t="n">
        <v>1.0</v>
      </c>
      <c r="K312" s="33" t="n">
        <f>265000</f>
        <v>265000.0</v>
      </c>
      <c r="L312" s="34" t="s">
        <v>48</v>
      </c>
      <c r="M312" s="33" t="n">
        <f>286000</f>
        <v>286000.0</v>
      </c>
      <c r="N312" s="34" t="s">
        <v>49</v>
      </c>
      <c r="O312" s="33" t="n">
        <f>181100</f>
        <v>181100.0</v>
      </c>
      <c r="P312" s="34" t="s">
        <v>66</v>
      </c>
      <c r="Q312" s="33" t="n">
        <f>263700</f>
        <v>263700.0</v>
      </c>
      <c r="R312" s="34" t="s">
        <v>51</v>
      </c>
      <c r="S312" s="35" t="n">
        <f>255009.52</f>
        <v>255009.52</v>
      </c>
      <c r="T312" s="32" t="n">
        <f>586736</f>
        <v>586736.0</v>
      </c>
      <c r="U312" s="32" t="n">
        <f>84723</f>
        <v>84723.0</v>
      </c>
      <c r="V312" s="32" t="n">
        <f>149293781807</f>
        <v>1.49293781807E11</v>
      </c>
      <c r="W312" s="32" t="n">
        <f>21690011507</f>
        <v>2.1690011507E10</v>
      </c>
      <c r="X312" s="36" t="n">
        <f>21</f>
        <v>21.0</v>
      </c>
    </row>
    <row r="313">
      <c r="A313" s="27" t="s">
        <v>42</v>
      </c>
      <c r="B313" s="27" t="s">
        <v>992</v>
      </c>
      <c r="C313" s="27" t="s">
        <v>993</v>
      </c>
      <c r="D313" s="27" t="s">
        <v>994</v>
      </c>
      <c r="E313" s="28" t="s">
        <v>46</v>
      </c>
      <c r="F313" s="29" t="s">
        <v>46</v>
      </c>
      <c r="G313" s="30" t="s">
        <v>46</v>
      </c>
      <c r="H313" s="31"/>
      <c r="I313" s="31" t="s">
        <v>47</v>
      </c>
      <c r="J313" s="32" t="n">
        <v>1.0</v>
      </c>
      <c r="K313" s="33" t="n">
        <f>58900</f>
        <v>58900.0</v>
      </c>
      <c r="L313" s="34" t="s">
        <v>48</v>
      </c>
      <c r="M313" s="33" t="n">
        <f>69000</f>
        <v>69000.0</v>
      </c>
      <c r="N313" s="34" t="s">
        <v>49</v>
      </c>
      <c r="O313" s="33" t="n">
        <f>24320</f>
        <v>24320.0</v>
      </c>
      <c r="P313" s="34" t="s">
        <v>66</v>
      </c>
      <c r="Q313" s="33" t="n">
        <f>31400</f>
        <v>31400.0</v>
      </c>
      <c r="R313" s="34" t="s">
        <v>51</v>
      </c>
      <c r="S313" s="35" t="n">
        <f>44617.62</f>
        <v>44617.62</v>
      </c>
      <c r="T313" s="32" t="n">
        <f>2297449</f>
        <v>2297449.0</v>
      </c>
      <c r="U313" s="32" t="n">
        <f>247321</f>
        <v>247321.0</v>
      </c>
      <c r="V313" s="32" t="n">
        <f>96294631574</f>
        <v>9.6294631574E10</v>
      </c>
      <c r="W313" s="32" t="n">
        <f>11746501934</f>
        <v>1.1746501934E10</v>
      </c>
      <c r="X313" s="36" t="n">
        <f>21</f>
        <v>21.0</v>
      </c>
    </row>
    <row r="314">
      <c r="A314" s="27" t="s">
        <v>42</v>
      </c>
      <c r="B314" s="27" t="s">
        <v>995</v>
      </c>
      <c r="C314" s="27" t="s">
        <v>996</v>
      </c>
      <c r="D314" s="27" t="s">
        <v>997</v>
      </c>
      <c r="E314" s="28" t="s">
        <v>46</v>
      </c>
      <c r="F314" s="29" t="s">
        <v>46</v>
      </c>
      <c r="G314" s="30" t="s">
        <v>46</v>
      </c>
      <c r="H314" s="31"/>
      <c r="I314" s="31" t="s">
        <v>47</v>
      </c>
      <c r="J314" s="32" t="n">
        <v>1.0</v>
      </c>
      <c r="K314" s="33" t="n">
        <f>96700</f>
        <v>96700.0</v>
      </c>
      <c r="L314" s="34" t="s">
        <v>48</v>
      </c>
      <c r="M314" s="33" t="n">
        <f>105100</f>
        <v>105100.0</v>
      </c>
      <c r="N314" s="34" t="s">
        <v>103</v>
      </c>
      <c r="O314" s="33" t="n">
        <f>67400</f>
        <v>67400.0</v>
      </c>
      <c r="P314" s="34" t="s">
        <v>66</v>
      </c>
      <c r="Q314" s="33" t="n">
        <f>91100</f>
        <v>91100.0</v>
      </c>
      <c r="R314" s="34" t="s">
        <v>51</v>
      </c>
      <c r="S314" s="35" t="n">
        <f>89538.1</f>
        <v>89538.1</v>
      </c>
      <c r="T314" s="32" t="n">
        <f>420589</f>
        <v>420589.0</v>
      </c>
      <c r="U314" s="32" t="n">
        <f>71427</f>
        <v>71427.0</v>
      </c>
      <c r="V314" s="32" t="n">
        <f>36748101801</f>
        <v>3.6748101801E10</v>
      </c>
      <c r="W314" s="32" t="n">
        <f>6248344201</f>
        <v>6.248344201E9</v>
      </c>
      <c r="X314" s="36" t="n">
        <f>21</f>
        <v>21.0</v>
      </c>
    </row>
    <row r="315">
      <c r="A315" s="27" t="s">
        <v>42</v>
      </c>
      <c r="B315" s="27" t="s">
        <v>998</v>
      </c>
      <c r="C315" s="27" t="s">
        <v>999</v>
      </c>
      <c r="D315" s="27" t="s">
        <v>1000</v>
      </c>
      <c r="E315" s="28" t="s">
        <v>46</v>
      </c>
      <c r="F315" s="29" t="s">
        <v>46</v>
      </c>
      <c r="G315" s="30" t="s">
        <v>46</v>
      </c>
      <c r="H315" s="31"/>
      <c r="I315" s="31" t="s">
        <v>47</v>
      </c>
      <c r="J315" s="32" t="n">
        <v>1.0</v>
      </c>
      <c r="K315" s="33" t="n">
        <f>176900</f>
        <v>176900.0</v>
      </c>
      <c r="L315" s="34" t="s">
        <v>48</v>
      </c>
      <c r="M315" s="33" t="n">
        <f>189700</f>
        <v>189700.0</v>
      </c>
      <c r="N315" s="34" t="s">
        <v>103</v>
      </c>
      <c r="O315" s="33" t="n">
        <f>73800</f>
        <v>73800.0</v>
      </c>
      <c r="P315" s="34" t="s">
        <v>66</v>
      </c>
      <c r="Q315" s="33" t="n">
        <f>124200</f>
        <v>124200.0</v>
      </c>
      <c r="R315" s="34" t="s">
        <v>51</v>
      </c>
      <c r="S315" s="35" t="n">
        <f>138600</f>
        <v>138600.0</v>
      </c>
      <c r="T315" s="32" t="n">
        <f>299938</f>
        <v>299938.0</v>
      </c>
      <c r="U315" s="32" t="n">
        <f>58329</f>
        <v>58329.0</v>
      </c>
      <c r="V315" s="32" t="n">
        <f>38434498649</f>
        <v>3.8434498649E10</v>
      </c>
      <c r="W315" s="32" t="n">
        <f>8090681349</f>
        <v>8.090681349E9</v>
      </c>
      <c r="X315" s="36" t="n">
        <f>21</f>
        <v>21.0</v>
      </c>
    </row>
    <row r="316">
      <c r="A316" s="27" t="s">
        <v>42</v>
      </c>
      <c r="B316" s="27" t="s">
        <v>1001</v>
      </c>
      <c r="C316" s="27" t="s">
        <v>1002</v>
      </c>
      <c r="D316" s="27" t="s">
        <v>1003</v>
      </c>
      <c r="E316" s="28" t="s">
        <v>46</v>
      </c>
      <c r="F316" s="29" t="s">
        <v>46</v>
      </c>
      <c r="G316" s="30" t="s">
        <v>46</v>
      </c>
      <c r="H316" s="31"/>
      <c r="I316" s="31" t="s">
        <v>47</v>
      </c>
      <c r="J316" s="32" t="n">
        <v>1.0</v>
      </c>
      <c r="K316" s="33" t="n">
        <f>114000</f>
        <v>114000.0</v>
      </c>
      <c r="L316" s="34" t="s">
        <v>48</v>
      </c>
      <c r="M316" s="33" t="n">
        <f>119500</f>
        <v>119500.0</v>
      </c>
      <c r="N316" s="34" t="s">
        <v>49</v>
      </c>
      <c r="O316" s="33" t="n">
        <f>96500</f>
        <v>96500.0</v>
      </c>
      <c r="P316" s="34" t="s">
        <v>107</v>
      </c>
      <c r="Q316" s="33" t="n">
        <f>107800</f>
        <v>107800.0</v>
      </c>
      <c r="R316" s="34" t="s">
        <v>51</v>
      </c>
      <c r="S316" s="35" t="n">
        <f>108414.29</f>
        <v>108414.29</v>
      </c>
      <c r="T316" s="32" t="n">
        <f>32999</f>
        <v>32999.0</v>
      </c>
      <c r="U316" s="32" t="n">
        <f>1611</f>
        <v>1611.0</v>
      </c>
      <c r="V316" s="32" t="n">
        <f>3518023619</f>
        <v>3.518023619E9</v>
      </c>
      <c r="W316" s="32" t="n">
        <f>175511519</f>
        <v>1.75511519E8</v>
      </c>
      <c r="X316" s="36" t="n">
        <f>21</f>
        <v>21.0</v>
      </c>
    </row>
    <row r="317">
      <c r="A317" s="27" t="s">
        <v>42</v>
      </c>
      <c r="B317" s="27" t="s">
        <v>1004</v>
      </c>
      <c r="C317" s="27" t="s">
        <v>1005</v>
      </c>
      <c r="D317" s="27" t="s">
        <v>1006</v>
      </c>
      <c r="E317" s="28" t="s">
        <v>46</v>
      </c>
      <c r="F317" s="29" t="s">
        <v>46</v>
      </c>
      <c r="G317" s="30" t="s">
        <v>46</v>
      </c>
      <c r="H317" s="31"/>
      <c r="I317" s="31" t="s">
        <v>636</v>
      </c>
      <c r="J317" s="32" t="n">
        <v>1.0</v>
      </c>
      <c r="K317" s="33" t="n">
        <f>59300</f>
        <v>59300.0</v>
      </c>
      <c r="L317" s="34" t="s">
        <v>48</v>
      </c>
      <c r="M317" s="33" t="n">
        <f>62800</f>
        <v>62800.0</v>
      </c>
      <c r="N317" s="34" t="s">
        <v>49</v>
      </c>
      <c r="O317" s="33" t="n">
        <f>52800</f>
        <v>52800.0</v>
      </c>
      <c r="P317" s="34" t="s">
        <v>107</v>
      </c>
      <c r="Q317" s="33" t="n">
        <f>58000</f>
        <v>58000.0</v>
      </c>
      <c r="R317" s="34" t="s">
        <v>51</v>
      </c>
      <c r="S317" s="35" t="n">
        <f>58633.33</f>
        <v>58633.33</v>
      </c>
      <c r="T317" s="32" t="n">
        <f>6831</f>
        <v>6831.0</v>
      </c>
      <c r="U317" s="32" t="n">
        <f>190</f>
        <v>190.0</v>
      </c>
      <c r="V317" s="32" t="n">
        <f>397711350</f>
        <v>3.9771135E8</v>
      </c>
      <c r="W317" s="32" t="n">
        <f>11728850</f>
        <v>1.172885E7</v>
      </c>
      <c r="X317" s="36" t="n">
        <f>21</f>
        <v>21.0</v>
      </c>
    </row>
    <row r="318">
      <c r="A318" s="27" t="s">
        <v>42</v>
      </c>
      <c r="B318" s="27" t="s">
        <v>1007</v>
      </c>
      <c r="C318" s="27" t="s">
        <v>1008</v>
      </c>
      <c r="D318" s="27" t="s">
        <v>1009</v>
      </c>
      <c r="E318" s="28" t="s">
        <v>46</v>
      </c>
      <c r="F318" s="29" t="s">
        <v>46</v>
      </c>
      <c r="G318" s="30" t="s">
        <v>46</v>
      </c>
      <c r="H318" s="31"/>
      <c r="I318" s="31" t="s">
        <v>636</v>
      </c>
      <c r="J318" s="32" t="n">
        <v>1.0</v>
      </c>
      <c r="K318" s="33" t="n">
        <f>96900</f>
        <v>96900.0</v>
      </c>
      <c r="L318" s="34" t="s">
        <v>48</v>
      </c>
      <c r="M318" s="33" t="n">
        <f>103000</f>
        <v>103000.0</v>
      </c>
      <c r="N318" s="34" t="s">
        <v>49</v>
      </c>
      <c r="O318" s="33" t="n">
        <f>82800</f>
        <v>82800.0</v>
      </c>
      <c r="P318" s="34" t="s">
        <v>107</v>
      </c>
      <c r="Q318" s="33" t="n">
        <f>91000</f>
        <v>91000.0</v>
      </c>
      <c r="R318" s="34" t="s">
        <v>51</v>
      </c>
      <c r="S318" s="35" t="n">
        <f>92838.1</f>
        <v>92838.1</v>
      </c>
      <c r="T318" s="32" t="n">
        <f>24902</f>
        <v>24902.0</v>
      </c>
      <c r="U318" s="32" t="n">
        <f>1775</f>
        <v>1775.0</v>
      </c>
      <c r="V318" s="32" t="n">
        <f>2273273841</f>
        <v>2.273273841E9</v>
      </c>
      <c r="W318" s="32" t="n">
        <f>167000241</f>
        <v>1.67000241E8</v>
      </c>
      <c r="X318" s="36" t="n">
        <f>21</f>
        <v>21.0</v>
      </c>
    </row>
    <row r="319">
      <c r="A319" s="27" t="s">
        <v>42</v>
      </c>
      <c r="B319" s="27" t="s">
        <v>1010</v>
      </c>
      <c r="C319" s="27" t="s">
        <v>1011</v>
      </c>
      <c r="D319" s="27" t="s">
        <v>1012</v>
      </c>
      <c r="E319" s="28" t="s">
        <v>46</v>
      </c>
      <c r="F319" s="29" t="s">
        <v>46</v>
      </c>
      <c r="G319" s="30" t="s">
        <v>46</v>
      </c>
      <c r="H319" s="31"/>
      <c r="I319" s="31" t="s">
        <v>636</v>
      </c>
      <c r="J319" s="32" t="n">
        <v>1.0</v>
      </c>
      <c r="K319" s="33" t="n">
        <f>113000</f>
        <v>113000.0</v>
      </c>
      <c r="L319" s="34" t="s">
        <v>48</v>
      </c>
      <c r="M319" s="33" t="n">
        <f>118400</f>
        <v>118400.0</v>
      </c>
      <c r="N319" s="34" t="s">
        <v>49</v>
      </c>
      <c r="O319" s="33" t="n">
        <f>95500</f>
        <v>95500.0</v>
      </c>
      <c r="P319" s="34" t="s">
        <v>107</v>
      </c>
      <c r="Q319" s="33" t="n">
        <f>108100</f>
        <v>108100.0</v>
      </c>
      <c r="R319" s="34" t="s">
        <v>51</v>
      </c>
      <c r="S319" s="35" t="n">
        <f>108695.24</f>
        <v>108695.24</v>
      </c>
      <c r="T319" s="32" t="n">
        <f>32428</f>
        <v>32428.0</v>
      </c>
      <c r="U319" s="32" t="n">
        <f>715</f>
        <v>715.0</v>
      </c>
      <c r="V319" s="32" t="n">
        <f>3443633230</f>
        <v>3.44363323E9</v>
      </c>
      <c r="W319" s="32" t="n">
        <f>78641530</f>
        <v>7.864153E7</v>
      </c>
      <c r="X319" s="36" t="n">
        <f>21</f>
        <v>21.0</v>
      </c>
    </row>
    <row r="320">
      <c r="A320" s="27" t="s">
        <v>42</v>
      </c>
      <c r="B320" s="27" t="s">
        <v>1013</v>
      </c>
      <c r="C320" s="27" t="s">
        <v>1014</v>
      </c>
      <c r="D320" s="27" t="s">
        <v>1015</v>
      </c>
      <c r="E320" s="28" t="s">
        <v>46</v>
      </c>
      <c r="F320" s="29" t="s">
        <v>46</v>
      </c>
      <c r="G320" s="30" t="s">
        <v>46</v>
      </c>
      <c r="H320" s="31"/>
      <c r="I320" s="31" t="s">
        <v>636</v>
      </c>
      <c r="J320" s="32" t="n">
        <v>1.0</v>
      </c>
      <c r="K320" s="33" t="n">
        <f>98400</f>
        <v>98400.0</v>
      </c>
      <c r="L320" s="34" t="s">
        <v>48</v>
      </c>
      <c r="M320" s="33" t="n">
        <f>105000</f>
        <v>105000.0</v>
      </c>
      <c r="N320" s="34" t="s">
        <v>103</v>
      </c>
      <c r="O320" s="33" t="n">
        <f>84800</f>
        <v>84800.0</v>
      </c>
      <c r="P320" s="34" t="s">
        <v>62</v>
      </c>
      <c r="Q320" s="33" t="n">
        <f>91200</f>
        <v>91200.0</v>
      </c>
      <c r="R320" s="34" t="s">
        <v>51</v>
      </c>
      <c r="S320" s="35" t="n">
        <f>94800</f>
        <v>94800.0</v>
      </c>
      <c r="T320" s="32" t="n">
        <f>8661</f>
        <v>8661.0</v>
      </c>
      <c r="U320" s="32" t="n">
        <f>15</f>
        <v>15.0</v>
      </c>
      <c r="V320" s="32" t="n">
        <f>812778200</f>
        <v>8.127782E8</v>
      </c>
      <c r="W320" s="32" t="n">
        <f>1399700</f>
        <v>1399700.0</v>
      </c>
      <c r="X320" s="36" t="n">
        <f>21</f>
        <v>21.0</v>
      </c>
    </row>
    <row r="321">
      <c r="A321" s="27" t="s">
        <v>42</v>
      </c>
      <c r="B321" s="27" t="s">
        <v>1016</v>
      </c>
      <c r="C321" s="27" t="s">
        <v>1017</v>
      </c>
      <c r="D321" s="27" t="s">
        <v>1018</v>
      </c>
      <c r="E321" s="28" t="s">
        <v>46</v>
      </c>
      <c r="F321" s="29" t="s">
        <v>46</v>
      </c>
      <c r="G321" s="30" t="s">
        <v>46</v>
      </c>
      <c r="H321" s="31"/>
      <c r="I321" s="31" t="s">
        <v>636</v>
      </c>
      <c r="J321" s="32" t="n">
        <v>1.0</v>
      </c>
      <c r="K321" s="33" t="n">
        <f>92000</f>
        <v>92000.0</v>
      </c>
      <c r="L321" s="34" t="s">
        <v>48</v>
      </c>
      <c r="M321" s="33" t="n">
        <f>95900</f>
        <v>95900.0</v>
      </c>
      <c r="N321" s="34" t="s">
        <v>48</v>
      </c>
      <c r="O321" s="33" t="n">
        <f>73100</f>
        <v>73100.0</v>
      </c>
      <c r="P321" s="34" t="s">
        <v>107</v>
      </c>
      <c r="Q321" s="33" t="n">
        <f>85600</f>
        <v>85600.0</v>
      </c>
      <c r="R321" s="34" t="s">
        <v>51</v>
      </c>
      <c r="S321" s="35" t="n">
        <f>86561.9</f>
        <v>86561.9</v>
      </c>
      <c r="T321" s="32" t="n">
        <f>23523</f>
        <v>23523.0</v>
      </c>
      <c r="U321" s="32" t="n">
        <f>36</f>
        <v>36.0</v>
      </c>
      <c r="V321" s="32" t="n">
        <f>1991268050</f>
        <v>1.99126805E9</v>
      </c>
      <c r="W321" s="32" t="n">
        <f>3131350</f>
        <v>3131350.0</v>
      </c>
      <c r="X321" s="36" t="n">
        <f>21</f>
        <v>21.0</v>
      </c>
    </row>
    <row r="322">
      <c r="A322" s="27" t="s">
        <v>42</v>
      </c>
      <c r="B322" s="27" t="s">
        <v>1019</v>
      </c>
      <c r="C322" s="27" t="s">
        <v>1020</v>
      </c>
      <c r="D322" s="27" t="s">
        <v>1021</v>
      </c>
      <c r="E322" s="28" t="s">
        <v>46</v>
      </c>
      <c r="F322" s="29" t="s">
        <v>46</v>
      </c>
      <c r="G322" s="30" t="s">
        <v>46</v>
      </c>
      <c r="H322" s="31"/>
      <c r="I322" s="31" t="s">
        <v>636</v>
      </c>
      <c r="J322" s="32" t="n">
        <v>1.0</v>
      </c>
      <c r="K322" s="33" t="n">
        <f>95300</f>
        <v>95300.0</v>
      </c>
      <c r="L322" s="34" t="s">
        <v>48</v>
      </c>
      <c r="M322" s="33" t="n">
        <f>98700</f>
        <v>98700.0</v>
      </c>
      <c r="N322" s="34" t="s">
        <v>49</v>
      </c>
      <c r="O322" s="33" t="n">
        <f>81200</f>
        <v>81200.0</v>
      </c>
      <c r="P322" s="34" t="s">
        <v>107</v>
      </c>
      <c r="Q322" s="33" t="n">
        <f>88000</f>
        <v>88000.0</v>
      </c>
      <c r="R322" s="34" t="s">
        <v>51</v>
      </c>
      <c r="S322" s="35" t="n">
        <f>90990.48</f>
        <v>90990.48</v>
      </c>
      <c r="T322" s="32" t="n">
        <f>14142</f>
        <v>14142.0</v>
      </c>
      <c r="U322" s="32" t="n">
        <f>363</f>
        <v>363.0</v>
      </c>
      <c r="V322" s="32" t="n">
        <f>1291839486</f>
        <v>1.291839486E9</v>
      </c>
      <c r="W322" s="32" t="n">
        <f>34212286</f>
        <v>3.4212286E7</v>
      </c>
      <c r="X322" s="36" t="n">
        <f>21</f>
        <v>21.0</v>
      </c>
    </row>
  </sheetData>
  <mergeCells count="3">
    <mergeCell ref="N1:X3"/>
    <mergeCell ref="A2:M2"/>
    <mergeCell ref="A3:M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2019-03-19T12:06:25Z</dcterms:modified>
</cp:coreProperties>
</file>