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windowHeight="12330" windowWidth="18315" xWindow="480" yWindow="75"/>
  </bookViews>
  <sheets>
    <sheet name="BO_EM0004" r:id="rId1" sheetId="1"/>
  </sheets>
  <definedNames>
    <definedName localSheetId="0" name="_xlnm.Print_Titles">BO_EM0004!$1:$6</definedName>
  </definedNames>
  <calcPr calcId="145621"/>
</workbook>
</file>

<file path=xl/sharedStrings.xml><?xml version="1.0" encoding="utf-8"?>
<sst xmlns="http://schemas.openxmlformats.org/spreadsheetml/2006/main" count="3839" uniqueCount="1013">
  <si>
    <t>(注) 1.信用：制度信用銘柄                  　　　　　　　　　　 (Notes) 1."信用"：Issues eligible for Standardized margin transactions.
     2.貸借：制度信用銘柄及び貸借銘柄                                   2."貸借"：Issues eligible for Standardized margin transactions and loan transactions.
     3.審　：監理銘柄（審査中）　確　：監理銘柄（確認中）               3."審""確""監"：Securities Under Supervision(Examination/Confirmation).
       監　：監理銘柄（審査中・確認中）                                   "整"　　　　：Securities to be Delisted.
       整　：整理銘柄</t>
    <phoneticPr fontId="3"/>
  </si>
  <si>
    <t>投　信　等　相　場　表</t>
    <rPh eb="1" sb="0">
      <t>トウ</t>
    </rPh>
    <rPh eb="3" sb="2">
      <t>シン</t>
    </rPh>
    <rPh eb="5" sb="4">
      <t>トウ</t>
    </rPh>
    <rPh eb="7" sb="6">
      <t>ソウ</t>
    </rPh>
    <rPh eb="9" sb="8">
      <t>バ</t>
    </rPh>
    <rPh eb="11" sb="10">
      <t>ヒョウ</t>
    </rPh>
    <phoneticPr fontId="3"/>
  </si>
  <si>
    <t>Investment Trust Quotations</t>
    <phoneticPr fontId="3"/>
  </si>
  <si>
    <t>年月</t>
  </si>
  <si>
    <t>銘柄コード</t>
    <rPh eb="2" sb="0">
      <t>メイガラ</t>
    </rPh>
    <phoneticPr fontId="3"/>
  </si>
  <si>
    <t>銘柄名称</t>
    <rPh eb="2" sb="0">
      <t>メイガラ</t>
    </rPh>
    <rPh eb="4" sb="2">
      <t>メイショウ</t>
    </rPh>
    <phoneticPr fontId="3"/>
  </si>
  <si>
    <t>Issues</t>
  </si>
  <si>
    <t>銘柄属性</t>
    <phoneticPr fontId="3"/>
  </si>
  <si>
    <t>Attribute</t>
    <phoneticPr fontId="3"/>
  </si>
  <si>
    <t>日付</t>
    <rPh eb="2" sb="0">
      <t>ヒヅケ</t>
    </rPh>
    <phoneticPr fontId="3"/>
  </si>
  <si>
    <t>区分</t>
  </si>
  <si>
    <t>信用・貸借</t>
    <rPh eb="2" sb="0">
      <t>シンヨウ</t>
    </rPh>
    <rPh eb="5" sb="3">
      <t>タイシャク</t>
    </rPh>
    <phoneticPr fontId="3"/>
  </si>
  <si>
    <t>売買単位</t>
    <rPh eb="2" sb="0">
      <t>バイバイ</t>
    </rPh>
    <rPh eb="4" sb="2">
      <t>タンイ</t>
    </rPh>
    <phoneticPr fontId="3"/>
  </si>
  <si>
    <t>始値</t>
    <rPh eb="2" sb="0">
      <t>ハジメネ</t>
    </rPh>
    <phoneticPr fontId="3"/>
  </si>
  <si>
    <t>高値</t>
    <rPh eb="1" sb="0">
      <t>タカ</t>
    </rPh>
    <rPh eb="2" sb="1">
      <t>ネ</t>
    </rPh>
    <phoneticPr fontId="3"/>
  </si>
  <si>
    <t>安値</t>
    <rPh eb="2" sb="0">
      <t>ヤスネ</t>
    </rPh>
    <phoneticPr fontId="3"/>
  </si>
  <si>
    <t>終値</t>
    <rPh eb="2" sb="0">
      <t>オワリネ</t>
    </rPh>
    <phoneticPr fontId="3"/>
  </si>
  <si>
    <t>終値平均</t>
    <rPh eb="2" sb="0">
      <t>オワリネ</t>
    </rPh>
    <rPh eb="4" sb="2">
      <t>ヘイキン</t>
    </rPh>
    <phoneticPr fontId="3"/>
  </si>
  <si>
    <t>売買高</t>
    <rPh eb="3" sb="0">
      <t>バイバイダカ</t>
    </rPh>
    <phoneticPr fontId="3"/>
  </si>
  <si>
    <t>うちToSTNeT売買高</t>
  </si>
  <si>
    <t>売買代金</t>
    <rPh eb="2" sb="0">
      <t>バイバイ</t>
    </rPh>
    <rPh eb="4" sb="2">
      <t>ダイキン</t>
    </rPh>
    <phoneticPr fontId="3"/>
  </si>
  <si>
    <t>うちToSTNeT売買代金</t>
  </si>
  <si>
    <t>値付日数</t>
    <rPh eb="2" sb="0">
      <t>ネツ</t>
    </rPh>
    <rPh eb="4" sb="2">
      <t>ニッスウ</t>
    </rPh>
    <phoneticPr fontId="3"/>
  </si>
  <si>
    <t>Year/Month</t>
  </si>
  <si>
    <t>Code</t>
    <phoneticPr fontId="10"/>
  </si>
  <si>
    <t>Date</t>
    <phoneticPr fontId="3"/>
  </si>
  <si>
    <t>Sector</t>
  </si>
  <si>
    <t>margin/loan</t>
    <phoneticPr fontId="10"/>
  </si>
  <si>
    <t>Trading Unit</t>
    <phoneticPr fontId="3"/>
  </si>
  <si>
    <t>Open</t>
  </si>
  <si>
    <t>High</t>
    <phoneticPr fontId="3"/>
  </si>
  <si>
    <t>Low</t>
  </si>
  <si>
    <t>Close</t>
  </si>
  <si>
    <t>Average Closing Price</t>
    <phoneticPr fontId="10"/>
  </si>
  <si>
    <t>Trading Volume</t>
  </si>
  <si>
    <t>Trading Volume(ToSTNeT)</t>
    <phoneticPr fontId="10"/>
  </si>
  <si>
    <t>Trading Value</t>
  </si>
  <si>
    <t>Trading Value(ToSTNeT)</t>
    <phoneticPr fontId="10"/>
  </si>
  <si>
    <t>Days Traded</t>
    <phoneticPr fontId="3"/>
  </si>
  <si>
    <t>口(units）</t>
    <phoneticPr fontId="10"/>
  </si>
  <si>
    <t>円(￥)</t>
    <phoneticPr fontId="10"/>
  </si>
  <si>
    <t>口(units）</t>
  </si>
  <si>
    <t>2020/04</t>
  </si>
  <si>
    <t>1305</t>
  </si>
  <si>
    <t>ダイワ上場投信－トピックス　受益証券</t>
  </si>
  <si>
    <t>Daiwa ETF-TOPIX</t>
  </si>
  <si>
    <t/>
  </si>
  <si>
    <t>貸借</t>
  </si>
  <si>
    <t>1</t>
  </si>
  <si>
    <t>30</t>
  </si>
  <si>
    <t>3</t>
  </si>
  <si>
    <t>1306</t>
  </si>
  <si>
    <t>ＴＯＰＩＸ連動型上場投資信託　受益証券</t>
  </si>
  <si>
    <t>TOPIX Exchange Traded Fund</t>
  </si>
  <si>
    <t>1308</t>
  </si>
  <si>
    <t>上場インデックスファンドＴＯＰＩＸ　受益証券</t>
  </si>
  <si>
    <t>Nikko Exchange Traded Index Fund TOPIX</t>
  </si>
  <si>
    <t>1309</t>
  </si>
  <si>
    <t>ＮＥＸＴ　ＦＵＮＤＳ　ＣｈｉｎａＡＭＣ・中国株式・上証５０連動型上場投信　受益証券</t>
  </si>
  <si>
    <t>NEXT FUNDS ChinaAMC SSE50 Index Exchange Traded Fund</t>
  </si>
  <si>
    <t>13</t>
  </si>
  <si>
    <t>2</t>
  </si>
  <si>
    <t>1311</t>
  </si>
  <si>
    <t>ＴＯＰＩＸ　Ｃｏｒｅ　３０　連動型上場投資信託　受益証券</t>
  </si>
  <si>
    <t>TOPIX Core 30 Exchange Traded Fund</t>
  </si>
  <si>
    <t>15</t>
  </si>
  <si>
    <t>1312</t>
  </si>
  <si>
    <t>ラッセル野村小型コア・インデックス連動型上場投資信託　受益証券</t>
  </si>
  <si>
    <t>Russell/Nomura Small Cap Core Index Linked ETF</t>
  </si>
  <si>
    <t>17</t>
  </si>
  <si>
    <t>1313</t>
  </si>
  <si>
    <t>サムスンＫＯＤＥＸ２００証券上場指数投資信託[株式]　受益証券</t>
  </si>
  <si>
    <t>SAMSUNG KODEX200 SECURITIES EXCHANGE TRADED FUND [STOCK]</t>
  </si>
  <si>
    <t>21</t>
  </si>
  <si>
    <t>1319</t>
  </si>
  <si>
    <t>日経３００株価指数連動型上場投資信託　受益証券</t>
  </si>
  <si>
    <t>Nikkei 300 Stock Index Listed Fund</t>
  </si>
  <si>
    <t>1320</t>
  </si>
  <si>
    <t>ダイワ上場投信－日経２２５　受益証券</t>
  </si>
  <si>
    <t>Daiwa ETF-Nikkei 225</t>
  </si>
  <si>
    <t>1321</t>
  </si>
  <si>
    <t>日経２２５連動型上場投資信託　受益証券</t>
  </si>
  <si>
    <t>Nikkei 225 Exchange Traded Fund</t>
  </si>
  <si>
    <t>1322</t>
  </si>
  <si>
    <t>上場インデックスファンド中国Ａ株（パンダ）Ｅ　Ｆｕｎｄ　ＣＳＩ３００　受益証券</t>
  </si>
  <si>
    <t>Listed Index Fund China A Share (Panda) E Fund CSI300</t>
  </si>
  <si>
    <t>8</t>
  </si>
  <si>
    <t>23</t>
  </si>
  <si>
    <t>1323</t>
  </si>
  <si>
    <t>ＮＥＸＴ　ＦＵＮＤＳ　南アフリカ株式指数・ＦＴＳＥ／ＪＳＥ　Ａｆｒｉｃａ　Ｔｏｐ４０連動型上場投信　受益証券</t>
  </si>
  <si>
    <t>NEXT FUNDS FTSE/JSE Africa Top40 Linked Exchange Traded Fund</t>
  </si>
  <si>
    <t>14</t>
  </si>
  <si>
    <t>6</t>
  </si>
  <si>
    <t>1324</t>
  </si>
  <si>
    <t>ＮＥＸＴ　ＦＵＮＤＳ　ロシア株式指数・ＲＴＳ連動型上場投信　受益証券</t>
  </si>
  <si>
    <t>NEXT FUNDS Russia RTS Linked Exchange Traded Fund</t>
  </si>
  <si>
    <t>9</t>
  </si>
  <si>
    <t>1325</t>
  </si>
  <si>
    <t>ＮＥＸＴ　ＦＵＮＤＳ　ブラジル株式指数・ボベスパ連動型上場投信　受益証券</t>
  </si>
  <si>
    <t>NEXT FUNDS Ibovespa Linked Exchange Traded Fund</t>
  </si>
  <si>
    <t>1326</t>
  </si>
  <si>
    <t>ＳＰＤＲゴールド・シェア　受益証券</t>
  </si>
  <si>
    <t>SPDR Gold Shares</t>
  </si>
  <si>
    <t>24</t>
  </si>
  <si>
    <t>1327</t>
  </si>
  <si>
    <t>イージーＥＴＦ　Ｓ＆Ｐ　ＧＳＣＩ　商品指数　キャップド・コモディティ　３５／２０　クラスＡ米ドル建受益証券</t>
  </si>
  <si>
    <t>S&amp;P GSCI Energy &amp; Metals Capped Component 35/20 THEAM Easy UCITS ETF Class A USD Unit</t>
  </si>
  <si>
    <t>28</t>
  </si>
  <si>
    <t>1328</t>
  </si>
  <si>
    <t>金価格連動型上場投資信託　受益証券</t>
  </si>
  <si>
    <t>Gold-Price-Linked Exchange Traded Fund</t>
  </si>
  <si>
    <t>1329</t>
  </si>
  <si>
    <t>ｉシェアーズ・コア　日経２２５　ＥＴＦ　受益証券</t>
  </si>
  <si>
    <t>iShares Core Nikkei 225 ETF</t>
  </si>
  <si>
    <t>1330</t>
  </si>
  <si>
    <t>上場インデックスファンド２２５　受益証券</t>
  </si>
  <si>
    <t>Nikko Exchange Traded Index Fund 225</t>
  </si>
  <si>
    <t>1343</t>
  </si>
  <si>
    <t>ＮＥＸＴ　ＦＵＮＤＳ　東証ＲＥＩＴ指数連動型上場投信　受益証券</t>
  </si>
  <si>
    <t>NEXT FUNDS REIT INDEX ETF</t>
  </si>
  <si>
    <t>1344</t>
  </si>
  <si>
    <t>ＭＡＸＩＳ　トピックス・コア３０上場投信　受益証券</t>
  </si>
  <si>
    <t>MAXIS TOPIX Core30 ETF</t>
  </si>
  <si>
    <t>1345</t>
  </si>
  <si>
    <t>上場インデックスファンドＪリート（東証ＲＥＩＴ指数）隔月分配型　受益証券</t>
  </si>
  <si>
    <t>Listed Index Fund J-REIT (Tokyo Stock Exchange REIT Index)</t>
  </si>
  <si>
    <t>1346</t>
  </si>
  <si>
    <t>ＭＡＸＩＳ　日経２２５上場投信　受益証券</t>
  </si>
  <si>
    <t>MAXIS NIKKEI225 ETF</t>
  </si>
  <si>
    <t>1348</t>
  </si>
  <si>
    <t>ＭＡＸＩＳ　トピックス上場投信　受益証券</t>
  </si>
  <si>
    <t>MAXIS TOPIX ETF</t>
  </si>
  <si>
    <t>1349</t>
  </si>
  <si>
    <t>ABF汎アジア債券インデックス・ファンド　受益証券</t>
  </si>
  <si>
    <t>ABF PAN ASIA BOND INDEX FUND</t>
  </si>
  <si>
    <t>1356</t>
  </si>
  <si>
    <t>ＴＯＰＩＸベア２倍上場投信　受益証券</t>
  </si>
  <si>
    <t>TOPIX Bear -2x ETF</t>
  </si>
  <si>
    <t>1357</t>
  </si>
  <si>
    <t>ＮＥＸＴ　ＦＵＮＤＳ　日経平均ダブルインバース・インデックス連動型上場投信　受益証券</t>
  </si>
  <si>
    <t>NEXT FUNDS Nikkei 225 Double Inverse Index ETF</t>
  </si>
  <si>
    <t>1358</t>
  </si>
  <si>
    <t>上場インデックスファンド日経レバレッジ指数　受益証券</t>
  </si>
  <si>
    <t>Listed Index Fund Nikkei Leveraged Index</t>
  </si>
  <si>
    <t>1360</t>
  </si>
  <si>
    <t>日経平均ベア２倍上場投信　受益証券</t>
  </si>
  <si>
    <t>Nikkei225 Bear -2x ETF</t>
  </si>
  <si>
    <t>1364</t>
  </si>
  <si>
    <t>ｉシェアーズ　ＪＰＸ日経４００　ＥＴＦ　受益証券</t>
  </si>
  <si>
    <t>iShares JPX-Nikkei 400 ETF</t>
  </si>
  <si>
    <t>1365</t>
  </si>
  <si>
    <t>ダイワ上場投信－日経平均レバレッジ・インデックス　受益証券</t>
  </si>
  <si>
    <t>Daiwa ETF Japan Nikkei225 Leveraged Index</t>
  </si>
  <si>
    <t>1366</t>
  </si>
  <si>
    <t>ダイワ上場投信－日経平均ダブルインバース・インデックス　受益証券</t>
  </si>
  <si>
    <t>Daiwa ETF Japan Nikkei225 Double Inverse Index</t>
  </si>
  <si>
    <t>1367</t>
  </si>
  <si>
    <t>ダイワ上場投信－ＴＯＰＩＸレバレッジ（２倍）指数　受益証券</t>
  </si>
  <si>
    <t>Daiwa ETF Japan TOPIX Leveraged (2x) Index</t>
  </si>
  <si>
    <t>1368</t>
  </si>
  <si>
    <t>ダイワ上場投信－ＴＯＰＩＸダブルインバース（－２倍）指数　受益証券</t>
  </si>
  <si>
    <t>Daiwa ETF Japan TOPIX Double Inverse (-2x) Index</t>
  </si>
  <si>
    <t>1369</t>
  </si>
  <si>
    <t>Ｏｎｅ　ＥＴＦ　日経２２５　受益証券</t>
  </si>
  <si>
    <t>One ETF Nikkei225</t>
  </si>
  <si>
    <t>1385</t>
  </si>
  <si>
    <t>ＵＢＳ　ＥＴＦ　ユーロ圏大型株５０（ユーロ・ストックス５０）　受益証券</t>
  </si>
  <si>
    <t>UBS ETF EURO STOXX 50 UCITS ETF-JDR</t>
  </si>
  <si>
    <t>1386</t>
  </si>
  <si>
    <t>ＵＢＳ　ＥＴＦ　欧州株（ＭＳＣＩヨーロッパ）　受益証券</t>
  </si>
  <si>
    <t>UBS ETF MSCI Europe UCITS ETF-JDR</t>
  </si>
  <si>
    <t>10</t>
  </si>
  <si>
    <t>1387</t>
  </si>
  <si>
    <t>ＵＢＳ　ＥＴＦ　ユーロ圏株（ＭＳＣＩ　ＥＭＵ）　受益証券</t>
  </si>
  <si>
    <t>UBS ETF MSCI EMU UCITS ETF-JDR</t>
  </si>
  <si>
    <t>1388</t>
  </si>
  <si>
    <t>ＵＢＳ　ＥＴＦ　ユーロ圏小型株（ＭＳＣＩ　ＥＭＵ小型株）　受益証券</t>
  </si>
  <si>
    <t>UBS ETF MSCI EMU Small Cap UCITS ETF-JDR</t>
  </si>
  <si>
    <t>1389</t>
  </si>
  <si>
    <t>ＵＢＳ　ＥＴＦ　英国大型株１００（ＦＴＳＥ　１００）　受益証券</t>
  </si>
  <si>
    <t>UBS ETF FTSE 100 UCITS ETF-JDR</t>
  </si>
  <si>
    <t>22</t>
  </si>
  <si>
    <t>1390</t>
  </si>
  <si>
    <t>ＵＢＳ　ＥＴＦ　ＭＳＣＩアジア太平洋株（除く日本）　受益証券</t>
  </si>
  <si>
    <t>UBS ETF MSCI Pacific (ex Japan) UCITS ETF-JDR</t>
  </si>
  <si>
    <t>1391</t>
  </si>
  <si>
    <t>ＵＢＳ　ＥＴＦ　スイス株（ＭＳＣＩスイス２０／３５）　受益証券</t>
  </si>
  <si>
    <t>UBS ETF MSCI Switzerland 20/35 UCITS ETF-JDR</t>
  </si>
  <si>
    <t>20</t>
  </si>
  <si>
    <t>1392</t>
  </si>
  <si>
    <t>ＵＢＳ　ＥＴＦ　英国株（ＭＳＣＩ英国）　受益証券</t>
  </si>
  <si>
    <t>UBS ETF MSCI United Kingdom UCITS ETF-JDR</t>
  </si>
  <si>
    <t>7</t>
  </si>
  <si>
    <t>1393</t>
  </si>
  <si>
    <t>ＵＢＳ　ＥＴＦ　米国株（ＭＳＣＩ米国）　受益証券</t>
  </si>
  <si>
    <t>UBS ETF MSCI USA UCITS ETF-JDR</t>
  </si>
  <si>
    <t>1394</t>
  </si>
  <si>
    <t>ＵＢＳ　ＥＴＦ　先進国株（ＭＳＣＩワールド）　受益証券</t>
  </si>
  <si>
    <t>UBS ETF MSCI World UCITS ETF-JDR</t>
  </si>
  <si>
    <t>1397</t>
  </si>
  <si>
    <t>ＳＭＤＡＭ　日経２２５上場投信　受益証券</t>
  </si>
  <si>
    <t>SMDAM NIKKEI225 ETF</t>
  </si>
  <si>
    <t>1398</t>
  </si>
  <si>
    <t>ＳＭＤＡＭ　東証ＲＥＩＴ指数上場投信　受益証券</t>
  </si>
  <si>
    <t>SMDAM REIT Index ETF</t>
  </si>
  <si>
    <t>1399</t>
  </si>
  <si>
    <t>上場インデックスファンドＭＳＣＩ日本株高配当低ボラティリティ　受益証券</t>
  </si>
  <si>
    <t>Listed Index Fund MSCI Japan Equity High Dividend Low Volatility</t>
  </si>
  <si>
    <t>1456</t>
  </si>
  <si>
    <t>ダイワ上場投信－日経平均インバース・インデックス　受益証券</t>
  </si>
  <si>
    <t>Daiwa ETF Japan Nikkei225 Inverse Index</t>
  </si>
  <si>
    <t>1457</t>
  </si>
  <si>
    <t>ダイワ上場投信－ＴＯＰＩＸインバース（－１倍）指数　受益証券</t>
  </si>
  <si>
    <t>Daiwa ETF Japan TOPIX Inverse (-1x) Index</t>
  </si>
  <si>
    <t>1458</t>
  </si>
  <si>
    <t>楽天ＥＴＦ‐日経レバレッジ指数連動型　受益証券</t>
  </si>
  <si>
    <t>Rakuten ETF - Nikkei 225 Leveraged Index</t>
  </si>
  <si>
    <t>1459</t>
  </si>
  <si>
    <t>楽天ＥＴＦ‐日経ダブルインバース指数連動型　受益証券</t>
  </si>
  <si>
    <t>Rakuten ETF - Nikkei 225 Double Inverse Index</t>
  </si>
  <si>
    <t>1460</t>
  </si>
  <si>
    <t>ＭＡＸＩＳ　ＪＡＰＡＮ　クオリティ１５０上場投信　受益証券</t>
  </si>
  <si>
    <t>MAXIS JAPAN Quality 150 Index ETF</t>
  </si>
  <si>
    <t>1464</t>
  </si>
  <si>
    <t>ダイワ上場投信－ＪＰＸ日経４００レバレッジ・インデックス　受益証券</t>
  </si>
  <si>
    <t>Daiwa ETF Japan JPX-Nikkei 400 Leveraged (2x) Index</t>
  </si>
  <si>
    <t>1465</t>
  </si>
  <si>
    <t>ダイワ上場投信－ＪＰＸ日経４００インバース・インデックス　受益証券</t>
  </si>
  <si>
    <t>Daiwa ETF Japan JPX-Nikkei 400 Inverse (-1x) Index</t>
  </si>
  <si>
    <t>1466</t>
  </si>
  <si>
    <t>ダイワ上場投信－ＪＰＸ日経４００ダブルインバース・インデックス　受益証券</t>
  </si>
  <si>
    <t>Daiwa ETF Japan JPX-Nikkei 400 Double Inverse (-2x) Index</t>
  </si>
  <si>
    <t>1467</t>
  </si>
  <si>
    <t>ＪＰＸ日経４００ブル２倍上場投信（レバレッジ）　受益証券</t>
  </si>
  <si>
    <t>JPX-Nikkei 400 Bull 2x Leveraged ETF</t>
  </si>
  <si>
    <t>1468</t>
  </si>
  <si>
    <t>ＪＰＸ日経４００ベア上場投信（インバース）　受益証券</t>
  </si>
  <si>
    <t>JPX-Nikkei 400 Bear -1x Inverse ETF</t>
  </si>
  <si>
    <t>1469</t>
  </si>
  <si>
    <t>ＪＰＸ日経４００ベア２倍上場投信（ダブルインバース）　受益証券</t>
  </si>
  <si>
    <t>JPX-Nikkei 400 Bear -2x Double Inverse ETF</t>
  </si>
  <si>
    <t>1470</t>
  </si>
  <si>
    <t>ＮＥＸＴ　ＦＵＮＤＳ　ＪＰＸ日経４００レバレッジ・インデックス連動型上場投信　受益証券</t>
  </si>
  <si>
    <t>NEXT FUNDS JPX-Nikkei 400 Leveraged Index Exchange Traded Fund</t>
  </si>
  <si>
    <t>1471</t>
  </si>
  <si>
    <t>ＮＥＸＴ　ＦＵＮＤＳ　ＪＰＸ日経４００インバース・インデックス連動型上場投信　受益証券</t>
  </si>
  <si>
    <t>NEXT FUNDS JPX-Nikkei 400 Inverse Index Exchange Traded Fund</t>
  </si>
  <si>
    <t>1472</t>
  </si>
  <si>
    <t>ＮＥＸＴ　ＦＵＮＤＳ　ＪＰＸ日経４００ダブルインバース・インデックス連動型上場投信　受益証券</t>
  </si>
  <si>
    <t>NEXT FUNDS JPX-Nikkei 400 Double Inverse Index Exchange Traded Fund</t>
  </si>
  <si>
    <t>1473</t>
  </si>
  <si>
    <t>Ｏｎｅ　ＥＴＦ　トピックス　受益証券</t>
  </si>
  <si>
    <t>One ETF TOPIX</t>
  </si>
  <si>
    <t>1474</t>
  </si>
  <si>
    <t>Ｏｎｅ　ＥＴＦ　ＪＰＸ日経４００　受益証券</t>
  </si>
  <si>
    <t>One ETF JPX-Nikkei 400</t>
  </si>
  <si>
    <t>1475</t>
  </si>
  <si>
    <t>ｉシェアーズ・コア　ＴＯＰＩＸ　ＥＴＦ　受益証券</t>
  </si>
  <si>
    <t>iShares Core TOPIX ETF</t>
  </si>
  <si>
    <t>1476</t>
  </si>
  <si>
    <t>ｉシェアーズ・コア　Ｊリート　ＥＴＦ　受益証券</t>
  </si>
  <si>
    <t>iShares Core Japan REIT ETF</t>
  </si>
  <si>
    <t>1477</t>
  </si>
  <si>
    <t>ｉシェアーズ　ＭＳＣＩ　日本株最小分散　ＥＴＦ　受益証券</t>
  </si>
  <si>
    <t>iShares MSCI Japan Minimum Volatility (ex-REITs) ETF</t>
  </si>
  <si>
    <t>1478</t>
  </si>
  <si>
    <t>ｉシェアーズ　ＭＳＣＩ　ジャパン高配当利回り　ＥＴＦ　受益証券</t>
  </si>
  <si>
    <t>iShares MSCI Japan High Dividend ETF</t>
  </si>
  <si>
    <t>1479</t>
  </si>
  <si>
    <t>ダイワ上場投信－ＭＳＣＩ日本株人材設備投資指数　受益証券</t>
  </si>
  <si>
    <t>Daiwa ETF MSCI Japan Human and Physical Investment Index</t>
  </si>
  <si>
    <t>1480</t>
  </si>
  <si>
    <t>ＮＥＸＴ　ＦＵＮＤＳ　野村企業価値分配指数連動型上場投信　受益証券</t>
  </si>
  <si>
    <t>NEXT FUNDS Nomura Enterprise Value Allocation Index Exchange Traded Fund</t>
  </si>
  <si>
    <t>1481</t>
  </si>
  <si>
    <t>上場インデックスファンド日本経済貢献株　受益証券</t>
  </si>
  <si>
    <t>Listed Index Fund Japanese Economy Contributor Stocks</t>
  </si>
  <si>
    <t>1482</t>
  </si>
  <si>
    <t>ｉシェアーズ・コア　米国債７－１０年　ＥＴＦ（為替ヘッジあり）　受益証券</t>
  </si>
  <si>
    <t>iShares Core 7-10 Year US Treasury Bond JPY Hedged ETF</t>
  </si>
  <si>
    <t>1483</t>
  </si>
  <si>
    <t>ｉシェアーズ　ＪＰＸ／Ｓ＆Ｐ設備・人材投資　ＥＴＦ　受益証券</t>
  </si>
  <si>
    <t>iShares JPX/S&amp;P CAPEX &amp; Human Capital ETF</t>
  </si>
  <si>
    <t>1484</t>
  </si>
  <si>
    <t>Ｏｎｅ　ＥＴＦ　ＪＰＸ／Ｓ＆Ｐ　設備・人材投資指数　受益証券</t>
  </si>
  <si>
    <t>One ETF JPX/S&amp;P CAPEX &amp; Human Capital Index</t>
  </si>
  <si>
    <t>1485</t>
  </si>
  <si>
    <t>ＭＡＸＩＳ　ＪＡＰＡＮ　設備・人材積極投資企業２００上場投信　受益証券</t>
  </si>
  <si>
    <t>MAXIS JAPAN Proactive Investment in Physical and Human Capital 200 Index ETF</t>
  </si>
  <si>
    <t>1486</t>
  </si>
  <si>
    <t>上場インデックスファンド米国債券（為替ヘッジなし）　受益証券</t>
  </si>
  <si>
    <t>Listed Index Fund US Bond (No Currency Hedge)</t>
  </si>
  <si>
    <t>1487</t>
  </si>
  <si>
    <t>上場インデックスファンド米国債券（為替ヘッジあり）　受益証券</t>
  </si>
  <si>
    <t>Listed Index Fund US Bond (Currency Hedge)</t>
  </si>
  <si>
    <t>1488</t>
  </si>
  <si>
    <t>ダイワ上場投信－東証ＲＥＩＴ指数　受益証券</t>
  </si>
  <si>
    <t>Daiwa ETF Tokyo Stock Exchange REIT Index</t>
  </si>
  <si>
    <t>1489</t>
  </si>
  <si>
    <t>ＮＥＸＴ　ＦＵＮＤＳ　日経平均高配当株５０指数連動型上場投信　受益証券</t>
  </si>
  <si>
    <t>NEXT FUNDS Nikkei 225 High Dividend Yield Stock 50 Index Exchange Traded Fund</t>
  </si>
  <si>
    <t>1490</t>
  </si>
  <si>
    <t>上場インデックスファンドＭＳＣＩ日本株高配当低ボラティリティ（βヘッジ）　受益証券</t>
  </si>
  <si>
    <t>Listed Index Fund MSCI Japan Equity High Dividend Low Volatility (Beta Hedged)</t>
  </si>
  <si>
    <t>1492</t>
  </si>
  <si>
    <t>ＭＡＸＩＳ　ＪＰＸ　日経中小型株指数上場投信　受益証券</t>
  </si>
  <si>
    <t>MAXIS JPX-Nikkei Mid and Small Cap Index ETF</t>
  </si>
  <si>
    <t>27</t>
  </si>
  <si>
    <t>1493</t>
  </si>
  <si>
    <t>Ｏｎｅ　ＥＴＦ　ＪＰＸ日経中小型　受益証券</t>
  </si>
  <si>
    <t>One ETF JPX-Nikkei Mid Small</t>
  </si>
  <si>
    <t>1494</t>
  </si>
  <si>
    <t>Ｏｎｅ　ＥＴＦ　高配当日本株　受益証券</t>
  </si>
  <si>
    <t>One ETF High Dividend Japan Equity</t>
  </si>
  <si>
    <t>1495</t>
  </si>
  <si>
    <t>上場インデックスファンドアジアリート　受益証券</t>
  </si>
  <si>
    <t>Listed Index Fund Asian REIT</t>
  </si>
  <si>
    <t>16</t>
  </si>
  <si>
    <t>1496</t>
  </si>
  <si>
    <t>ｉシェアーズ　米ドル建て投資適格社債　ＥＴＦ（為替ヘッジあり）　受益証券</t>
  </si>
  <si>
    <t>iShares USD Investment Grade Corporate Bond JPY Hedged ETF</t>
  </si>
  <si>
    <t>1497</t>
  </si>
  <si>
    <t>ｉシェアーズ　米ドル建てハイイールド社債　ＥＴＦ（為替ヘッジあり）　受益証券</t>
  </si>
  <si>
    <t>iShares USD High Yield Corporate Bond JPY Hedged ETF</t>
  </si>
  <si>
    <t>1498</t>
  </si>
  <si>
    <t>Ｏｎｅ　ＥＴＦ　ＥＳＧ　受益証券</t>
  </si>
  <si>
    <t>One ETF ESG</t>
  </si>
  <si>
    <t>1499</t>
  </si>
  <si>
    <t>ＭＡＸＩＳ日本株高配当７０マーケットニュートラル上場投信　受益証券</t>
  </si>
  <si>
    <t>MAXIS Japan Equity High Dividend 70 Market Neutral ETF</t>
  </si>
  <si>
    <t>1540</t>
  </si>
  <si>
    <t>純金上場信託（現物国内保管型）　受益証券</t>
  </si>
  <si>
    <t>Japan Physical Gold ETF</t>
  </si>
  <si>
    <t>1541</t>
  </si>
  <si>
    <t>純プラチナ上場信託（現物国内保管型）　受益証券</t>
  </si>
  <si>
    <t>Japan Physical Platinum ETF</t>
  </si>
  <si>
    <t>1542</t>
  </si>
  <si>
    <t>純銀上場信託（現物国内保管型）　受益証券</t>
  </si>
  <si>
    <t>Japan Physical Silver ETF</t>
  </si>
  <si>
    <t>1543</t>
  </si>
  <si>
    <t>純パラジウム上場信託（現物国内保管型）　受益証券</t>
  </si>
  <si>
    <t>Japan Physical Palladium ETF</t>
  </si>
  <si>
    <t>1545</t>
  </si>
  <si>
    <t>ＮＥＸＴ　ＦＵＮＤＳ　ＮＡＳＤＡＱ－１００連動型上場投信　受益証券</t>
  </si>
  <si>
    <t>NEXT FUNDS NASDAQ-100 Exchange Traded Fund</t>
  </si>
  <si>
    <t>1546</t>
  </si>
  <si>
    <t>ＮＥＸＴ　ＦＵＮＤＳ　ダウ・ジョーンズ工業株３０種平均株価連動型上場投信　受益証券</t>
  </si>
  <si>
    <t>NEXT FUNDS Dow Jones Industrial Average Exchange Traded Fund</t>
  </si>
  <si>
    <t>1547</t>
  </si>
  <si>
    <t>上場インデックスファンド米国株式（Ｓ＆Ｐ５００）　受益証券</t>
  </si>
  <si>
    <t>Listed Index Fund US Equity (S&amp;P500)</t>
  </si>
  <si>
    <t>1550</t>
  </si>
  <si>
    <t>ＭＡＸＩＳ　海外株式（ＭＳＣＩコクサイ）上場投信　受益証券</t>
  </si>
  <si>
    <t>MAXIS Global Equity (MSCI Kokusai) ETF</t>
  </si>
  <si>
    <t>1551</t>
  </si>
  <si>
    <t>ＪＡＳＤＡＱ－ＴＯＰ２０上場投信　受益証券</t>
  </si>
  <si>
    <t>JASDAQ-TOP20 ETF</t>
  </si>
  <si>
    <t>1552</t>
  </si>
  <si>
    <t>国際のＥＴＦ　ＶＩＸ短期先物指数　受益証券</t>
  </si>
  <si>
    <t>KOKUSAI S&amp;P500 VIX SHORT-TERM FUTURES INDEX ETF</t>
  </si>
  <si>
    <t>1554</t>
  </si>
  <si>
    <t>上場インデックスファンド世界株式（ＭＳＣＩ　ＡＣＷＩ）除く日本　受益証券</t>
  </si>
  <si>
    <t>Listed Index Fund World Equity (MSCI ACWI) ex Japan</t>
  </si>
  <si>
    <t>1555</t>
  </si>
  <si>
    <t>上場インデックスファンド豪州リート（Ｓ＆Ｐ／ＡＳＸ２００　Ａ‐ＲＥＩＴ）　受益証券</t>
  </si>
  <si>
    <t>Listed Index Fund Australian REIT (S&amp;P/ASX200 A-REIT)</t>
  </si>
  <si>
    <t>1557</t>
  </si>
  <si>
    <t>ＳＰＤＲ　Ｓ＆Ｐ５００　ＥＴＦ　受益証券</t>
  </si>
  <si>
    <t>SPDR S&amp;P500 ETF Trust</t>
  </si>
  <si>
    <t>1559</t>
  </si>
  <si>
    <t>ＮＥＸＴ　ＦＵＮＤＳ　タイ株式ＳＥＴ５０指数連動型上場投信　受益証券</t>
  </si>
  <si>
    <t>NEXT FUNDS Thai Stock SET50 Exchange Traded Fund</t>
  </si>
  <si>
    <t>1560</t>
  </si>
  <si>
    <t>ＮＥＸＴ　ＦＵＮＤＳ　ＦＴＳＥブルサ・マレーシアＫＬＣＩ連動型上場投信　受益証券</t>
  </si>
  <si>
    <t>NEXT FUNDS FTSE Bursa Malaysia KLCI Exchange Traded Fund</t>
  </si>
  <si>
    <t>1563</t>
  </si>
  <si>
    <t>マザーズ・コア上場投信　受益証券</t>
  </si>
  <si>
    <t>TSE Mothers Core ETF</t>
  </si>
  <si>
    <t>1566</t>
  </si>
  <si>
    <t>上場インデックスファンド新興国債券</t>
  </si>
  <si>
    <t>Listed Index Fund Emerging Bond</t>
  </si>
  <si>
    <t>1567</t>
  </si>
  <si>
    <t>ＭＡＸＩＳトピックスリスクコントロール（５％）上場投信　受益証券</t>
  </si>
  <si>
    <t>MAXIS TOPIX Risk Control (5%) ETF</t>
  </si>
  <si>
    <t>1568</t>
  </si>
  <si>
    <t>ＴＯＰＩＸブル２倍上場投信　受益証券</t>
  </si>
  <si>
    <t>TOPIX Bull 2x ETF</t>
  </si>
  <si>
    <t>1569</t>
  </si>
  <si>
    <t>ＴＯＰＩＸベア上場投信　受益証券</t>
  </si>
  <si>
    <t>TOPIX Bear -1x ETF</t>
  </si>
  <si>
    <t>1570</t>
  </si>
  <si>
    <t>ＮＥＸＴ　ＦＵＮＤＳ　日経平均レバレッジ・インデックス連動型上場投信　受益証券</t>
  </si>
  <si>
    <t>NEXT FUNDS Nikkei 225 Leveraged Index Exchange Traded Fund</t>
  </si>
  <si>
    <t>1571</t>
  </si>
  <si>
    <t>ＮＥＸＴ　ＦＵＮＤＳ　日経平均インバース・インデックス連動型上場投信　受益証券</t>
  </si>
  <si>
    <t>NEXT FUNDS Nikkei 225 Inverse Index Exchange Traded Fund</t>
  </si>
  <si>
    <t>1572</t>
  </si>
  <si>
    <t>中国Ｈ株ブル２倍上場投信　受益証券</t>
  </si>
  <si>
    <t>China Bull 2x HSCEI ETF</t>
  </si>
  <si>
    <t>1573</t>
  </si>
  <si>
    <t>中国Ｈ株ベア上場投信　受益証券</t>
  </si>
  <si>
    <t>China Bear -1x HSCEI ETF</t>
  </si>
  <si>
    <t>1574</t>
  </si>
  <si>
    <t>ＭＡＸＩＳトピックスリスクコントロール（１０％）上場投信　受益証券</t>
  </si>
  <si>
    <t>MAXIS TOPIX Risk Control (10%) ETF</t>
  </si>
  <si>
    <t>1575</t>
  </si>
  <si>
    <t>ＣｈｉｎａＡＭＣ　ＣＳＩ　３００　Ｉｎｄｅｘ　ＥＴＦ－ＪＤＲ　受益証券</t>
  </si>
  <si>
    <t>ChinaAMC CSI 300 Index ETF-JDR</t>
  </si>
  <si>
    <t>1576</t>
  </si>
  <si>
    <t>南方　ＦＴＳＥ　中国Ａ株５０　ＥＴＦ　受益証券</t>
  </si>
  <si>
    <t>CSOP FTSE CHINA A50 ETF</t>
  </si>
  <si>
    <t>1577</t>
  </si>
  <si>
    <t>ＮＥＸＴ　ＦＵＮＤＳ　野村日本株高配当７０連動型上場投信　受益証券</t>
  </si>
  <si>
    <t>NEXT FUNDS Nomura Japan Equity High Dividend 70 ETF</t>
  </si>
  <si>
    <t>1578</t>
  </si>
  <si>
    <t>上場インデックスファンド日経２２５（ミニ）　受益証券</t>
  </si>
  <si>
    <t>Listed Index Fund Nikkei 225 (Mini)</t>
  </si>
  <si>
    <t>1579</t>
  </si>
  <si>
    <t>日経平均ブル２倍上場投信　受益証券</t>
  </si>
  <si>
    <t>Nikkei 225 Bull 2x ETF</t>
  </si>
  <si>
    <t>1580</t>
  </si>
  <si>
    <t>日経平均ベア上場投信　受益証券</t>
  </si>
  <si>
    <t>Nikkei 225 Bear -1x ETF</t>
  </si>
  <si>
    <t>1584</t>
  </si>
  <si>
    <t>サムスンＫＯＤＥＸサムスングループ株証券上場指数投資信託［株式］　受益証券</t>
  </si>
  <si>
    <t>Samsung KODEX Samsung Group Securities Exchange Traded Investment Trust [Share]</t>
  </si>
  <si>
    <t>1585</t>
  </si>
  <si>
    <t>ダイワ上場投信・ＴＯＰＩＸ　Ｅｘ－Ｆｉｎａｎｃｉａｌｓ　受益証券</t>
  </si>
  <si>
    <t>Daiwa ETF TOPIX Ex-Financials</t>
  </si>
  <si>
    <t>1586</t>
  </si>
  <si>
    <t>上場インデックスファンドＴＯＰＩＸ　Ｅｘ－Ｆｉｎａｎｃｉａｌｓ　受益証券</t>
  </si>
  <si>
    <t>Listed Index Fund TOPIX Ex-Financials</t>
  </si>
  <si>
    <t>1591</t>
  </si>
  <si>
    <t>ＮＥＸＴ　ＦＵＮＤＳ　ＪＰＸ日経インデックス４００連動型上場投信　受益証券</t>
  </si>
  <si>
    <t>NEXT FUNDS JPX-Nikkei Index 400 Exchange Traded Fund</t>
  </si>
  <si>
    <t>1592</t>
  </si>
  <si>
    <t>上場インデックスファンドＪＰＸ日経インデックス４００　受益証券</t>
  </si>
  <si>
    <t>Listed Index Fund JPX-Nikkei Index 400</t>
  </si>
  <si>
    <t>1593</t>
  </si>
  <si>
    <t>ＭＡＸＩＳ　ＪＰＸ日経インデックス４００上場投信　受益証券</t>
  </si>
  <si>
    <t>MAXIS JPX-Nikkei Index 400 ETF</t>
  </si>
  <si>
    <t>1595</t>
  </si>
  <si>
    <t>ＮＺＡＭ　上場投信　東証ＲＥＩＴ指数　受益証券</t>
  </si>
  <si>
    <t>NZAM ETF J-REIT Index</t>
  </si>
  <si>
    <t>1596</t>
  </si>
  <si>
    <t>ＮＺＡＭ　上場投信　ＴＯＰＩＸ　Ｅｘ－Ｆｉｎａｎｃｉａｌｓ　受益証券</t>
  </si>
  <si>
    <t>NZAM ETF TOPIX Ex-Financials</t>
  </si>
  <si>
    <t>1597</t>
  </si>
  <si>
    <t>ＭＡＸＩＳ　Ｊリート上場投信　受益証券</t>
  </si>
  <si>
    <t>MAXIS J-REIT ETF</t>
  </si>
  <si>
    <t>1598</t>
  </si>
  <si>
    <t>ＮＥＸＴ　ＦＵＮＤＳ　Ｒ／Ｎファンダメンタル・インデックス上場投信　受益証券</t>
  </si>
  <si>
    <t>NEXT FUNDS Russell/Nomura Fundamental Index ETF</t>
  </si>
  <si>
    <t>1599</t>
  </si>
  <si>
    <t>ダイワ上場投信－ＪＰＸ日経４００　受益証券</t>
  </si>
  <si>
    <t>Daiwa ETF JPX-Nikkei 400</t>
  </si>
  <si>
    <t>1613</t>
  </si>
  <si>
    <t>東証電気機器株価指数連動型上場投資信託　受益証券</t>
  </si>
  <si>
    <t>TOPIX Electric Appliances Exchange Traded Fund</t>
  </si>
  <si>
    <t>確</t>
  </si>
  <si>
    <t>1615</t>
  </si>
  <si>
    <t>東証銀行業株価指数連動型上場投資信託　受益証券</t>
  </si>
  <si>
    <t>TOPIX Banks Exchange Traded Fund</t>
  </si>
  <si>
    <t>1617</t>
  </si>
  <si>
    <t>ＮＥＸＴ　ＦＵＮＤＳ　食品（ＴＯＰＩＸ－１７）上場投信　受益証券</t>
  </si>
  <si>
    <t>NEXT FUNDS TOPIX-17 FOODS ETF</t>
  </si>
  <si>
    <t>1618</t>
  </si>
  <si>
    <t>ＮＥＸＴ　ＦＵＮＤＳ　エネルギー資源（ＴＯＰＩＸ－１７）上場投信　受益証券</t>
  </si>
  <si>
    <t>NEXT FUNDS TOPIX-17 ENERGY RESOURCES ETF</t>
  </si>
  <si>
    <t>1619</t>
  </si>
  <si>
    <t>ＮＥＸＴ　ＦＵＮＤＳ　建設・資材（ＴＯＰＩＸ－１７）上場投信　受益証券</t>
  </si>
  <si>
    <t>NEXT FUNDS TOPIX-17 CONSTRUCTION &amp; MATERIALS ETF</t>
  </si>
  <si>
    <t>1620</t>
  </si>
  <si>
    <t>ＮＥＸＴ　ＦＵＮＤＳ　素材・化学（ＴＯＰＩＸ－１７）上場投信　受益証券</t>
  </si>
  <si>
    <t>NEXT FUNDS TOPIX-17 RAW MATERIALS &amp; CHEMICALS ETF</t>
  </si>
  <si>
    <t>1621</t>
  </si>
  <si>
    <t>ＮＥＸＴ　ＦＵＮＤＳ　医薬品（ＴＯＰＩＸ－１７）上場投信　受益証券</t>
  </si>
  <si>
    <t>NEXT FUNDS TOPIX-17 PHARMACEUTICAL ETF</t>
  </si>
  <si>
    <t>1622</t>
  </si>
  <si>
    <t>ＮＥＸＴ　ＦＵＮＤＳ　自動車・輸送機（ＴＯＰＩＸ－１７）上場投信　受益証券</t>
  </si>
  <si>
    <t>NEXT FUNDS TOPIX-17 AUTOMOBILES TRANSPORTATION EQUIPMENT ETF</t>
  </si>
  <si>
    <t>1623</t>
  </si>
  <si>
    <t>ＮＥＸＴ　ＦＵＮＤＳ　鉄鋼・非鉄（ＴＯＰＩＸ－１７）上場投信　受益証券</t>
  </si>
  <si>
    <t>NEXT FUNDS TOPIX-17 STEEL &amp; NONFERROUS ETF</t>
  </si>
  <si>
    <t>1624</t>
  </si>
  <si>
    <t>ＮＥＸＴ　ＦＵＮＤＳ　機械（ＴＯＰＩＸ－１７）上場投信　受益証券</t>
  </si>
  <si>
    <t>NEXT FUNDS TOPIX-17 MACHINERY ETF</t>
  </si>
  <si>
    <t>1625</t>
  </si>
  <si>
    <t>ＮＥＸＴ　ＦＵＮＤＳ　電機・精密（ＴＯＰＩＸ－１７）上場投信　受益証券</t>
  </si>
  <si>
    <t>NEXT FUNDS TOPIX-17 ELECTRIC &amp; PRECISION INSTRUMENTS ETF</t>
  </si>
  <si>
    <t>1626</t>
  </si>
  <si>
    <t>ＮＥＸＴ　ＦＵＮＤＳ　情報通信・サービスその他（ＴＯＰＩＸ－１７）上場投信　受益証券</t>
  </si>
  <si>
    <t>NEXT FUNDS TOPIX-17 IT &amp; SERVICES,OTHERS ETF</t>
  </si>
  <si>
    <t>1627</t>
  </si>
  <si>
    <t>ＮＥＸＴ　ＦＵＮＤＳ　電力・ガス（ＴＯＰＩＸ－１７）上場投信　受益証券</t>
  </si>
  <si>
    <t>NEXT FUNDS TOPIX-17 ELECTRIC POWER &amp; GAS ETF</t>
  </si>
  <si>
    <t>1628</t>
  </si>
  <si>
    <t>ＮＥＸＴ　ＦＵＮＤＳ　運輸・物流（ＴＯＰＩＸ－１７）上場投信　受益証券</t>
  </si>
  <si>
    <t>NEXT FUNDS TOPIX-17 TRANSPORTATION &amp; LOGISTICS ETF</t>
  </si>
  <si>
    <t>1629</t>
  </si>
  <si>
    <t>ＮＥＸＴ　ＦＵＮＤＳ　商社・卸売（ＴＯＰＩＸ－１７）上場投信　受益証券</t>
  </si>
  <si>
    <t>NEXT FUNDS TOPIX-17 COMMERCIAL &amp; WHOLESALE TRADE ETF</t>
  </si>
  <si>
    <t>1630</t>
  </si>
  <si>
    <t>ＮＥＸＴ　ＦＵＮＤＳ　小売（ＴＯＰＩＸ－１７）上場投信　受益証券</t>
  </si>
  <si>
    <t>NEXT FUNDS TOPIX-17 RETAIL TRADE ETF</t>
  </si>
  <si>
    <t>1631</t>
  </si>
  <si>
    <t>ＮＥＸＴ　ＦＵＮＤＳ　銀行（ＴＯＰＩＸ－１７）上場投信　受益証券</t>
  </si>
  <si>
    <t>NEXT FUNDS TOPIX-17 BANKS ETF</t>
  </si>
  <si>
    <t>1632</t>
  </si>
  <si>
    <t>ＮＥＸＴ　ＦＵＮＤＳ　金融（除く銀行）（ＴＯＰＩＸ－１７）上場投信　受益証券</t>
  </si>
  <si>
    <t>NEXT FUNDS TOPIX-17 FINANCIALS (EX BANKS) ETF</t>
  </si>
  <si>
    <t>1633</t>
  </si>
  <si>
    <t>ＮＥＸＴ　ＦＵＮＤＳ　不動産（ＴＯＰＩＸ－１７）上場投信　受益証券</t>
  </si>
  <si>
    <t>NEXT FUNDS TOPIX-17 REAL ESTATE ETF</t>
  </si>
  <si>
    <t>1651</t>
  </si>
  <si>
    <t>ダイワ上場投信－ＴＯＰＩＸ高配当４０指数　受益証券</t>
  </si>
  <si>
    <t>Daiwa ETF TOPIX High Dividend Yield 40 Index</t>
  </si>
  <si>
    <t>1652</t>
  </si>
  <si>
    <t>ダイワ上場投信－ＭＳＣＩ日本株女性活躍指数（ＷＩＮ）　受益証券</t>
  </si>
  <si>
    <t>Daiwa ETF MSCI Japan Empowering Women Index (WIN)</t>
  </si>
  <si>
    <t>1653</t>
  </si>
  <si>
    <t>ダイワ上場投信－ＭＳＣＩジャパンＥＳＧセレクト・リーダーズ指数　受益証券</t>
  </si>
  <si>
    <t>Daiwa ETF MSCI Japan ESG Select Leaders Index</t>
  </si>
  <si>
    <t>1654</t>
  </si>
  <si>
    <t>ダイワ上場投信－ＦＴＳＥ　Ｂｌｏｓｓｏｍ　Ｊａｐａｎ　Ｉｎｄｅｘ　受益証券</t>
  </si>
  <si>
    <t>Daiwa ETF FTSE Blossom Japan Index</t>
  </si>
  <si>
    <t>1655</t>
  </si>
  <si>
    <t>ｉシェアーズ　Ｓ＆Ｐ　５００　米国株　ＥＴＦ　受益証券</t>
  </si>
  <si>
    <t>iShares S&amp;P 500 ETF</t>
  </si>
  <si>
    <t>1656</t>
  </si>
  <si>
    <t>ｉシェアーズ・コア　米国債７－１０年　ＥＴＦ　受益証券</t>
  </si>
  <si>
    <t>iShares Core 7-10 Year US Treasury Bond ETF</t>
  </si>
  <si>
    <t>1657</t>
  </si>
  <si>
    <t>ｉシェアーズ・コア　ＭＳＣＩ　先進国株（除く日本）　ＥＴＦ　受益証券</t>
  </si>
  <si>
    <t>iShares Core MSCI Kokusai ETF</t>
  </si>
  <si>
    <t>1658</t>
  </si>
  <si>
    <t>ｉシェアーズ・コア　ＭＳＣＩ　新興国株　ＥＴＦ　受益証券</t>
  </si>
  <si>
    <t>iShares Core MSCI Emerging Markets IMI ETF</t>
  </si>
  <si>
    <t>1659</t>
  </si>
  <si>
    <t>ｉシェアーズ　米国リート　ＥＴＦ　受益証券</t>
  </si>
  <si>
    <t>iShares US REIT ETF</t>
  </si>
  <si>
    <t>1660</t>
  </si>
  <si>
    <t>ＭＡＸＩＳ高利回りＪリート上場投信　受益証券</t>
  </si>
  <si>
    <t>MAXIS High Yield J-REIT ETF</t>
  </si>
  <si>
    <t>1670</t>
  </si>
  <si>
    <t>ＭＡＸＩＳ　Ｓ＆Ｐ三菱系企業群上場投信　受益証券</t>
  </si>
  <si>
    <t>MAXIS S&amp;P Mitsubishi Group ETF</t>
  </si>
  <si>
    <t>1671</t>
  </si>
  <si>
    <t>ＷＴＩ原油価格連動型上場投信　受益証券</t>
  </si>
  <si>
    <t>Simplex WTI ETF</t>
  </si>
  <si>
    <t>1672</t>
  </si>
  <si>
    <t>ＥＴＦＳ　金上場投資信託　投資証券</t>
  </si>
  <si>
    <t>WisdomTree Physical Gold Individual Securities</t>
  </si>
  <si>
    <t>1673</t>
  </si>
  <si>
    <t>ＥＴＦＳ　銀上場投資信託　投資証券</t>
  </si>
  <si>
    <t>WisdomTree Physical Silver Individual Securities</t>
  </si>
  <si>
    <t>1674</t>
  </si>
  <si>
    <t>ＥＴＦＳ　白金上場投資信託　投資証券</t>
  </si>
  <si>
    <t>WisdomTree Physical Platinum Individual Securities</t>
  </si>
  <si>
    <t>1675</t>
  </si>
  <si>
    <t>ＥＴＦＳ　パラジウム上場投資信託　投資証券</t>
  </si>
  <si>
    <t>WisdomTree Physical Palladium Individual Securities</t>
  </si>
  <si>
    <t>1676</t>
  </si>
  <si>
    <t>ＥＴＦＳ　貴金属バスケット上場投資信託　投資証券</t>
  </si>
  <si>
    <t>WisdomTree Physical Precious Metals Basket Securities</t>
  </si>
  <si>
    <t>1677</t>
  </si>
  <si>
    <t>上場インデックスファンド海外債券（ＦＴＳＥ　ＷＧＢＩ）毎月分配型　受益証券</t>
  </si>
  <si>
    <t>Listed Index Fund International Bond (FTSE WGBI) Monthly Dividend Payment Type</t>
  </si>
  <si>
    <t>1678</t>
  </si>
  <si>
    <t>ＮＥＸＴ　ＦＵＮＤＳ　インド株式指数・Ｎｉｆｔｙ　５０連動型上場投信　受益証券</t>
  </si>
  <si>
    <t>NEXT FUNDS Nifty 50 Linked Exchange Traded Fund</t>
  </si>
  <si>
    <t>1679</t>
  </si>
  <si>
    <t>Ｓｉｍｐｌｅ－Ｘ　ＮＹダウ・ジョーンズ・インデックス上場投信　受益証券</t>
  </si>
  <si>
    <t>Simple-X NY Dow Jones Index ETF</t>
  </si>
  <si>
    <t>1680</t>
  </si>
  <si>
    <t>上場インデックスファンド海外先進国株式（ＭＳＣＩ－ＫＯＫＵＳＡＩ）　受益証券</t>
  </si>
  <si>
    <t>Listed Index Fund International Developed Countries Equity</t>
  </si>
  <si>
    <t>1681</t>
  </si>
  <si>
    <t>上場インデックスファンド海外新興国株式（ＭＳＣＩエマージング）　受益証券</t>
  </si>
  <si>
    <t>Listed Index Fund International Emerging Countries Equity</t>
  </si>
  <si>
    <t>1682</t>
  </si>
  <si>
    <t>ＮＥＸＴ　ＦＵＮＤＳ　日経・東商取白金指数連動型上場投信　受益証券</t>
  </si>
  <si>
    <t>NEXT FUNDS Nikkei-TOCOM Platinum Index Linked Exchange</t>
  </si>
  <si>
    <t>1683</t>
  </si>
  <si>
    <t>Ｏｎｅ　ＥＴＦ　国内金先物　受益証券</t>
  </si>
  <si>
    <t>One ETF Gold</t>
  </si>
  <si>
    <t>1684</t>
  </si>
  <si>
    <t>ＥＴＦＳ　総合上場投資信託　投資証券</t>
  </si>
  <si>
    <t>WisdomTree Broad Commodities</t>
  </si>
  <si>
    <t>1685</t>
  </si>
  <si>
    <t>ＥＴＦＳ　エネルギー上場投資信託　投資証券</t>
  </si>
  <si>
    <t>WisdomTree Energy</t>
  </si>
  <si>
    <t>1686</t>
  </si>
  <si>
    <t>ＥＴＦＳ　産業用金属上場投資信託　投資証券</t>
  </si>
  <si>
    <t>WisdomTree Industrial Metals</t>
  </si>
  <si>
    <t>1687</t>
  </si>
  <si>
    <t>ＥＴＦＳ　農産物上場投資信託　投資証券</t>
  </si>
  <si>
    <t>WisdomTree Agriculture</t>
  </si>
  <si>
    <t>1688</t>
  </si>
  <si>
    <t>ＥＴＦＳ　穀物上場投資信託　投資証券</t>
  </si>
  <si>
    <t>WisdomTree Grains</t>
  </si>
  <si>
    <t>1689</t>
  </si>
  <si>
    <t>ＥＴＦＳ　天然ガス上場投資信託　投資証券</t>
  </si>
  <si>
    <t>WisdomTree Natural Gas</t>
  </si>
  <si>
    <t>1690</t>
  </si>
  <si>
    <t>ＥＴＦＳ　ＷＴＩ　原油上場投資信託　投資証券</t>
  </si>
  <si>
    <t>WisdomTree WTI Crude Oil</t>
  </si>
  <si>
    <t>1691</t>
  </si>
  <si>
    <t>ＥＴＦＳ　ガソリン上場投資信託　投資証券</t>
  </si>
  <si>
    <t>WisdomTree Gasoline</t>
  </si>
  <si>
    <t>1692</t>
  </si>
  <si>
    <t>ＥＴＦＳ　アルミニウム上場投資信託　投資証券</t>
  </si>
  <si>
    <t>WisdomTree Aluminium</t>
  </si>
  <si>
    <t>1693</t>
  </si>
  <si>
    <t>ＥＴＦＳ　銅上場投資信託　投資証券</t>
  </si>
  <si>
    <t>WisdomTree Copper</t>
  </si>
  <si>
    <t>1694</t>
  </si>
  <si>
    <t>ＥＴＦＳ　ニッケル上場投資信託　投資証券</t>
  </si>
  <si>
    <t>WisdomTree Nickel</t>
  </si>
  <si>
    <t>1695</t>
  </si>
  <si>
    <t>ＥＴＦＳ　小麦上場投資信託　投資証券</t>
  </si>
  <si>
    <t>WisdomTree Wheat</t>
  </si>
  <si>
    <t>1696</t>
  </si>
  <si>
    <t>ＥＴＦＳ　とうもろこし上場投資信託　投資証券</t>
  </si>
  <si>
    <t>WisdomTree Corn</t>
  </si>
  <si>
    <t>1697</t>
  </si>
  <si>
    <t>ＥＴＦＳ　大豆上場投資信託　投資証券</t>
  </si>
  <si>
    <t>WisdomTree Soybeans</t>
  </si>
  <si>
    <t>1698</t>
  </si>
  <si>
    <t>上場インデックスファンド日本高配当（東証配当フォーカス１００）　受益証券</t>
  </si>
  <si>
    <t>Listed Index Fund Japan High Dividend</t>
  </si>
  <si>
    <t>1699</t>
  </si>
  <si>
    <t>ＮＥＸＴ　ＦＵＮＤＳ　ＮＯＭＵＲＡ原油インデックス連動型上場投信　受益証券</t>
  </si>
  <si>
    <t>NEXT FUNDS NOMURA Crude Oil Long Index Linked Exchange</t>
  </si>
  <si>
    <t>2031</t>
  </si>
  <si>
    <t>ＮＥＸＴ　ＮＯＴＥＳ　香港ハンセン・ダブル・ブル　ＥＴＮ　受益証券</t>
  </si>
  <si>
    <t>NEXT NOTES HSI Leveraged ETN</t>
  </si>
  <si>
    <t>信用</t>
  </si>
  <si>
    <t>2032</t>
  </si>
  <si>
    <t>ＮＥＸＴ　ＮＯＴＥＳ　香港ハンセン・ベア　ＥＴＮ　受益証券</t>
  </si>
  <si>
    <t>NEXT NOTES HSI Short ETN</t>
  </si>
  <si>
    <t>2033</t>
  </si>
  <si>
    <t>ＮＥＸＴ　ＮＯＴＥＳ　韓国ＫＯＳＰＩ・ダブル・ブル　ＥＴＮ　受益証券</t>
  </si>
  <si>
    <t>NEXT NOTES KOSPI200 Leverage ETN</t>
  </si>
  <si>
    <t>2034</t>
  </si>
  <si>
    <t>ＮＥＸＴ　ＮＯＴＥＳ　韓国ＫＯＳＰＩ・ベア　ＥＴＮ　受益証券</t>
  </si>
  <si>
    <t>NEXT NOTES F-KOSPI200 Inverse ETN</t>
  </si>
  <si>
    <t>2035</t>
  </si>
  <si>
    <t>ＮＥＸＴ　ＮＯＴＥＳ　日経平均ＶＩ先物指数　ＥＴＮ　受益証券</t>
  </si>
  <si>
    <t>NEXT NOTES Nikkei 225 VI Futures Index ETN</t>
  </si>
  <si>
    <t>2036</t>
  </si>
  <si>
    <t>ＮＥＸＴ　ＮＯＴＥＳ　日経・ＴＯＣＯＭ　金　ダブル・ブル　ＥＴＮ　受益証券</t>
  </si>
  <si>
    <t>NEXT NOTES Nikkei-TOCOM Leveraged Gold ETN</t>
  </si>
  <si>
    <t>2037</t>
  </si>
  <si>
    <t>ＮＥＸＴ　ＮＯＴＥＳ　日経・ＴＯＣＯＭ　金　ベア　ＥＴＮ　受益証券</t>
  </si>
  <si>
    <t>NEXT NOTES Nikkei-TOCOM Inverse Gold ETN</t>
  </si>
  <si>
    <t>2038</t>
  </si>
  <si>
    <t>ＮＥＸＴ　ＮＯＴＥＳ　日経・ＴＯＣＯＭ　原油　ダブル・ブル　ＥＴＮ　受益証券</t>
  </si>
  <si>
    <t>NEXT NOTES Nikkei-TOCOM Leveraged Crude Oil ETN</t>
  </si>
  <si>
    <t>2039</t>
  </si>
  <si>
    <t>ＮＥＸＴ　ＮＯＴＥＳ　日経・ＴＯＣＯＭ　原油　ベア　ＥＴＮ　受益証券</t>
  </si>
  <si>
    <t>NEXT NOTES Nikkei-TOCOM Inverse Crude Oil ETN</t>
  </si>
  <si>
    <t>2040</t>
  </si>
  <si>
    <t>ＮＥＸＴ　ＮＯＴＥＳ　ＮＹダウ・ダブル・ブル・ドルヘッジ　ＥＴＮ　受益証券</t>
  </si>
  <si>
    <t>NEXT NOTES DJIA PR JPY-Monthly Hedged Leveraged (x2) ETN</t>
  </si>
  <si>
    <t>2041</t>
  </si>
  <si>
    <t>ＮＥＸＴ　ＮＯＴＥＳ　ＮＹダウ・ベア・ドルヘッジ　ＥＴＮ　受益証券</t>
  </si>
  <si>
    <t>NEXT NOTES DJIA TR JPY-Monthly Hedged Inverse (x1) ETN</t>
  </si>
  <si>
    <t>2042</t>
  </si>
  <si>
    <t>ＮＥＸＴ　ＮＯＴＥＳ　東証マザーズ　ＥＴＮ　受益証券</t>
  </si>
  <si>
    <t>NEXT NOTES Tokyo Stock Exchange Mothers Index ETN</t>
  </si>
  <si>
    <t>2043</t>
  </si>
  <si>
    <t>ＮＥＸＴ　ＮＯＴＥＳ　ＳＴＯＸＸ　アセアン好配当５０（円、ネットリターン）ＥＴＮ　受益証券</t>
  </si>
  <si>
    <t>NEXT NOTES STOXX ASEAN-Five Select Dividend 50(NR-JPY) ETN</t>
  </si>
  <si>
    <t>2044</t>
  </si>
  <si>
    <t>ＮＥＸＴ　ＮＯＴＥＳ　Ｓ＆Ｐ５００　配当貴族（ネットリターン）　ＥＴＮ　受益証券</t>
  </si>
  <si>
    <t>NEXT NOTES S&amp;P 500 Dividend Aristocrats Net Total Return Index ETN</t>
  </si>
  <si>
    <t>2045</t>
  </si>
  <si>
    <t>ＮＥＸＴ　ＮＯＴＥＳ　Ｓ＆Ｐ　シンガポール　リート（ネットリターン）　ＥＴＮ　受益証券</t>
  </si>
  <si>
    <t>NEXT NOTES S&amp;P Singapore REIT Net Total Return Index ETN</t>
  </si>
  <si>
    <t>2046</t>
  </si>
  <si>
    <t>ＮＥＸＴ　ＮＯＴＥＳ　インドＮｉｆｔｙ・ダブル・ブル　ＥＴＮ　受益証券</t>
  </si>
  <si>
    <t>NEXT NOTES Nifty PR 2x Leverage Index ETN</t>
  </si>
  <si>
    <t>2047</t>
  </si>
  <si>
    <t>ＮＥＸＴ　ＮＯＴＥＳ　インドＮｉｆｔｙ・ベア　ＥＴＮ　受益証券</t>
  </si>
  <si>
    <t>NEXT NOTES Nifty Total Returns(TR) Daily Inverse Index ETN</t>
  </si>
  <si>
    <t>2048</t>
  </si>
  <si>
    <t>ＮＥＸＴ　ＮＯＴＥＳ　野村日本株高配当７０（ドルヘッジ、ネットリターン）ＥＴＮ　受益証券</t>
  </si>
  <si>
    <t>NEXT NOTES Nomura Japan Equity High Dividend 70,Net Total Return US Dollar Hedged Index ETN</t>
  </si>
  <si>
    <t>2050</t>
  </si>
  <si>
    <t>ＮＥＸＴ　ＮＯＴＥＳ　ニッチトップ　中小型日本株（ネットリターン）ＥＴＮ　受益証券</t>
  </si>
  <si>
    <t>NEXT NOTES Niche Top Mid Small Cap Japan Equity, Net Total Return ETN</t>
  </si>
  <si>
    <t>2065</t>
  </si>
  <si>
    <t>ＮＥＸＴ　ＮＯＴＥＳ　日本株配当貴族（ドルヘッジ、ネットリターン）ＥＴＮ　受益証券</t>
  </si>
  <si>
    <t>NEXT NOTES S&amp;P/JPX Dividend Aristocrats Index USD Hedged NTR ETN</t>
  </si>
  <si>
    <t>2066</t>
  </si>
  <si>
    <t>ＮＥＸＴ　ＮＯＴＥＳ　東証ＲＥＩＴ（ドルヘッジ、ネットリターン）ＥＴＮ　受益証券</t>
  </si>
  <si>
    <t>NEXT NOTES Tokyo Stock Exchange REIT Net Total Return US Dollar Hedged Index ETN</t>
  </si>
  <si>
    <t>2067</t>
  </si>
  <si>
    <t>ＮＥＸＴ　ＮＯＴＥＳ　野村ＡＩビジネス７０（ネットリターン）ＥＴＮ　受益証券</t>
  </si>
  <si>
    <t>NEXT NOTES AI Companies 70,Net Total Return ETN</t>
  </si>
  <si>
    <t>2068</t>
  </si>
  <si>
    <t>ＮＥＸＴ　ＮＯＴＥＳ　高ベータ３０（ネットリターン）ＥＴＮ　受益証券</t>
  </si>
  <si>
    <t>NEXT NOTES Japan Equity High Beta Select 30,Net Total Return ETN</t>
  </si>
  <si>
    <t>2069</t>
  </si>
  <si>
    <t>ＮＥＸＴ　ＮＯＴＥＳ　低ベータ５０（ネットリターン）ＥＴＮ　受益証券</t>
  </si>
  <si>
    <t>NEXT NOTES Japan Equity Low Beta Select 50,Net Total Return ETN</t>
  </si>
  <si>
    <t>2510</t>
  </si>
  <si>
    <t>ＮＥＸＴ　ＦＵＮＤＳ　国内債券・ＮＯＭＵＲＡ－ＢＰＩ総合連動型上場投信　受益証券</t>
  </si>
  <si>
    <t>NEXT FUNDS Japan Bond NOMURA-BPI Exchange Traded Fund</t>
  </si>
  <si>
    <t>2511</t>
  </si>
  <si>
    <t>ＮＥＸＴ　ＦＵＮＤＳ　外国債券・ＦＴＳＥ世界国債インデックス（除く日本・為替ヘッジなし）連動型上場投信　受益証券</t>
  </si>
  <si>
    <t>NEXT FUNDS International Bond FTSE World Government Bond Index (ex Japan Unhedged) Exchange Traded Fund</t>
  </si>
  <si>
    <t>2512</t>
  </si>
  <si>
    <t>ＮＥＸＴ　ＦＵＮＤＳ　外国債券・ＦＴＳＥ世界国債インデックス（除く日本・為替ヘッジあり）連動型上場投信　受益証券</t>
  </si>
  <si>
    <t>NEXT FUNDS International Bond FTSE World Government Bond Index (ex Japan Yen-Hedged) Exchange Traded Fund</t>
  </si>
  <si>
    <t>2513</t>
  </si>
  <si>
    <t>ＮＥＸＴ　ＦＵＮＤＳ　外国株式・ＭＳＣＩ－ＫＯＫＵＳＡＩ指数（為替ヘッジなし）連動型上場投信　受益証券</t>
  </si>
  <si>
    <t>NEXT FUNDS International Equity MSCI-KOKUSAI (Unhedged) Exchange Traded Fund</t>
  </si>
  <si>
    <t>2514</t>
  </si>
  <si>
    <t>ＮＥＸＴ　ＦＵＮＤＳ　外国株式・ＭＳＣＩ－ＫＯＫＵＳＡＩ指数（為替ヘッジあり）連動型上場投信　受益証券</t>
  </si>
  <si>
    <t>NEXT FUNDS International Equity MSCI-KOKUSAI (Yen-Hedged) Exchange Traded Fund</t>
  </si>
  <si>
    <t>2515</t>
  </si>
  <si>
    <t>ＮＥＸＴ　ＦＵＮＤＳ　外国ＲＥＩＴ・Ｓ＆Ｐ先進国ＲＥＩＴ指数（除く日本・為替ヘッジなし）連動型上場投信　受益証券</t>
  </si>
  <si>
    <t>NEXT FUNDS International REIT S&amp;P Developed REIT Index (ex Japan Unhedged) Exchange Traded Fund</t>
  </si>
  <si>
    <t>2516</t>
  </si>
  <si>
    <t>東証マザーズＥＴＦ　受益証券</t>
  </si>
  <si>
    <t>TSE Mothers ETF</t>
  </si>
  <si>
    <t>2517</t>
  </si>
  <si>
    <t>ＭＡＸＩＳ　Ｊリート・コア上場投信　受益証券</t>
  </si>
  <si>
    <t>MAXIS J-REIT Core ETF</t>
  </si>
  <si>
    <t>2518</t>
  </si>
  <si>
    <t>ＮＥＸＴ　ＦＵＮＤＳ　ＭＳＣＩ日本株女性活躍指数（セレクト）連動型上場投信　受益証券</t>
  </si>
  <si>
    <t>NEXT FUNDS MSCI Japan Empowering Women Select Index Exchange Traded Fund</t>
  </si>
  <si>
    <t>2519</t>
  </si>
  <si>
    <t>ＮＥＸＴ　ＦＵＮＤＳ　新興国債券・Ｊ．Ｐ．モルガン・エマージング・マーケット・ボンド・インデックス・プラス（為替ヘッジなし）連動型上場投信　受益証券</t>
  </si>
  <si>
    <t>NEXT FUNDS Emerging Market Bond J.P. Morgan EMBI Plus (Unhedged) Exchange Traded Fund</t>
  </si>
  <si>
    <t>2520</t>
  </si>
  <si>
    <t>ＮＥＸＴ　ＦＵＮＤＳ　新興国株式・ＭＳＣＩエマージング・マーケット・インデックス（為替ヘッジなし）連動型上場投信　受益証券</t>
  </si>
  <si>
    <t>NEXT FUNDS Emerging Market Equity MSCI-EM (Unhedged) Exchange Traded Fund</t>
  </si>
  <si>
    <t>2521</t>
  </si>
  <si>
    <t>上場インデックスファンド米国株式（Ｓ＆Ｐ５００）為替ヘッジあり　受益証券</t>
  </si>
  <si>
    <t>Listed Index Fund US Equity (S&amp;P500) Currency Hedge</t>
  </si>
  <si>
    <t>2522</t>
  </si>
  <si>
    <t>ｉシェアーズ　オートメーション　＆　ロボット　ＥＴＦ　受益証券</t>
  </si>
  <si>
    <t>iShares Automation &amp; Robot ETF</t>
  </si>
  <si>
    <t>2523</t>
  </si>
  <si>
    <t>ＭＡＸＩＳトピックス（除く金融）上場投信　受益証券</t>
  </si>
  <si>
    <t>MAXIS TOPIX Ex-Financials ETF</t>
  </si>
  <si>
    <t>2524</t>
  </si>
  <si>
    <t>ＮＺＡＭ　上場投信　ＴＯＰＩＸ　受益証券</t>
  </si>
  <si>
    <t>NZAM ETF TOPIX</t>
  </si>
  <si>
    <t>2525</t>
  </si>
  <si>
    <t>ＮＺＡＭ　上場投信　日経２２５　受益証券</t>
  </si>
  <si>
    <t>NZAM ETF Nikkei 225</t>
  </si>
  <si>
    <t>2526</t>
  </si>
  <si>
    <t>ＮＺＡＭ　上場投信　ＪＰＸ日経４００　受益証券</t>
  </si>
  <si>
    <t>NZAM ETF JPX-Nikkei400</t>
  </si>
  <si>
    <t>2527</t>
  </si>
  <si>
    <t>ＮＺＡＭ　上場投信　東証ＲＥＩＴ　Ｃｏｒｅ指数　受益証券</t>
  </si>
  <si>
    <t>NZAM ETF J-REIT Core Index</t>
  </si>
  <si>
    <t>2528</t>
  </si>
  <si>
    <t>ダイワ上場投信－東証ＲＥＩＴ　Ｃｏｒｅ指数　受益証券</t>
  </si>
  <si>
    <t>Daiwa ETF Tokyo Stock Exchange REIT Core Index</t>
  </si>
  <si>
    <t>2529</t>
  </si>
  <si>
    <t>ＮＥＸＴ　ＦＵＮＤＳ　野村株主還元７０連動型上場投信　受益証券</t>
  </si>
  <si>
    <t>NEXT FUNDS Nomura Shareholder Yield 70 Exchange Traded Fund</t>
  </si>
  <si>
    <t>2530</t>
  </si>
  <si>
    <t>ＭＡＸＩＳ　ＨｕａＡｎ中国株式（上海１８０Ａ株）上場投信　受益証券</t>
  </si>
  <si>
    <t>MAXIS HuaAn China Equity (SSE 180 index) ETF</t>
  </si>
  <si>
    <t>2552</t>
  </si>
  <si>
    <t>上場インデックスファンドＪリート（東証ＲＥＩＴ指数）隔月分配型（ミニ）　受益証券</t>
  </si>
  <si>
    <t>Listed Index Fund J-REIT (Tokyo Stock Exchange REIT Index) Bi-Monthly Dividend Payment Type (Mini)</t>
  </si>
  <si>
    <t>2553</t>
  </si>
  <si>
    <t>Ｏｎｅ　ＥＴＦ　南方　中国Ａ株　ＣＳＩ５００　受益証券</t>
  </si>
  <si>
    <t>One ETF Southern China A-Share CSI 500</t>
  </si>
  <si>
    <t>2554</t>
  </si>
  <si>
    <t>ＮＥＸＴ　ＦＵＮＤＳ　ブルームバーグ・バークレイズ米国投資適格社債（１－１０年）インデックス（為替ヘッジあり）連動型上場投信　受益証券</t>
  </si>
  <si>
    <t>NEXT FUNDS Bloomberg Barclays US Intermediate Corporate Index (JPY Hedged) Exchange Traded Fund</t>
  </si>
  <si>
    <t>2555</t>
  </si>
  <si>
    <t>東証ＲＥＩＴ　ＥＴＦ　受益証券</t>
  </si>
  <si>
    <t>TSE REIT ETF</t>
  </si>
  <si>
    <t>2556</t>
  </si>
  <si>
    <t>Ｏｎｅ　ＥＴＦ　東証ＲＥＩＴ指数　受益証券</t>
  </si>
  <si>
    <t>One ETF Tokyo Stock Exchange REIT Index</t>
  </si>
  <si>
    <t>2557</t>
  </si>
  <si>
    <t>ＳＭＤＡＭ　トピックス上場投信　受益証券</t>
  </si>
  <si>
    <t>SMDAM TOPIX ETF</t>
  </si>
  <si>
    <t>2558</t>
  </si>
  <si>
    <t>ＭＡＸＩＳ米国株式（Ｓ＆Ｐ５００）上場投信　受益証券</t>
  </si>
  <si>
    <t>MAXIS S&amp;P500 US Equity ETF</t>
  </si>
  <si>
    <t>2559</t>
  </si>
  <si>
    <t>ＭＡＸＩＳ全世界株式（オール・カントリー）上場投信　受益証券</t>
  </si>
  <si>
    <t>MAXIS World Equity (MSCI ACWI) ETF</t>
  </si>
  <si>
    <t>2560</t>
  </si>
  <si>
    <t>ＭＡＸＩＳカーボン・エフィシェント日本株上場投信　受益証券</t>
  </si>
  <si>
    <t>MAXIS Carbon Efficient Japan Equity ETF</t>
  </si>
  <si>
    <t>2561</t>
  </si>
  <si>
    <t>ｉシェアーズ・コア　日本国債　ＥＴＦ　受益証券</t>
  </si>
  <si>
    <t>iShares Core Japan Government Bond ETF</t>
  </si>
  <si>
    <t>2562</t>
  </si>
  <si>
    <t>上場インデックスファンド米国株式（ダウ平均）為替ヘッジあり　受益証券</t>
  </si>
  <si>
    <t>Listed Index Fund US Equity (Dow Average) Currency Hedge</t>
  </si>
  <si>
    <t>2971</t>
  </si>
  <si>
    <t>エスコンジャパンリート投資法人　投資証券</t>
  </si>
  <si>
    <t>ESCON JAPAN REIT Investment Corporation</t>
  </si>
  <si>
    <t>2972</t>
  </si>
  <si>
    <t>サンケイリアルエステート投資法人　投資証券</t>
  </si>
  <si>
    <t>SANKEI REAL ESTATE Inc.</t>
  </si>
  <si>
    <t>2979</t>
  </si>
  <si>
    <t>ＳＯＳｉＬＡ物流リート投資法人　投資証券</t>
  </si>
  <si>
    <t>SOSiLA Logistics REIT,Inc.</t>
  </si>
  <si>
    <t>3226</t>
  </si>
  <si>
    <t>日本アコモデーションファンド投資法人　投資証券</t>
  </si>
  <si>
    <t>Nippon Accommodations Fund Inc.</t>
  </si>
  <si>
    <t>3227</t>
  </si>
  <si>
    <t>ＭＣＵＢＳ　ＭｉｄＣｉｔｙ投資法人　投資証券</t>
  </si>
  <si>
    <t>MCUBS MidCity Investment Corporation</t>
  </si>
  <si>
    <t>3234</t>
  </si>
  <si>
    <t>森ヒルズリート投資法人　投資証券</t>
  </si>
  <si>
    <t>MORI HILLS REIT INVESTMENT CORPORATION</t>
  </si>
  <si>
    <t>3249</t>
  </si>
  <si>
    <t>産業ファンド投資法人　投資証券</t>
  </si>
  <si>
    <t>Industrial &amp; Infrastructure Fund Investment Corporation</t>
  </si>
  <si>
    <t>3269</t>
  </si>
  <si>
    <t>アドバンス・レジデンス投資法人　投資証券</t>
  </si>
  <si>
    <t>Advance Residence Investment Corporation</t>
  </si>
  <si>
    <t>3278</t>
  </si>
  <si>
    <t>ケネディクス・レジデンシャル・ネクスト投資法人　投資証券</t>
  </si>
  <si>
    <t>Kenedix Residential Next Investment Corporation</t>
  </si>
  <si>
    <t>3279</t>
  </si>
  <si>
    <t>アクティビア・プロパティーズ投資法人　投資証券</t>
  </si>
  <si>
    <t>Activia Properties Inc.</t>
  </si>
  <si>
    <t>3281</t>
  </si>
  <si>
    <t>ＧＬＰ投資法人　投資証券</t>
  </si>
  <si>
    <t>GLP J-REIT</t>
  </si>
  <si>
    <t>3282</t>
  </si>
  <si>
    <t>コンフォリア・レジデンシャル投資法人　投資証券</t>
  </si>
  <si>
    <t>Comforia Residential REIT,Inc</t>
  </si>
  <si>
    <t>3283</t>
  </si>
  <si>
    <t>日本プロロジスリート投資法人　投資証券</t>
  </si>
  <si>
    <t>Nippon Prologis REIT,Inc.</t>
  </si>
  <si>
    <t>3287</t>
  </si>
  <si>
    <t>星野リゾート・リート投資法人　投資証券</t>
  </si>
  <si>
    <t>Hoshino Resorts REIT,Inc.</t>
  </si>
  <si>
    <t>3290</t>
  </si>
  <si>
    <t>Ｏｎｅリート投資法人　投資証券</t>
  </si>
  <si>
    <t>One REIT,Inc.</t>
  </si>
  <si>
    <t>3292</t>
  </si>
  <si>
    <t>イオンリート投資法人　投資証券</t>
  </si>
  <si>
    <t>AEON REIT Investment Corporation</t>
  </si>
  <si>
    <t>3295</t>
  </si>
  <si>
    <t>ヒューリックリート投資法人　投資証券</t>
  </si>
  <si>
    <t>Hulic Reit,Inc.</t>
  </si>
  <si>
    <t>3296</t>
  </si>
  <si>
    <t>日本リート投資法人　投資証券</t>
  </si>
  <si>
    <t>NIPPON REIT Investment Corporation</t>
  </si>
  <si>
    <t>3298</t>
  </si>
  <si>
    <t>インベスコ・オフィス・ジェイリート投資法人　投資証券</t>
  </si>
  <si>
    <t>Invesco Office J-REIT,Inc.</t>
  </si>
  <si>
    <t>3309</t>
  </si>
  <si>
    <t>積水ハウス・リート投資法人　投資証券</t>
  </si>
  <si>
    <t>Sekisui House Reit,Inc.</t>
  </si>
  <si>
    <t>3451</t>
  </si>
  <si>
    <t>トーセイ・リート投資法人　投資証券</t>
  </si>
  <si>
    <t>Tosei Reit Investment Corporation</t>
  </si>
  <si>
    <t>3453</t>
  </si>
  <si>
    <t>ケネディクス商業リート投資法人　投資証券</t>
  </si>
  <si>
    <t>Kenedix Retail REIT Corporation</t>
  </si>
  <si>
    <t>3455</t>
  </si>
  <si>
    <t>ヘルスケア＆メディカル投資法人　投資証券</t>
  </si>
  <si>
    <t>Healthcare &amp; Medical Investment Corporation</t>
  </si>
  <si>
    <t>3459</t>
  </si>
  <si>
    <t>サムティ・レジデンシャル投資法人　投資証券</t>
  </si>
  <si>
    <t>Samty Residential Investment Corporation</t>
  </si>
  <si>
    <t>3462</t>
  </si>
  <si>
    <t>野村不動産マスターファンド投資法人　投資証券</t>
  </si>
  <si>
    <t>Nomura Real Estate Master Fund,Inc.</t>
  </si>
  <si>
    <t>3463</t>
  </si>
  <si>
    <t>いちごホテルリート投資法人　投資証券</t>
  </si>
  <si>
    <t>Ichigo Hotel REIT Investment Corporation</t>
  </si>
  <si>
    <t>3466</t>
  </si>
  <si>
    <t>ラサールロジポート投資法人　投資証券</t>
  </si>
  <si>
    <t>LaSalle LOGIPORT REIT</t>
  </si>
  <si>
    <t>3468</t>
  </si>
  <si>
    <t>スターアジア不動産投資法人　投資証券</t>
  </si>
  <si>
    <t>Star Asia Investment Corporation</t>
  </si>
  <si>
    <t>3470</t>
  </si>
  <si>
    <t>マリモ地方創生リート投資法人　投資証券</t>
  </si>
  <si>
    <t>Marimo Regional Revitalization REIT,Inc.</t>
  </si>
  <si>
    <t>3471</t>
  </si>
  <si>
    <t>三井不動産ロジスティクスパーク投資法人　投資証券</t>
  </si>
  <si>
    <t>Mitsui Fudosan Logistics Park Inc.</t>
  </si>
  <si>
    <t>3472</t>
  </si>
  <si>
    <t>大江戸温泉リート投資法人　投資証券</t>
  </si>
  <si>
    <t>Ooedo Onsen Reit Investment Corporation</t>
  </si>
  <si>
    <t>3473</t>
  </si>
  <si>
    <t>さくら総合リート投資法人　投資証券</t>
  </si>
  <si>
    <t>SAKURA SOGO REIT Investment Corporation</t>
  </si>
  <si>
    <t>3476</t>
  </si>
  <si>
    <t>投資法人みらい　投資証券</t>
  </si>
  <si>
    <t>MIRAI Corporation</t>
  </si>
  <si>
    <t>3478</t>
  </si>
  <si>
    <t>森トラスト・ホテルリート投資法人　投資証券</t>
  </si>
  <si>
    <t>MORI TRUST Hotel Reit,Inc.</t>
  </si>
  <si>
    <t>3481</t>
  </si>
  <si>
    <t>三菱地所物流リート投資法人　投資証券</t>
  </si>
  <si>
    <t>Mitsubishi Estate Logistics REIT Investment Corporation</t>
  </si>
  <si>
    <t>3487</t>
  </si>
  <si>
    <t>ＣＲＥロジスティクスファンド投資法人　投資証券</t>
  </si>
  <si>
    <t>CRE Logistics REIT,Inc.</t>
  </si>
  <si>
    <t>3488</t>
  </si>
  <si>
    <t>ザイマックス・リート投資法人　投資証券</t>
  </si>
  <si>
    <t>XYMAX REIT Investment Corporation</t>
  </si>
  <si>
    <t>3492</t>
  </si>
  <si>
    <t>タカラレーベン不動産投資法人　投資証券</t>
  </si>
  <si>
    <t>Takara Leben Real Estate Investment Corporation</t>
  </si>
  <si>
    <t>3493</t>
  </si>
  <si>
    <t>伊藤忠アドバンス・ロジスティクス投資法人　投資証券</t>
  </si>
  <si>
    <t>ITOCHU Advance Logistics Investment Corporation</t>
  </si>
  <si>
    <t>8951</t>
  </si>
  <si>
    <t>日本ビルファンド投資法人　投資証券</t>
  </si>
  <si>
    <t>Nippon Building Fund Inc.</t>
  </si>
  <si>
    <t>8952</t>
  </si>
  <si>
    <t>ジャパンリアルエステイト投資法人　投資証券</t>
  </si>
  <si>
    <t>Japan Real Estate Investment Corporation</t>
  </si>
  <si>
    <t>8953</t>
  </si>
  <si>
    <t>日本リテールファンド投資法人　投資証券</t>
  </si>
  <si>
    <t>Japan Retail Fund Investment Corporation</t>
  </si>
  <si>
    <t>8954</t>
  </si>
  <si>
    <t>オリックス不動産投資法人　投資証券</t>
  </si>
  <si>
    <t>ORIX JREIT Inc.</t>
  </si>
  <si>
    <t>8955</t>
  </si>
  <si>
    <t>日本プライムリアルティ投資法人　投資証券</t>
  </si>
  <si>
    <t>Japan Prime Realty Investment Corporation</t>
  </si>
  <si>
    <t>8956</t>
  </si>
  <si>
    <t>プレミア投資法人　投資証券</t>
  </si>
  <si>
    <t>Premier Investment Corporation</t>
  </si>
  <si>
    <t>8957</t>
  </si>
  <si>
    <t>東急リアル・エステート投資法人　投資証券</t>
  </si>
  <si>
    <t>TOKYU REIT, Inc.</t>
  </si>
  <si>
    <t>8958</t>
  </si>
  <si>
    <t>グローバル・ワン不動産投資法人　投資証券</t>
  </si>
  <si>
    <t>Global One Real Estate Investment Corporation</t>
  </si>
  <si>
    <t>8960</t>
  </si>
  <si>
    <t>ユナイテッド・アーバン投資法人　投資証券</t>
  </si>
  <si>
    <t>United Urban Investment Corporation</t>
  </si>
  <si>
    <t>8961</t>
  </si>
  <si>
    <t>森トラスト総合リート投資法人　投資証券</t>
  </si>
  <si>
    <t>MORI TRUST Sogo Reit, Inc.</t>
  </si>
  <si>
    <t>8963</t>
  </si>
  <si>
    <t>インヴィンシブル投資法人　投資証券</t>
  </si>
  <si>
    <t>Invincible Investment Corporation</t>
  </si>
  <si>
    <t>8964</t>
  </si>
  <si>
    <t>フロンティア不動産投資法人　投資証券</t>
  </si>
  <si>
    <t>Frontier Real Estate Investment Corporation</t>
  </si>
  <si>
    <t>8966</t>
  </si>
  <si>
    <t>平和不動産リート投資法人　投資証券</t>
  </si>
  <si>
    <t>HEIWA REAL ESTATE REIT,Inc.</t>
  </si>
  <si>
    <t>8967</t>
  </si>
  <si>
    <t>日本ロジスティクスファンド投資法人　投資証券</t>
  </si>
  <si>
    <t>Japan Logistics Fund,Inc.</t>
  </si>
  <si>
    <t>8968</t>
  </si>
  <si>
    <t>福岡リート投資法人　投資証券</t>
  </si>
  <si>
    <t>Fukuoka REIT Corporation</t>
  </si>
  <si>
    <t>8972</t>
  </si>
  <si>
    <t>ケネディクス・オフィス投資法人　投資証券</t>
  </si>
  <si>
    <t>Kenedix Office Investment Corporation</t>
  </si>
  <si>
    <t>8975</t>
  </si>
  <si>
    <t>いちごオフィスリート投資法人　投資証券</t>
  </si>
  <si>
    <t>Ichigo Office REIT Investment Corporation</t>
  </si>
  <si>
    <t>8976</t>
  </si>
  <si>
    <t>大和証券オフィス投資法人　投資証券</t>
  </si>
  <si>
    <t>Daiwa Office Investment Corporation</t>
  </si>
  <si>
    <t>8977</t>
  </si>
  <si>
    <t>阪急阪神リート投資法人　投資証券</t>
  </si>
  <si>
    <t>Hankyu Hanshin REIT,Inc.</t>
  </si>
  <si>
    <t>8979</t>
  </si>
  <si>
    <t>スターツプロシード投資法人　投資証券</t>
  </si>
  <si>
    <t>Starts Proceed Investment Corporation</t>
  </si>
  <si>
    <t>8984</t>
  </si>
  <si>
    <t>大和ハウスリート投資法人　投資証券</t>
  </si>
  <si>
    <t>Daiwa House REIT Investment Corporation</t>
  </si>
  <si>
    <t>8985</t>
  </si>
  <si>
    <t>ジャパン・ホテル・リート投資法人　投資証券</t>
  </si>
  <si>
    <t>Japan Hotel REIT Investment Corporation</t>
  </si>
  <si>
    <t>8986</t>
  </si>
  <si>
    <t>大和証券リビング投資法人　投資証券</t>
  </si>
  <si>
    <t>Daiwa Securities Living Investment Corporation</t>
  </si>
  <si>
    <t>8987</t>
  </si>
  <si>
    <t>ジャパンエクセレント投資法人　投資証券</t>
  </si>
  <si>
    <t>Japan Excellent,Inc.</t>
  </si>
  <si>
    <t>9281</t>
  </si>
  <si>
    <t>タカラレーベン・インフラ投資法人　投資証券</t>
  </si>
  <si>
    <t>Takara Leben Infrastructure Fund,Inc.</t>
  </si>
  <si>
    <t>9282</t>
  </si>
  <si>
    <t>いちごグリーンインフラ投資法人　投資証券</t>
  </si>
  <si>
    <t>Ichigo Green Infrastructure Investment Corporation</t>
  </si>
  <si>
    <t>9283</t>
  </si>
  <si>
    <t>日本再生可能エネルギーインフラ投資法人　投資証券</t>
  </si>
  <si>
    <t>Renewable Japan Energy Infrastructure Fund,Inc.</t>
  </si>
  <si>
    <t>9284</t>
  </si>
  <si>
    <t>カナディアン・ソーラー・インフラ投資法人　投資証券</t>
  </si>
  <si>
    <t>Canadian Solar Infrastructure Fund,Inc.</t>
  </si>
  <si>
    <t>9285</t>
  </si>
  <si>
    <t>東京インフラ・エネルギー投資法人　投資証券</t>
  </si>
  <si>
    <t>Tokyo Infrastructure Energy Investment Corporation</t>
  </si>
  <si>
    <t>9286</t>
  </si>
  <si>
    <t>エネクス・インフラ投資法人　投資証券</t>
  </si>
  <si>
    <t>Enex Infrastructure Investment Corporation</t>
  </si>
  <si>
    <t>9287</t>
  </si>
  <si>
    <t>ジャパン・インフラファンド投資法人　投資証券</t>
  </si>
  <si>
    <t>Japan Infrastructure Fund Investment Corporation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</si>
</sst>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_);[Red]\(0\)"/>
    <numFmt numFmtId="178" formatCode="_-&quot;｣&quot;* #,##0_-;\-&quot;｣&quot;* #,##0_-;_-&quot;｣&quot;* &quot;-&quot;_-;_-@_-"/>
    <numFmt numFmtId="179" formatCode="_-&quot;｣&quot;* #,##0.00_-;\-&quot;｣&quot;* #,##0.00_-;_-&quot;｣&quot;* &quot;-&quot;??_-;_-@_-"/>
    <numFmt numFmtId="180" formatCode="&quot;$&quot;#,##0;[Red]\-&quot;$&quot;#,##0"/>
    <numFmt numFmtId="181" formatCode="&quot;$&quot;#,##0.00;[Red]\-&quot;$&quot;#,##0.00"/>
    <numFmt numFmtId="182" formatCode="0.00_)"/>
    <numFmt numFmtId="183" formatCode="0.00000"/>
    <numFmt numFmtId="184" formatCode="_(* #,##0_);_(* \(#,##0\);_(* &quot;-&quot;_);_(@_)"/>
    <numFmt numFmtId="185" formatCode="#,##0.0&quot;人月&quot;"/>
    <numFmt numFmtId="186" formatCode="_(&quot;$&quot;* #,##0.00_);_(&quot;$&quot;* \(#,##0.00\);_(&quot;$&quot;* &quot;-&quot;??_);_(@_)"/>
    <numFmt numFmtId="187" formatCode="_(&quot;$&quot;* #,##0_);_(&quot;$&quot;* \(#,##0\);_(&quot;$&quot;* &quot;-&quot;_);_(@_)"/>
    <numFmt numFmtId="188" formatCode="0_)"/>
    <numFmt numFmtId="189" formatCode="#0"/>
  </numFmts>
  <fonts count="94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40"/>
      <name val="ＭＳ ゴシック"/>
      <family val="3"/>
      <charset val="128"/>
    </font>
    <font>
      <sz val="20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8"/>
      <name val="ＭＳ ゴシック"/>
      <family val="3"/>
      <charset val="128"/>
    </font>
    <font>
      <sz val="10"/>
      <color indexed="8"/>
      <name val="MS Sans Serif"/>
      <family val="2"/>
    </font>
    <font>
      <sz val="10"/>
      <color indexed="8"/>
      <name val="Arial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2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i/>
      <sz val="16"/>
      <name val="Helv"/>
      <family val="2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name val="明朝"/>
      <family val="1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strike/>
      <sz val="11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0"/>
      <name val="Courier"/>
      <family val="3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938">
    <xf borderId="0" fillId="0" fontId="0" numFmtId="0">
      <alignment vertical="center"/>
    </xf>
    <xf borderId="0" fillId="0" fontId="1" numFmtId="0">
      <alignment vertical="center"/>
    </xf>
    <xf borderId="0" fillId="0" fontId="8" numFmtId="0"/>
    <xf applyAlignment="0" applyBorder="0" applyFill="0" applyFont="0" applyProtection="0" borderId="0" fillId="0" fontId="2" numFmtId="9"/>
    <xf borderId="0" fillId="0" fontId="12" numFmtId="0"/>
    <xf borderId="0" fillId="0" fontId="8" numFmtId="0"/>
    <xf applyAlignment="0" applyBorder="0" applyNumberFormat="0" applyProtection="0" borderId="0" fillId="2" fontId="13" numFmtId="0"/>
    <xf applyAlignment="0" applyBorder="0" applyNumberFormat="0" applyProtection="0" borderId="0" fillId="3" fontId="13" numFmtId="0"/>
    <xf applyAlignment="0" applyBorder="0" applyNumberFormat="0" applyProtection="0" borderId="0" fillId="4" fontId="13" numFmtId="0"/>
    <xf applyAlignment="0" applyBorder="0" applyNumberFormat="0" applyProtection="0" borderId="0" fillId="5" fontId="13" numFmtId="0"/>
    <xf applyAlignment="0" applyBorder="0" applyNumberFormat="0" applyProtection="0" borderId="0" fillId="6" fontId="13" numFmtId="0"/>
    <xf applyAlignment="0" applyBorder="0" applyNumberFormat="0" applyProtection="0" borderId="0" fillId="7" fontId="13" numFmtId="0"/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8" fontId="13" numFmtId="0"/>
    <xf applyAlignment="0" applyBorder="0" applyNumberFormat="0" applyProtection="0" borderId="0" fillId="9" fontId="13" numFmtId="0"/>
    <xf applyAlignment="0" applyBorder="0" applyNumberFormat="0" applyProtection="0" borderId="0" fillId="10" fontId="13" numFmtId="0"/>
    <xf applyAlignment="0" applyBorder="0" applyNumberFormat="0" applyProtection="0" borderId="0" fillId="5" fontId="13" numFmtId="0"/>
    <xf applyAlignment="0" applyBorder="0" applyNumberFormat="0" applyProtection="0" borderId="0" fillId="8" fontId="13" numFmtId="0"/>
    <xf applyAlignment="0" applyBorder="0" applyNumberFormat="0" applyProtection="0" borderId="0" fillId="11" fontId="13" numFmtId="0"/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2" fontId="15" numFmtId="0"/>
    <xf applyAlignment="0" applyBorder="0" applyNumberFormat="0" applyProtection="0" borderId="0" fillId="9" fontId="15" numFmtId="0"/>
    <xf applyAlignment="0" applyBorder="0" applyNumberFormat="0" applyProtection="0" borderId="0" fillId="10" fontId="15" numFmtId="0"/>
    <xf applyAlignment="0" applyBorder="0" applyNumberFormat="0" applyProtection="0" borderId="0" fillId="13" fontId="15" numFmtId="0"/>
    <xf applyAlignment="0" applyBorder="0" applyNumberFormat="0" applyProtection="0" borderId="0" fillId="14" fontId="15" numFmtId="0"/>
    <xf applyAlignment="0" applyBorder="0" applyNumberFormat="0" applyProtection="0" borderId="0" fillId="15" fontId="15" numFmtId="0"/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6" fontId="15" numFmtId="0"/>
    <xf applyAlignment="0" applyBorder="0" applyNumberFormat="0" applyProtection="0" borderId="0" fillId="17" fontId="15" numFmtId="0"/>
    <xf applyAlignment="0" applyBorder="0" applyNumberFormat="0" applyProtection="0" borderId="0" fillId="18" fontId="15" numFmtId="0"/>
    <xf applyAlignment="0" applyBorder="0" applyNumberFormat="0" applyProtection="0" borderId="0" fillId="13" fontId="15" numFmtId="0"/>
    <xf applyAlignment="0" applyBorder="0" applyNumberFormat="0" applyProtection="0" borderId="0" fillId="14" fontId="15" numFmtId="0"/>
    <xf applyAlignment="0" applyBorder="0" applyNumberFormat="0" applyProtection="0" borderId="0" fillId="19" fontId="15" numFmtId="0"/>
    <xf borderId="0" fillId="0" fontId="17" numFmtId="0">
      <alignment horizontal="center" wrapText="1"/>
      <protection locked="0"/>
    </xf>
    <xf borderId="0" fillId="0" fontId="18" numFmtId="0"/>
    <xf applyAlignment="0" applyBorder="0" applyNumberFormat="0" applyProtection="0" borderId="0" fillId="3" fontId="19" numFmtId="0"/>
    <xf applyAlignment="0" applyBorder="0" applyFill="0" applyNumberFormat="0" applyProtection="0" borderId="0" fillId="0" fontId="20" numFmtId="0"/>
    <xf applyAlignment="0" applyBorder="0" applyFill="0" borderId="0" fillId="0" fontId="13" numFmtId="176"/>
    <xf applyAlignment="0" applyBorder="0" applyFill="0" borderId="0" fillId="0" fontId="7" numFmtId="177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8" fillId="21" fontId="22" numFmtId="0"/>
    <xf borderId="0" fillId="0" fontId="23" numFmtId="0">
      <alignment vertical="top" wrapText="1"/>
    </xf>
    <xf applyAlignment="0" applyBorder="0" applyFill="0" applyFont="0" applyProtection="0" borderId="0" fillId="0" fontId="24" numFmtId="41"/>
    <xf applyAlignment="0" applyBorder="0" applyFill="0" applyFont="0" applyProtection="0" borderId="0" fillId="0" fontId="24" numFmtId="43"/>
    <xf applyAlignment="0" applyBorder="0" applyFill="0" applyFont="0" applyProtection="0" borderId="0" fillId="0" fontId="24" numFmtId="178"/>
    <xf applyAlignment="0" applyBorder="0" applyFill="0" applyFont="0" applyProtection="0" borderId="0" fillId="0" fontId="24" numFmtId="179"/>
    <xf borderId="0" fillId="0" fontId="25" numFmtId="0">
      <alignment horizontal="left"/>
    </xf>
    <xf applyAlignment="0" applyBorder="0" applyFill="0" applyNumberFormat="0" applyProtection="0" borderId="0" fillId="0" fontId="26" numFmtId="0"/>
    <xf applyAlignment="0" applyBorder="0" applyNumberFormat="0" applyProtection="0" borderId="0" fillId="4" fontId="27" numFmtId="0"/>
    <xf applyAlignment="0" applyBorder="0" applyNumberFormat="0" applyProtection="0" borderId="0" fillId="22" fontId="28" numFmtId="38"/>
    <xf borderId="0" fillId="23" fontId="29" numFmtId="0"/>
    <xf applyAlignment="0" applyNumberFormat="0" applyProtection="0" borderId="29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applyAlignment="0" applyFill="0" applyNumberFormat="0" applyProtection="0" borderId="30" fillId="0" fontId="31" numFmtId="0"/>
    <xf applyAlignment="0" applyFill="0" applyNumberFormat="0" applyProtection="0" borderId="31" fillId="0" fontId="32" numFmtId="0"/>
    <xf applyAlignment="0" applyFill="0" applyNumberFormat="0" applyProtection="0" borderId="32" fillId="0" fontId="33" numFmtId="0"/>
    <xf applyAlignment="0" applyBorder="0" applyFill="0" applyNumberFormat="0" applyProtection="0" borderId="0" fillId="0" fontId="33" numFmtId="0"/>
    <xf applyBorder="0" borderId="0" fillId="0" fontId="7" numFmtId="0"/>
    <xf applyAlignment="0" applyNumberFormat="0" applyProtection="0" borderId="27" fillId="7" fontId="34" numFmtId="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borderId="0" fillId="0" fontId="7" numFmtId="0"/>
    <xf applyAlignment="0" applyFill="0" applyNumberFormat="0" applyProtection="0" borderId="33" fillId="0" fontId="35" numFmtId="0"/>
    <xf applyAlignment="0" applyBorder="0" applyFill="0" applyFont="0" applyProtection="0" borderId="0" fillId="0" fontId="36" numFmtId="38"/>
    <xf applyAlignment="0" applyBorder="0" applyFill="0" applyFont="0" applyProtection="0" borderId="0" fillId="0" fontId="36" numFmtId="40"/>
    <xf applyAlignment="0" applyBorder="0" applyFill="0" applyFont="0" applyProtection="0" borderId="0" fillId="0" fontId="36" numFmtId="180"/>
    <xf applyAlignment="0" applyBorder="0" applyFill="0" applyFont="0" applyProtection="0" borderId="0" fillId="0" fontId="36" numFmtId="181"/>
    <xf applyAlignment="0" applyBorder="0" applyNumberFormat="0" applyProtection="0" borderId="0" fillId="25" fontId="37" numFmtId="0"/>
    <xf borderId="0" fillId="0" fontId="38" numFmtId="37"/>
    <xf borderId="0" fillId="0" fontId="39" numFmtId="182"/>
    <xf borderId="0" fillId="0" fontId="7" numFmtId="183"/>
    <xf borderId="0" fillId="0" fontId="7" numFmtId="183"/>
    <xf borderId="0" fillId="0" fontId="39" numFmtId="182"/>
    <xf borderId="0" fillId="0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borderId="0" fillId="0" fontId="17" numFmtId="14">
      <alignment horizontal="center" wrapText="1"/>
      <protection locked="0"/>
    </xf>
    <xf applyAlignment="0" applyBorder="0" applyFill="0" applyFont="0" applyProtection="0" borderId="0" fillId="0" fontId="24" numFmtId="10"/>
    <xf borderId="0" fillId="0" fontId="25" numFmtId="4">
      <alignment horizontal="right"/>
    </xf>
    <xf applyAlignment="0" applyBorder="0" applyFill="0" applyFont="0" applyNumberFormat="0" applyProtection="0" borderId="0" fillId="0" fontId="41" numFmtId="0">
      <alignment horizontal="left"/>
    </xf>
    <xf borderId="36" fillId="0" fontId="42" numFmtId="0">
      <alignment horizontal="center"/>
    </xf>
    <xf applyAlignment="0" applyBorder="0" applyFill="0" applyFont="0" applyNumberFormat="0" borderId="0" fillId="0" fontId="43" numFmtId="0"/>
    <xf borderId="0" fillId="0" fontId="44" numFmtId="4">
      <alignment horizontal="right"/>
    </xf>
    <xf borderId="0" fillId="0" fontId="45" numFmtId="0">
      <alignment horizontal="left"/>
    </xf>
    <xf borderId="0" fillId="0" fontId="46" numFmtId="0"/>
    <xf borderId="0" fillId="0" fontId="47" numFmtId="0">
      <alignment horizontal="center"/>
    </xf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Border="0" applyFill="0" applyNumberFormat="0" applyProtection="0" borderId="0" fillId="0" fontId="49" numFmtId="0"/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borderId="0" fillId="0" fontId="50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NumberFormat="0" applyProtection="0" borderId="28" fillId="21" fontId="52" numFmtId="0">
      <alignment vertical="center"/>
    </xf>
    <xf applyAlignment="0" applyNumberFormat="0" applyProtection="0" borderId="28" fillId="21" fontId="52" numFmtId="0">
      <alignment vertical="center"/>
    </xf>
    <xf applyAlignment="0" applyNumberFormat="0" applyProtection="0" borderId="28" fillId="21" fontId="52" numFmtId="0">
      <alignment vertical="center"/>
    </xf>
    <xf applyAlignment="0" applyNumberFormat="0" applyProtection="0" borderId="28" fillId="21" fontId="52" numFmtId="0">
      <alignment vertical="center"/>
    </xf>
    <xf applyAlignment="0" applyNumberFormat="0" applyProtection="0" borderId="28" fillId="21" fontId="52" numFmtId="0">
      <alignment vertical="center"/>
    </xf>
    <xf applyAlignment="0" applyNumberFormat="0" applyProtection="0" borderId="28" fillId="21" fontId="52" numFmtId="0">
      <alignment vertical="center"/>
    </xf>
    <xf applyAlignment="0" applyNumberFormat="0" applyProtection="0" borderId="28" fillId="21" fontId="52" numFmtId="0">
      <alignment vertical="center"/>
    </xf>
    <xf applyAlignment="0" applyNumberFormat="0" applyProtection="0" borderId="28" fillId="21" fontId="52" numFmtId="0">
      <alignment vertical="center"/>
    </xf>
    <xf borderId="0" fillId="0" fontId="53" numFmtId="0"/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Fill="0" applyFont="0" applyProtection="0" borderId="0" fillId="0" fontId="8" numFmtId="9"/>
    <xf applyAlignment="0" applyBorder="0" applyFill="0" applyFont="0" applyProtection="0" borderId="0" fillId="0" fontId="8" numFmtId="9">
      <alignment vertical="center"/>
    </xf>
    <xf applyAlignment="0" applyBorder="0" applyFill="0" applyFont="0" applyProtection="0" borderId="0" fillId="0" fontId="8" numFmtId="9"/>
    <xf applyAlignment="0" applyBorder="0" applyFill="0" applyNumberFormat="0" applyProtection="0" borderId="0" fillId="0" fontId="55" numFmtId="0">
      <alignment vertical="top"/>
      <protection locked="0"/>
    </xf>
    <xf applyAlignment="0" applyBorder="0" applyFill="0" applyNumberFormat="0" applyProtection="0" borderId="0" fillId="0" fontId="56" numFmtId="0">
      <alignment vertical="top"/>
      <protection locked="0"/>
    </xf>
    <xf applyAlignment="0" applyBorder="0" applyFill="0" applyNumberFormat="0" applyProtection="0" borderId="0" fillId="0" fontId="55" numFmtId="0">
      <alignment vertical="top"/>
      <protection locked="0"/>
    </xf>
    <xf applyAlignment="0" applyBorder="0" applyFill="0" applyNumberFormat="0" applyProtection="0" borderId="0" fillId="0" fontId="57" numFmtId="0">
      <alignment vertical="top"/>
      <protection locked="0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7" numFmtId="0">
      <alignment vertical="center"/>
    </xf>
    <xf applyAlignment="0" applyFont="0" applyNumberFormat="0" applyProtection="0" borderId="34" fillId="26" fontId="7" numFmtId="0">
      <alignment vertical="center"/>
    </xf>
    <xf applyAlignment="0" applyFont="0" applyNumberFormat="0" applyProtection="0" borderId="34" fillId="26" fontId="7" numFmtId="0">
      <alignment vertical="center"/>
    </xf>
    <xf applyAlignment="0" applyFont="0" applyNumberFormat="0" applyProtection="0" borderId="34" fillId="26" fontId="7" numFmtId="0">
      <alignment vertical="center"/>
    </xf>
    <xf applyAlignment="0" applyFont="0" applyNumberFormat="0" applyProtection="0" borderId="34" fillId="26" fontId="7" numFmtId="0">
      <alignment vertical="center"/>
    </xf>
    <xf applyAlignment="0" applyFont="0" applyNumberFormat="0" applyProtection="0" borderId="34" fillId="26" fontId="7" numFmtId="0">
      <alignment vertical="center"/>
    </xf>
    <xf applyAlignment="0" applyFont="0" applyNumberFormat="0" applyProtection="0" borderId="34" fillId="26" fontId="7" numFmtId="0">
      <alignment vertical="center"/>
    </xf>
    <xf applyAlignment="0" applyFont="0" applyNumberFormat="0" applyProtection="0" borderId="34" fillId="26" fontId="7" numFmtId="0">
      <alignment vertical="center"/>
    </xf>
    <xf applyAlignment="0" applyFont="0" applyNumberFormat="0" applyProtection="0" borderId="34" fillId="26" fontId="7" numFmtId="0">
      <alignment vertical="center"/>
    </xf>
    <xf applyAlignment="0" applyFont="0" applyNumberFormat="0" applyProtection="0" borderId="34" fillId="26" fontId="7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7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ill="0" applyNumberFormat="0" applyProtection="0" borderId="33" fillId="0" fontId="58" numFmtId="0">
      <alignment vertical="center"/>
    </xf>
    <xf applyAlignment="0" applyFill="0" applyNumberFormat="0" applyProtection="0" borderId="33" fillId="0" fontId="58" numFmtId="0">
      <alignment vertical="center"/>
    </xf>
    <xf applyAlignment="0" applyFill="0" applyNumberFormat="0" applyProtection="0" borderId="33" fillId="0" fontId="58" numFmtId="0">
      <alignment vertical="center"/>
    </xf>
    <xf applyAlignment="0" applyFill="0" applyNumberFormat="0" applyProtection="0" borderId="33" fillId="0" fontId="58" numFmtId="0">
      <alignment vertical="center"/>
    </xf>
    <xf applyAlignment="0" applyFill="0" applyNumberFormat="0" applyProtection="0" borderId="33" fillId="0" fontId="58" numFmtId="0">
      <alignment vertical="center"/>
    </xf>
    <xf applyAlignment="0" applyFill="0" applyNumberFormat="0" applyProtection="0" borderId="33" fillId="0" fontId="58" numFmtId="0">
      <alignment vertical="center"/>
    </xf>
    <xf applyAlignment="0" applyFill="0" applyNumberFormat="0" applyProtection="0" borderId="33" fillId="0" fontId="58" numFmtId="0">
      <alignment vertical="center"/>
    </xf>
    <xf applyAlignment="0" applyFill="0" applyNumberFormat="0" applyProtection="0" borderId="33" fillId="0" fontId="58" numFmtId="0">
      <alignment vertical="center"/>
    </xf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Font="0" applyProtection="0" borderId="0" fillId="0" fontId="24" numFmtId="43"/>
    <xf applyAlignment="0" applyBorder="0" applyFill="0" applyFont="0" applyProtection="0" borderId="0" fillId="0" fontId="63" numFmtId="38"/>
    <xf applyAlignment="0" applyBorder="0" applyFill="0" applyFont="0" applyProtection="0" borderId="0" fillId="0" fontId="8" numFmtId="38"/>
    <xf applyAlignment="0" applyBorder="0" applyFill="0" applyFont="0" applyProtection="0" borderId="0" fillId="0" fontId="64" numFmtId="38">
      <alignment vertical="center"/>
    </xf>
    <xf applyAlignment="0" applyBorder="0" applyFill="0" applyFont="0" applyProtection="0" borderId="0" fillId="0" fontId="65" numFmtId="38"/>
    <xf applyAlignment="0" applyBorder="0" applyFill="0" applyFont="0" applyProtection="0" borderId="0" fillId="0" fontId="8" numFmtId="38">
      <alignment vertical="center"/>
    </xf>
    <xf applyAlignment="0" applyBorder="0" applyFill="0" applyFont="0" applyProtection="0" borderId="0" fillId="0" fontId="8" numFmtId="38"/>
    <xf applyAlignment="0" applyBorder="0" applyFill="0" applyFont="0" applyProtection="0" borderId="0" fillId="0" fontId="65" numFmtId="38"/>
    <xf applyAlignment="0" applyBorder="0" applyFill="0" applyFont="0" applyProtection="0" borderId="0" fillId="0" fontId="8" numFmtId="38"/>
    <xf applyAlignment="0" applyBorder="0" applyFill="0" applyFont="0" applyProtection="0" borderId="0" fillId="0" fontId="8" numFmtId="38">
      <alignment vertical="center"/>
    </xf>
    <xf applyAlignment="0" applyBorder="0" applyFill="0" applyFont="0" applyProtection="0" borderId="0" fillId="0" fontId="8" numFmtId="38"/>
    <xf applyAlignment="0" applyBorder="0" applyFill="0" applyFont="0" applyProtection="0" borderId="0" fillId="0" fontId="8" numFmtId="38">
      <alignment vertical="center"/>
    </xf>
    <xf applyAlignment="0" applyBorder="0" applyFill="0" applyFont="0" applyProtection="0" borderId="0" fillId="0" fontId="8" numFmtId="38">
      <alignment vertical="center"/>
    </xf>
    <xf applyAlignment="0" applyBorder="0" applyFill="0" applyFont="0" applyProtection="0" borderId="0" fillId="0" fontId="24" numFmtId="184"/>
    <xf applyAlignment="0" applyBorder="0" applyFill="0" applyFont="0" applyProtection="0" borderId="0" fillId="0" fontId="8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8" numFmtId="38"/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8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8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8" numFmtId="38"/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8" numFmtId="38"/>
    <xf applyAlignment="0" applyFill="0" applyNumberFormat="0" applyProtection="0" borderId="30" fillId="0" fontId="67" numFmtId="0">
      <alignment vertical="center"/>
    </xf>
    <xf applyAlignment="0" applyFill="0" applyNumberFormat="0" applyProtection="0" borderId="30" fillId="0" fontId="67" numFmtId="0">
      <alignment vertical="center"/>
    </xf>
    <xf applyAlignment="0" applyFill="0" applyNumberFormat="0" applyProtection="0" borderId="30" fillId="0" fontId="67" numFmtId="0">
      <alignment vertical="center"/>
    </xf>
    <xf applyAlignment="0" applyFill="0" applyNumberFormat="0" applyProtection="0" borderId="30" fillId="0" fontId="67" numFmtId="0">
      <alignment vertical="center"/>
    </xf>
    <xf applyAlignment="0" applyFill="0" applyNumberFormat="0" applyProtection="0" borderId="30" fillId="0" fontId="67" numFmtId="0">
      <alignment vertical="center"/>
    </xf>
    <xf applyAlignment="0" applyFill="0" applyNumberFormat="0" applyProtection="0" borderId="30" fillId="0" fontId="67" numFmtId="0">
      <alignment vertical="center"/>
    </xf>
    <xf applyAlignment="0" applyFill="0" applyNumberFormat="0" applyProtection="0" borderId="30" fillId="0" fontId="67" numFmtId="0">
      <alignment vertical="center"/>
    </xf>
    <xf applyAlignment="0" applyFill="0" applyNumberFormat="0" applyProtection="0" borderId="30" fillId="0" fontId="67" numFmtId="0">
      <alignment vertical="center"/>
    </xf>
    <xf applyAlignment="0" applyFill="0" applyNumberFormat="0" applyProtection="0" borderId="31" fillId="0" fontId="68" numFmtId="0">
      <alignment vertical="center"/>
    </xf>
    <xf applyAlignment="0" applyFill="0" applyNumberFormat="0" applyProtection="0" borderId="31" fillId="0" fontId="68" numFmtId="0">
      <alignment vertical="center"/>
    </xf>
    <xf applyAlignment="0" applyFill="0" applyNumberFormat="0" applyProtection="0" borderId="31" fillId="0" fontId="68" numFmtId="0">
      <alignment vertical="center"/>
    </xf>
    <xf applyAlignment="0" applyFill="0" applyNumberFormat="0" applyProtection="0" borderId="31" fillId="0" fontId="68" numFmtId="0">
      <alignment vertical="center"/>
    </xf>
    <xf applyAlignment="0" applyFill="0" applyNumberFormat="0" applyProtection="0" borderId="31" fillId="0" fontId="68" numFmtId="0">
      <alignment vertical="center"/>
    </xf>
    <xf applyAlignment="0" applyFill="0" applyNumberFormat="0" applyProtection="0" borderId="31" fillId="0" fontId="68" numFmtId="0">
      <alignment vertical="center"/>
    </xf>
    <xf applyAlignment="0" applyFill="0" applyNumberFormat="0" applyProtection="0" borderId="31" fillId="0" fontId="68" numFmtId="0">
      <alignment vertical="center"/>
    </xf>
    <xf applyAlignment="0" applyFill="0" applyNumberFormat="0" applyProtection="0" borderId="31" fillId="0" fontId="68" numFmtId="0">
      <alignment vertical="center"/>
    </xf>
    <xf applyAlignment="0" applyFill="0" applyNumberFormat="0" applyProtection="0" borderId="32" fillId="0" fontId="69" numFmtId="0">
      <alignment vertical="center"/>
    </xf>
    <xf applyAlignment="0" applyFill="0" applyNumberFormat="0" applyProtection="0" borderId="32" fillId="0" fontId="69" numFmtId="0">
      <alignment vertical="center"/>
    </xf>
    <xf applyAlignment="0" applyFill="0" applyNumberFormat="0" applyProtection="0" borderId="32" fillId="0" fontId="69" numFmtId="0">
      <alignment vertical="center"/>
    </xf>
    <xf applyAlignment="0" applyFill="0" applyNumberFormat="0" applyProtection="0" borderId="32" fillId="0" fontId="69" numFmtId="0">
      <alignment vertical="center"/>
    </xf>
    <xf applyAlignment="0" applyFill="0" applyNumberFormat="0" applyProtection="0" borderId="32" fillId="0" fontId="69" numFmtId="0">
      <alignment vertical="center"/>
    </xf>
    <xf applyAlignment="0" applyFill="0" applyNumberFormat="0" applyProtection="0" borderId="32" fillId="0" fontId="69" numFmtId="0">
      <alignment vertical="center"/>
    </xf>
    <xf applyAlignment="0" applyFill="0" applyNumberFormat="0" applyProtection="0" borderId="32" fillId="0" fontId="69" numFmtId="0">
      <alignment vertical="center"/>
    </xf>
    <xf applyAlignment="0" applyFill="0" applyNumberFormat="0" applyProtection="0" borderId="32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borderId="0" fillId="0" fontId="70" numFmtId="0"/>
    <xf applyBorder="0" applyFill="0" applyNumberFormat="0" applyProtection="0" borderId="17" fillId="27" fontId="71" numFmtId="49"/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borderId="0" fillId="0" fontId="59" numFmtId="185"/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Font="0" applyProtection="0" borderId="0" fillId="0" fontId="24" numFmtId="186"/>
    <xf applyAlignment="0" applyBorder="0" applyFill="0" applyFont="0" applyProtection="0" borderId="0" fillId="0" fontId="24" numFmtId="187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8" numFmtId="6"/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75" numFmtId="6">
      <alignment vertical="center"/>
    </xf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8" numFmtId="6"/>
    <xf applyAlignment="0" applyBorder="0" applyFill="0" applyFont="0" applyProtection="0" borderId="0" fillId="0" fontId="7" numFmtId="6">
      <alignment vertical="center"/>
    </xf>
    <xf applyAlignment="0" applyBorder="0" applyFill="0" applyFont="0" applyProtection="0" borderId="0" fillId="0" fontId="8" numFmtId="6"/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borderId="0" fillId="0" fontId="77" numFmtId="0">
      <alignment vertical="center"/>
    </xf>
    <xf borderId="0" fillId="0" fontId="77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7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78" numFmtId="0">
      <alignment vertical="center"/>
    </xf>
    <xf borderId="0" fillId="0" fontId="78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64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/>
    <xf borderId="0" fillId="0" fontId="2" numFmtId="0"/>
    <xf borderId="0" fillId="0" fontId="64" numFmtId="0">
      <alignment vertical="center"/>
    </xf>
    <xf borderId="0" fillId="0" fontId="2" numFmtId="0"/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/>
    <xf borderId="0" fillId="0" fontId="66" numFmtId="0">
      <alignment vertical="center"/>
    </xf>
    <xf borderId="0" fillId="0" fontId="8" numFmtId="0"/>
    <xf borderId="0" fillId="0" fontId="79" numFmtId="0">
      <alignment vertical="center"/>
    </xf>
    <xf borderId="0" fillId="0" fontId="66" numFmtId="0">
      <alignment vertical="center"/>
    </xf>
    <xf borderId="0" fillId="0" fontId="8" numFmtId="0"/>
    <xf borderId="0" fillId="0" fontId="8" numFmtId="0"/>
    <xf borderId="0" fillId="0" fontId="8" numFmtId="0"/>
    <xf borderId="0" fillId="0" fontId="8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/>
    <xf borderId="0" fillId="0" fontId="66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66" numFmtId="0"/>
    <xf borderId="0" fillId="0" fontId="66" numFmtId="0"/>
    <xf borderId="0" fillId="0" fontId="66" numFmtId="0">
      <alignment vertical="center"/>
    </xf>
    <xf borderId="0" fillId="0" fontId="81" numFmtId="0">
      <alignment vertical="center"/>
    </xf>
    <xf borderId="0" fillId="0" fontId="66" numFmtId="0"/>
    <xf borderId="0" fillId="0" fontId="81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8" numFmtId="0">
      <alignment vertical="center"/>
    </xf>
    <xf borderId="0" fillId="0" fontId="8" numFmtId="0"/>
    <xf borderId="0" fillId="0" fontId="82" numFmtId="0">
      <alignment vertical="center"/>
    </xf>
    <xf borderId="0" fillId="0" fontId="8" numFmtId="0"/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2" numFmtId="0"/>
    <xf borderId="0" fillId="0" fontId="66" numFmtId="0">
      <alignment vertical="center"/>
    </xf>
    <xf borderId="0" fillId="0" fontId="66" numFmtId="0">
      <alignment vertical="center"/>
    </xf>
    <xf borderId="0" fillId="0" fontId="2" numFmtId="0"/>
    <xf borderId="0" fillId="0" fontId="64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/>
    <xf borderId="0" fillId="0" fontId="66" numFmtId="0">
      <alignment vertical="center"/>
    </xf>
    <xf borderId="0" fillId="0" fontId="8" numFmtId="0"/>
    <xf borderId="0" fillId="0" fontId="7" numFmtId="0">
      <alignment vertical="center"/>
    </xf>
    <xf borderId="0" fillId="0" fontId="83" numFmtId="0"/>
    <xf borderId="0" fillId="0" fontId="66" numFmtId="0"/>
    <xf borderId="0" fillId="0" fontId="7" numFmtId="0">
      <alignment vertical="center"/>
    </xf>
    <xf borderId="0" fillId="0" fontId="66" numFmtId="0">
      <alignment vertical="center"/>
    </xf>
    <xf borderId="0" fillId="0" fontId="66" numFmtId="0"/>
    <xf borderId="0" fillId="0" fontId="8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77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2" numFmtId="0"/>
    <xf borderId="0" fillId="0" fontId="79" numFmtId="0">
      <alignment vertical="center"/>
    </xf>
    <xf borderId="0" fillId="0" fontId="2" numFmtId="0"/>
    <xf borderId="0" fillId="0" fontId="8" numFmtId="0">
      <alignment vertical="center"/>
    </xf>
    <xf borderId="0" fillId="0" fontId="8" numFmtId="0"/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8" numFmtId="0"/>
    <xf borderId="0" fillId="0" fontId="8" numFmtId="0"/>
    <xf borderId="0" fillId="0" fontId="14" numFmtId="0">
      <alignment vertical="center"/>
    </xf>
    <xf borderId="0" fillId="0" fontId="8" numFmtId="0"/>
    <xf borderId="0" fillId="0" fontId="66" numFmtId="0">
      <alignment vertical="center"/>
    </xf>
    <xf borderId="0" fillId="0" fontId="8" numFmtId="0"/>
    <xf borderId="0" fillId="0" fontId="66" numFmtId="0"/>
    <xf borderId="0" fillId="0" fontId="66" numFmtId="0"/>
    <xf borderId="0" fillId="0" fontId="8" numFmtId="0"/>
    <xf borderId="0" fillId="0" fontId="8" numFmtId="0">
      <alignment vertical="center"/>
    </xf>
    <xf borderId="0" fillId="0" fontId="64" numFmtId="0">
      <alignment vertical="center"/>
    </xf>
    <xf borderId="0" fillId="0" fontId="83" numFmtId="0"/>
    <xf borderId="0" fillId="0" fontId="64" numFmtId="0">
      <alignment vertical="center"/>
    </xf>
    <xf borderId="0" fillId="0" fontId="8" numFmtId="0"/>
    <xf borderId="0" fillId="0" fontId="8" numFmtId="0">
      <alignment vertical="center"/>
    </xf>
    <xf borderId="0" fillId="0" fontId="83" numFmtId="0"/>
    <xf borderId="0" fillId="0" fontId="8" numFmtId="0"/>
    <xf borderId="0" fillId="0" fontId="8" numFmtId="0"/>
    <xf borderId="0" fillId="0" fontId="83" numFmtId="0"/>
    <xf borderId="0" fillId="0" fontId="8" numFmtId="0">
      <alignment vertical="center"/>
    </xf>
    <xf borderId="0" fillId="0" fontId="8" numFmtId="0"/>
    <xf borderId="0" fillId="0" fontId="8" numFmtId="0">
      <alignment vertical="center"/>
    </xf>
    <xf borderId="0" fillId="0" fontId="83" numFmtId="0"/>
    <xf borderId="0" fillId="0" fontId="83" numFmtId="0"/>
    <xf borderId="0" fillId="0" fontId="8" numFmtId="0"/>
    <xf borderId="0" fillId="0" fontId="83" numFmtId="0"/>
    <xf borderId="0" fillId="0" fontId="14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/>
    <xf borderId="0" fillId="0" fontId="84" numFmtId="0">
      <alignment vertical="center"/>
    </xf>
    <xf borderId="0" fillId="0" fontId="8" numFmtId="0"/>
    <xf borderId="0" fillId="0" fontId="8" numFmtId="0"/>
    <xf borderId="0" fillId="0" fontId="66" numFmtId="0"/>
    <xf borderId="0" fillId="0" fontId="66" numFmtId="0"/>
    <xf borderId="0" fillId="0" fontId="8" numFmtId="0"/>
    <xf borderId="0" fillId="0" fontId="8" numFmtId="0"/>
    <xf borderId="0" fillId="0" fontId="7" numFmtId="0">
      <alignment vertical="center"/>
    </xf>
    <xf borderId="0" fillId="0" fontId="8" numFmtId="0"/>
    <xf borderId="0" fillId="0" fontId="8" numFmtId="0"/>
    <xf borderId="0" fillId="0" fontId="66" numFmtId="0">
      <alignment vertical="center"/>
    </xf>
    <xf borderId="0" fillId="0" fontId="8" numFmtId="0"/>
    <xf borderId="0" fillId="0" fontId="8" numFmtId="0"/>
    <xf borderId="0" fillId="0" fontId="66" numFmtId="0">
      <alignment vertical="center"/>
    </xf>
    <xf borderId="0" fillId="0" fontId="8" numFmtId="0"/>
    <xf borderId="0" fillId="0" fontId="8" numFmtId="0"/>
    <xf borderId="0" fillId="0" fontId="66" numFmtId="0">
      <alignment vertical="center"/>
    </xf>
    <xf borderId="0" fillId="0" fontId="8" numFmtId="0"/>
    <xf borderId="0" fillId="0" fontId="8" numFmtId="0"/>
    <xf borderId="0" fillId="0" fontId="8" numFmtId="0">
      <alignment vertical="center"/>
    </xf>
    <xf borderId="0" fillId="0" fontId="8" numFmtId="0"/>
    <xf borderId="0" fillId="0" fontId="8" numFmtId="0"/>
    <xf borderId="0" fillId="0" fontId="8" numFmtId="0"/>
    <xf borderId="0" fillId="0" fontId="66" numFmtId="0">
      <alignment vertical="center"/>
    </xf>
    <xf borderId="0" fillId="0" fontId="66" numFmtId="0">
      <alignment vertical="center"/>
    </xf>
    <xf borderId="0" fillId="0" fontId="64" numFmtId="0"/>
    <xf borderId="0" fillId="0" fontId="8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85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8" numFmtId="0"/>
    <xf borderId="0" fillId="0" fontId="8" numFmtId="0"/>
    <xf borderId="0" fillId="0" fontId="8" numFmtId="0"/>
    <xf borderId="0" fillId="0" fontId="8" numFmtId="0"/>
    <xf borderId="0" fillId="0" fontId="86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82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7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/>
    <xf borderId="0" fillId="0" fontId="8" numFmtId="0">
      <alignment vertical="center"/>
    </xf>
    <xf borderId="0" fillId="0" fontId="1" numFmtId="0">
      <alignment vertical="center"/>
    </xf>
    <xf borderId="0" fillId="0" fontId="87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/>
    <xf borderId="0" fillId="0" fontId="87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8" numFmtId="0"/>
    <xf borderId="0" fillId="0" fontId="8" numFmtId="0"/>
    <xf borderId="0" fillId="0" fontId="66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66" numFmtId="0">
      <alignment vertical="center"/>
    </xf>
    <xf borderId="0" fillId="0" fontId="66" numFmtId="0">
      <alignment vertical="center"/>
    </xf>
    <xf borderId="0" fillId="0" fontId="8" numFmtId="0"/>
    <xf borderId="0" fillId="0" fontId="66" numFmtId="0">
      <alignment vertical="center"/>
    </xf>
    <xf borderId="0" fillId="0" fontId="8" numFmtId="0"/>
    <xf borderId="0" fillId="0" fontId="8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2" numFmtId="0">
      <alignment vertical="center"/>
    </xf>
    <xf borderId="0" fillId="0" fontId="8" numFmtId="0"/>
    <xf borderId="0" fillId="0" fontId="8" numFmtId="0">
      <alignment vertical="center"/>
    </xf>
    <xf borderId="0" fillId="0" fontId="82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87" numFmtId="0">
      <alignment vertical="center"/>
    </xf>
    <xf borderId="0" fillId="0" fontId="87" numFmtId="0">
      <alignment vertical="center"/>
    </xf>
    <xf borderId="0" fillId="0" fontId="8" numFmtId="0">
      <alignment vertical="center"/>
    </xf>
    <xf borderId="0" fillId="0" fontId="87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/>
    <xf borderId="0" fillId="0" fontId="2" numFmtId="0"/>
    <xf borderId="0" fillId="0" fontId="87" numFmtId="0">
      <alignment vertical="center"/>
    </xf>
    <xf borderId="0" fillId="0" fontId="2" numFmtId="0"/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/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8" numFmtId="0"/>
    <xf borderId="0" fillId="0" fontId="89" numFmtId="0"/>
    <xf borderId="0" fillId="0" fontId="53" numFmtId="0"/>
    <xf applyBorder="0" applyFill="0" borderId="0" fillId="0" fontId="77" numFmtId="49"/>
    <xf borderId="0" fillId="0" fontId="90" numFmtId="188"/>
    <xf borderId="0" fillId="0" fontId="91" numFmtId="0"/>
    <xf borderId="0" fillId="0" fontId="92" numFmtId="0"/>
    <xf borderId="0" fillId="0" fontId="91" numFmtId="0"/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borderId="0" fillId="0" fontId="8" numFmtId="0"/>
  </cellStyleXfs>
  <cellXfs count="47">
    <xf borderId="0" fillId="0" fontId="0" numFmtId="0" xfId="0">
      <alignment vertical="center"/>
    </xf>
    <xf applyFont="1" borderId="0" fillId="0" fontId="4" numFmtId="0" xfId="1">
      <alignment vertical="center"/>
    </xf>
    <xf applyFont="1" borderId="0" fillId="0" fontId="9" numFmtId="0" xfId="1">
      <alignment vertical="center"/>
    </xf>
    <xf applyFont="1" applyNumberFormat="1" borderId="0" fillId="0" fontId="4" numFmtId="0" xfId="1">
      <alignment vertical="center"/>
    </xf>
    <xf applyBorder="1" applyFill="1" applyFont="1" borderId="1" fillId="0" fontId="2" numFmtId="0" xfId="1">
      <alignment vertical="center"/>
    </xf>
    <xf applyBorder="1" applyFill="1" applyFont="1" borderId="2" fillId="0" fontId="2" numFmtId="0" xfId="1">
      <alignment vertical="center"/>
    </xf>
    <xf applyBorder="1" applyFill="1" applyFont="1" applyNumberFormat="1" borderId="2" fillId="0" fontId="2" numFmtId="0" xfId="1">
      <alignment vertical="center"/>
    </xf>
    <xf applyAlignment="1" applyBorder="1" applyFill="1" applyFont="1" borderId="9" fillId="0" fontId="7" numFmtId="0" xfId="1">
      <alignment horizontal="center" vertical="center"/>
    </xf>
    <xf applyAlignment="1" applyBorder="1" applyFill="1" applyFont="1" applyNumberFormat="1" borderId="1" fillId="0" fontId="7" numFmtId="0" xfId="1">
      <alignment horizontal="center" vertical="center"/>
    </xf>
    <xf applyAlignment="1" applyBorder="1" applyFill="1" applyFont="1" applyNumberFormat="1" borderId="10" fillId="0" fontId="7" numFmtId="0" xfId="1">
      <alignment horizontal="center" vertical="center"/>
    </xf>
    <xf applyAlignment="1" applyBorder="1" applyFill="1" applyFont="1" borderId="11" fillId="0" fontId="7" numFmtId="0" xfId="1">
      <alignment horizontal="center" vertical="center"/>
    </xf>
    <xf applyAlignment="1" applyBorder="1" applyFill="1" applyFont="1" borderId="12" fillId="0" fontId="7" numFmtId="0" xfId="1">
      <alignment horizontal="center" vertical="center"/>
    </xf>
    <xf applyAlignment="1" applyBorder="1" applyFill="1" applyFont="1" applyNumberFormat="1" borderId="9" fillId="0" fontId="7" numFmtId="49" xfId="2">
      <alignment horizontal="center" vertical="center"/>
    </xf>
    <xf applyAlignment="1" applyBorder="1" applyFill="1" applyFont="1" borderId="13" fillId="0" fontId="2" numFmtId="0" xfId="1">
      <alignment horizontal="center" vertical="center"/>
    </xf>
    <xf applyAlignment="1" applyBorder="1" applyFill="1" applyFont="1" applyNumberFormat="1" borderId="4" fillId="0" fontId="2" numFmtId="0" xfId="1">
      <alignment horizontal="center" vertical="center"/>
    </xf>
    <xf applyAlignment="1" applyBorder="1" applyFill="1" applyFont="1" applyNumberFormat="1" borderId="14" fillId="0" fontId="2" numFmtId="0" xfId="1">
      <alignment horizontal="center" vertical="center"/>
    </xf>
    <xf applyAlignment="1" applyBorder="1" applyFill="1" applyFont="1" applyNumberFormat="1" borderId="15" fillId="0" fontId="2" numFmtId="49" xfId="2">
      <alignment horizontal="center" vertical="center"/>
    </xf>
    <xf applyAlignment="1" applyBorder="1" applyFill="1" applyFont="1" applyNumberFormat="1" borderId="13" fillId="0" fontId="7" numFmtId="49" xfId="2">
      <alignment horizontal="center" vertical="center"/>
    </xf>
    <xf applyAlignment="1" applyBorder="1" applyFill="1" applyFont="1" applyNumberFormat="1" borderId="16" fillId="0" fontId="2" numFmtId="49" xfId="2">
      <alignment horizontal="center" vertical="center"/>
    </xf>
    <xf applyAlignment="1" applyBorder="1" applyFill="1" applyFont="1" applyNumberFormat="1" borderId="13" fillId="0" fontId="2" numFmtId="49" xfId="2">
      <alignment horizontal="center" vertical="center"/>
    </xf>
    <xf applyAlignment="1" applyBorder="1" applyFill="1" applyFont="1" borderId="17" fillId="0" fontId="2" numFmtId="0" xfId="1">
      <alignment horizontal="right" vertical="center"/>
    </xf>
    <xf applyAlignment="1" applyBorder="1" applyFill="1" applyFont="1" applyNumberFormat="1" borderId="6" fillId="0" fontId="2" numFmtId="0" xfId="1">
      <alignment horizontal="right" vertical="center"/>
    </xf>
    <xf applyAlignment="1" applyBorder="1" applyFill="1" applyFont="1" applyNumberFormat="1" borderId="18" fillId="0" fontId="2" numFmtId="0" xfId="1">
      <alignment horizontal="right" vertical="center"/>
    </xf>
    <xf applyAlignment="1" applyBorder="1" applyFill="1" applyFont="1" applyNumberFormat="1" borderId="19" fillId="0" fontId="2" numFmtId="0" xfId="1">
      <alignment horizontal="right" vertical="center"/>
    </xf>
    <xf applyAlignment="1" applyBorder="1" applyFill="1" applyFont="1" applyNumberFormat="1" borderId="17" fillId="0" fontId="11" numFmtId="49" xfId="2">
      <alignment horizontal="right"/>
    </xf>
    <xf applyAlignment="1" applyBorder="1" applyFill="1" applyFont="1" applyNumberFormat="1" borderId="20" fillId="0" fontId="11" numFmtId="49" xfId="2">
      <alignment horizontal="right"/>
    </xf>
    <xf applyAlignment="1" applyBorder="1" applyFill="1" applyFont="1" applyNumberFormat="1" borderId="19" fillId="0" fontId="11" numFmtId="49" xfId="2">
      <alignment horizontal="right"/>
    </xf>
    <xf applyAlignment="1" applyBorder="1" applyFill="1" applyFont="1" applyNumberFormat="1" borderId="21" fillId="0" fontId="7" numFmtId="49" xfId="1">
      <alignment horizontal="left" vertical="center"/>
    </xf>
    <xf applyAlignment="1" applyBorder="1" applyFill="1" applyFont="1" applyNumberFormat="1" borderId="22" fillId="0" fontId="7" numFmtId="49" xfId="1">
      <alignment horizontal="left" vertical="center"/>
    </xf>
    <xf applyAlignment="1" applyBorder="1" applyFill="1" applyFont="1" applyNumberFormat="1" borderId="23" fillId="0" fontId="7" numFmtId="49" xfId="1">
      <alignment horizontal="left" vertical="center"/>
    </xf>
    <xf applyAlignment="1" applyBorder="1" applyFill="1" applyFont="1" applyNumberFormat="1" borderId="24" fillId="0" fontId="7" numFmtId="49" xfId="1">
      <alignment horizontal="left" vertical="center"/>
    </xf>
    <xf applyAlignment="1" applyBorder="1" applyFill="1" applyFont="1" applyNumberFormat="1" borderId="21" fillId="0" fontId="7" numFmtId="49" xfId="2">
      <alignment horizontal="left"/>
    </xf>
    <xf applyAlignment="1" applyBorder="1" applyFill="1" applyFont="1" applyNumberFormat="1" borderId="21" fillId="0" fontId="7" numFmtId="3" xfId="2">
      <alignment horizontal="right"/>
    </xf>
    <xf applyAlignment="1" applyBorder="1" applyFill="1" applyFont="1" applyNumberFormat="1" borderId="25" fillId="0" fontId="7" numFmtId="4" xfId="2">
      <alignment horizontal="right"/>
    </xf>
    <xf applyAlignment="1" applyBorder="1" applyFill="1" applyFont="1" applyNumberFormat="1" borderId="24" fillId="0" fontId="7" numFmtId="49" xfId="2">
      <alignment horizontal="right"/>
    </xf>
    <xf applyAlignment="1" applyBorder="1" applyFill="1" applyFont="1" applyNumberFormat="1" borderId="21" fillId="0" fontId="7" numFmtId="4" xfId="2">
      <alignment horizontal="right"/>
    </xf>
    <xf applyAlignment="1" applyBorder="1" applyFill="1" applyFont="1" applyNumberFormat="1" borderId="21" fillId="0" fontId="7" numFmtId="189" xfId="2">
      <alignment horizontal="right"/>
    </xf>
    <xf applyAlignment="1" applyBorder="1" applyFill="1" applyFont="1" borderId="2" fillId="0" fontId="2" numFmtId="0" xfId="1">
      <alignment horizontal="left" vertical="top" wrapText="1"/>
    </xf>
    <xf applyAlignment="1" applyBorder="1" applyFill="1" applyFont="1" borderId="3" fillId="0" fontId="2" numFmtId="0" xfId="1">
      <alignment horizontal="left" vertical="top" wrapText="1"/>
    </xf>
    <xf applyAlignment="1" applyBorder="1" applyFill="1" applyFont="1" borderId="0" fillId="0" fontId="2" numFmtId="0" xfId="1">
      <alignment horizontal="left" vertical="top" wrapText="1"/>
    </xf>
    <xf applyAlignment="1" applyBorder="1" applyFill="1" applyFont="1" borderId="5" fillId="0" fontId="2" numFmtId="0" xfId="1">
      <alignment horizontal="left" vertical="top" wrapText="1"/>
    </xf>
    <xf applyAlignment="1" applyBorder="1" applyFill="1" applyFont="1" borderId="7" fillId="0" fontId="2" numFmtId="0" xfId="1">
      <alignment horizontal="left" vertical="top" wrapText="1"/>
    </xf>
    <xf applyAlignment="1" applyBorder="1" applyFill="1" applyFont="1" borderId="8" fillId="0" fontId="2" numFmtId="0" xfId="1">
      <alignment horizontal="left" vertical="top" wrapText="1"/>
    </xf>
    <xf applyAlignment="1" applyBorder="1" applyFill="1" applyFont="1" borderId="4" fillId="0" fontId="5" numFmtId="0" xfId="1">
      <alignment horizontal="center" vertical="center"/>
    </xf>
    <xf applyAlignment="1" applyBorder="1" applyFill="1" applyFont="1" borderId="0" fillId="0" fontId="5" numFmtId="0" xfId="1">
      <alignment horizontal="center" vertical="center"/>
    </xf>
    <xf applyAlignment="1" applyBorder="1" applyFill="1" applyFont="1" borderId="6" fillId="0" fontId="6" numFmtId="0" xfId="1">
      <alignment horizontal="center" vertical="center"/>
    </xf>
    <xf applyAlignment="1" applyBorder="1" applyFill="1" applyFont="1" borderId="7" fillId="0" fontId="6" numFmtId="0" xfId="1">
      <alignment horizontal="center" vertical="center"/>
    </xf>
  </cellXfs>
  <cellStyles count="1938">
    <cellStyle name="_x000c_ーセン_x000c_" xfId="3"/>
    <cellStyle name="_x000d__x000a_JournalTemplate=C:\COMFO\CTALK\JOURSTD.TPL_x000d__x000a_LbStateAddress=3 3 0 251 1 89 2 311_x000d__x000a_LbStateJou" xfId="4"/>
    <cellStyle name="0,0_x000d__x000a_NA_x000d__x000a_" xfId="5"/>
    <cellStyle name="20% - Accent1" xfId="6"/>
    <cellStyle name="20% - Accent2" xfId="7"/>
    <cellStyle name="20% - Accent3" xfId="8"/>
    <cellStyle name="20% - Accent4" xfId="9"/>
    <cellStyle name="20% - Accent5" xfId="10"/>
    <cellStyle name="20% - Accent6" xfId="11"/>
    <cellStyle name="20% - アクセント 1 2" xfId="12"/>
    <cellStyle name="20% - アクセント 1 3" xfId="13"/>
    <cellStyle name="20% - アクセント 1 4" xfId="14"/>
    <cellStyle name="20% - アクセント 1 5" xfId="15"/>
    <cellStyle name="20% - アクセント 1 6" xfId="16"/>
    <cellStyle name="20% - アクセント 1 7" xfId="17"/>
    <cellStyle name="20% - アクセント 1 8" xfId="18"/>
    <cellStyle name="20% - アクセント 1 9" xfId="19"/>
    <cellStyle name="20% - アクセント 2 2" xfId="20"/>
    <cellStyle name="20% - アクセント 2 3" xfId="21"/>
    <cellStyle name="20% - アクセント 2 4" xfId="22"/>
    <cellStyle name="20% - アクセント 2 5" xfId="23"/>
    <cellStyle name="20% - アクセント 2 6" xfId="24"/>
    <cellStyle name="20% - アクセント 2 7" xfId="25"/>
    <cellStyle name="20% - アクセント 2 8" xfId="26"/>
    <cellStyle name="20% - アクセント 2 9" xfId="27"/>
    <cellStyle name="20% - アクセント 3 2" xfId="28"/>
    <cellStyle name="20% - アクセント 3 3" xfId="29"/>
    <cellStyle name="20% - アクセント 3 4" xfId="30"/>
    <cellStyle name="20% - アクセント 3 5" xfId="31"/>
    <cellStyle name="20% - アクセント 3 6" xfId="32"/>
    <cellStyle name="20% - アクセント 3 7" xfId="33"/>
    <cellStyle name="20% - アクセント 3 8" xfId="34"/>
    <cellStyle name="20% - アクセント 3 9" xfId="35"/>
    <cellStyle name="20% - アクセント 4 2" xfId="36"/>
    <cellStyle name="20% - アクセント 4 3" xfId="37"/>
    <cellStyle name="20% - アクセント 4 4" xfId="38"/>
    <cellStyle name="20% - アクセント 4 5" xfId="39"/>
    <cellStyle name="20% - アクセント 4 6" xfId="40"/>
    <cellStyle name="20% - アクセント 4 7" xfId="41"/>
    <cellStyle name="20% - アクセント 4 8" xfId="42"/>
    <cellStyle name="20% - アクセント 4 9" xfId="43"/>
    <cellStyle name="20% - アクセント 5 2" xfId="44"/>
    <cellStyle name="20% - アクセント 5 3" xfId="45"/>
    <cellStyle name="20% - アクセント 5 4" xfId="46"/>
    <cellStyle name="20% - アクセント 5 5" xfId="47"/>
    <cellStyle name="20% - アクセント 5 6" xfId="48"/>
    <cellStyle name="20% - アクセント 5 7" xfId="49"/>
    <cellStyle name="20% - アクセント 5 8" xfId="50"/>
    <cellStyle name="20% - アクセント 5 9" xfId="51"/>
    <cellStyle name="20% - アクセント 6 2" xfId="52"/>
    <cellStyle name="20% - アクセント 6 3" xfId="53"/>
    <cellStyle name="20% - アクセント 6 4" xfId="54"/>
    <cellStyle name="20% - アクセント 6 5" xfId="55"/>
    <cellStyle name="20% - アクセント 6 6" xfId="56"/>
    <cellStyle name="20% - アクセント 6 7" xfId="57"/>
    <cellStyle name="20% - アクセント 6 8" xfId="58"/>
    <cellStyle name="20% - アクセント 6 9" xfId="59"/>
    <cellStyle name="40% - Accent1" xfId="60"/>
    <cellStyle name="40% - Accent2" xfId="61"/>
    <cellStyle name="40% - Accent3" xfId="62"/>
    <cellStyle name="40% - Accent4" xfId="63"/>
    <cellStyle name="40% - Accent5" xfId="64"/>
    <cellStyle name="40% - Accent6" xfId="65"/>
    <cellStyle name="40% - アクセント 1 2" xfId="66"/>
    <cellStyle name="40% - アクセント 1 3" xfId="67"/>
    <cellStyle name="40% - アクセント 1 4" xfId="68"/>
    <cellStyle name="40% - アクセント 1 5" xfId="69"/>
    <cellStyle name="40% - アクセント 1 6" xfId="70"/>
    <cellStyle name="40% - アクセント 1 7" xfId="71"/>
    <cellStyle name="40% - アクセント 1 8" xfId="72"/>
    <cellStyle name="40% - アクセント 1 9" xfId="73"/>
    <cellStyle name="40% - アクセント 2 2" xfId="74"/>
    <cellStyle name="40% - アクセント 2 3" xfId="75"/>
    <cellStyle name="40% - アクセント 2 4" xfId="76"/>
    <cellStyle name="40% - アクセント 2 5" xfId="77"/>
    <cellStyle name="40% - アクセント 2 6" xfId="78"/>
    <cellStyle name="40% - アクセント 2 7" xfId="79"/>
    <cellStyle name="40% - アクセント 2 8" xfId="80"/>
    <cellStyle name="40% - アクセント 2 9" xfId="81"/>
    <cellStyle name="40% - アクセント 3 2" xfId="82"/>
    <cellStyle name="40% - アクセント 3 3" xfId="83"/>
    <cellStyle name="40% - アクセント 3 4" xfId="84"/>
    <cellStyle name="40% - アクセント 3 5" xfId="85"/>
    <cellStyle name="40% - アクセント 3 6" xfId="86"/>
    <cellStyle name="40% - アクセント 3 7" xfId="87"/>
    <cellStyle name="40% - アクセント 3 8" xfId="88"/>
    <cellStyle name="40% - アクセント 3 9" xfId="89"/>
    <cellStyle name="40% - アクセント 4 2" xfId="90"/>
    <cellStyle name="40% - アクセント 4 3" xfId="91"/>
    <cellStyle name="40% - アクセント 4 4" xfId="92"/>
    <cellStyle name="40% - アクセント 4 5" xfId="93"/>
    <cellStyle name="40% - アクセント 4 6" xfId="94"/>
    <cellStyle name="40% - アクセント 4 7" xfId="95"/>
    <cellStyle name="40% - アクセント 4 8" xfId="96"/>
    <cellStyle name="40% - アクセント 4 9" xfId="97"/>
    <cellStyle name="40% - アクセント 5 2" xfId="98"/>
    <cellStyle name="40% - アクセント 5 3" xfId="99"/>
    <cellStyle name="40% - アクセント 5 4" xfId="100"/>
    <cellStyle name="40% - アクセント 5 5" xfId="101"/>
    <cellStyle name="40% - アクセント 5 6" xfId="102"/>
    <cellStyle name="40% - アクセント 5 7" xfId="103"/>
    <cellStyle name="40% - アクセント 5 8" xfId="104"/>
    <cellStyle name="40% - アクセント 5 9" xfId="105"/>
    <cellStyle name="40% - アクセント 6 2" xfId="106"/>
    <cellStyle name="40% - アクセント 6 3" xfId="107"/>
    <cellStyle name="40% - アクセント 6 4" xfId="108"/>
    <cellStyle name="40% - アクセント 6 5" xfId="109"/>
    <cellStyle name="40% - アクセント 6 6" xfId="110"/>
    <cellStyle name="40% - アクセント 6 7" xfId="111"/>
    <cellStyle name="40% - アクセント 6 8" xfId="112"/>
    <cellStyle name="40% - アクセント 6 9" xfId="113"/>
    <cellStyle name="60% - Accent1" xfId="114"/>
    <cellStyle name="60% - Accent2" xfId="115"/>
    <cellStyle name="60% - Accent3" xfId="116"/>
    <cellStyle name="60% - Accent4" xfId="117"/>
    <cellStyle name="60% - Accent5" xfId="118"/>
    <cellStyle name="60% - Accent6" xfId="119"/>
    <cellStyle name="60% - アクセント 1 2" xfId="120"/>
    <cellStyle name="60% - アクセント 1 3" xfId="121"/>
    <cellStyle name="60% - アクセント 1 4" xfId="122"/>
    <cellStyle name="60% - アクセント 1 5" xfId="123"/>
    <cellStyle name="60% - アクセント 1 6" xfId="124"/>
    <cellStyle name="60% - アクセント 1 7" xfId="125"/>
    <cellStyle name="60% - アクセント 1 8" xfId="126"/>
    <cellStyle name="60% - アクセント 1 9" xfId="127"/>
    <cellStyle name="60% - アクセント 2 2" xfId="128"/>
    <cellStyle name="60% - アクセント 2 3" xfId="129"/>
    <cellStyle name="60% - アクセント 2 4" xfId="130"/>
    <cellStyle name="60% - アクセント 2 5" xfId="131"/>
    <cellStyle name="60% - アクセント 2 6" xfId="132"/>
    <cellStyle name="60% - アクセント 2 7" xfId="133"/>
    <cellStyle name="60% - アクセント 2 8" xfId="134"/>
    <cellStyle name="60% - アクセント 2 9" xfId="135"/>
    <cellStyle name="60% - アクセント 3 2" xfId="136"/>
    <cellStyle name="60% - アクセント 3 3" xfId="137"/>
    <cellStyle name="60% - アクセント 3 4" xfId="138"/>
    <cellStyle name="60% - アクセント 3 5" xfId="139"/>
    <cellStyle name="60% - アクセント 3 6" xfId="140"/>
    <cellStyle name="60% - アクセント 3 7" xfId="141"/>
    <cellStyle name="60% - アクセント 3 8" xfId="142"/>
    <cellStyle name="60% - アクセント 3 9" xfId="143"/>
    <cellStyle name="60% - アクセント 4 2" xfId="144"/>
    <cellStyle name="60% - アクセント 4 3" xfId="145"/>
    <cellStyle name="60% - アクセント 4 4" xfId="146"/>
    <cellStyle name="60% - アクセント 4 5" xfId="147"/>
    <cellStyle name="60% - アクセント 4 6" xfId="148"/>
    <cellStyle name="60% - アクセント 4 7" xfId="149"/>
    <cellStyle name="60% - アクセント 4 8" xfId="150"/>
    <cellStyle name="60% - アクセント 4 9" xfId="151"/>
    <cellStyle name="60% - アクセント 5 2" xfId="152"/>
    <cellStyle name="60% - アクセント 5 3" xfId="153"/>
    <cellStyle name="60% - アクセント 5 4" xfId="154"/>
    <cellStyle name="60% - アクセント 5 5" xfId="155"/>
    <cellStyle name="60% - アクセント 5 6" xfId="156"/>
    <cellStyle name="60% - アクセント 5 7" xfId="157"/>
    <cellStyle name="60% - アクセント 5 8" xfId="158"/>
    <cellStyle name="60% - アクセント 5 9" xfId="159"/>
    <cellStyle name="60% - アクセント 6 2" xfId="160"/>
    <cellStyle name="60% - アクセント 6 3" xfId="161"/>
    <cellStyle name="60% - アクセント 6 4" xfId="162"/>
    <cellStyle name="60% - アクセント 6 5" xfId="163"/>
    <cellStyle name="60% - アクセント 6 6" xfId="164"/>
    <cellStyle name="60% - アクセント 6 7" xfId="165"/>
    <cellStyle name="60% - アクセント 6 8" xfId="166"/>
    <cellStyle name="60% - アクセント 6 9" xfId="167"/>
    <cellStyle name="Accent1" xfId="168"/>
    <cellStyle name="Accent2" xfId="169"/>
    <cellStyle name="Accent3" xfId="170"/>
    <cellStyle name="Accent4" xfId="171"/>
    <cellStyle name="Accent5" xfId="172"/>
    <cellStyle name="Accent6" xfId="173"/>
    <cellStyle name="args.style" xfId="174"/>
    <cellStyle name="B10" xfId="175"/>
    <cellStyle name="Bad" xfId="176"/>
    <cellStyle name="Body" xfId="177"/>
    <cellStyle name="Calc Currency (0)" xfId="178"/>
    <cellStyle name="Calc Currency (0) 2" xfId="179"/>
    <cellStyle name="Calculation" xfId="180"/>
    <cellStyle name="Calculation 2" xfId="181"/>
    <cellStyle name="Calculation 2 2" xfId="182"/>
    <cellStyle name="Calculation 2 2 2" xfId="183"/>
    <cellStyle name="Calculation 2 3" xfId="184"/>
    <cellStyle name="Calculation 2 3 2" xfId="185"/>
    <cellStyle name="Calculation 2 4" xfId="186"/>
    <cellStyle name="Calculation 2 4 2" xfId="187"/>
    <cellStyle name="Calculation 2 5" xfId="188"/>
    <cellStyle name="Calculation 2 5 2" xfId="189"/>
    <cellStyle name="Calculation 2 6" xfId="190"/>
    <cellStyle name="Calculation 2 6 2" xfId="191"/>
    <cellStyle name="Calculation 2 7" xfId="192"/>
    <cellStyle name="Calculation 3" xfId="193"/>
    <cellStyle name="Calculation 3 2" xfId="194"/>
    <cellStyle name="Calculation 4" xfId="195"/>
    <cellStyle name="Check Cell" xfId="196"/>
    <cellStyle name="Column Heading" xfId="197"/>
    <cellStyle name="Comma [0]_laroux" xfId="198"/>
    <cellStyle name="Comma_laroux" xfId="199"/>
    <cellStyle name="Currency [0]_laroux" xfId="200"/>
    <cellStyle name="Currency_laroux" xfId="201"/>
    <cellStyle name="entry" xfId="202"/>
    <cellStyle name="Explanatory Text" xfId="203"/>
    <cellStyle name="Good" xfId="204"/>
    <cellStyle name="Grey" xfId="205"/>
    <cellStyle name="Head 1" xfId="206"/>
    <cellStyle name="Header1" xfId="207"/>
    <cellStyle name="Header2" xfId="208"/>
    <cellStyle name="Header2 2" xfId="209"/>
    <cellStyle name="Header2 2 2" xfId="210"/>
    <cellStyle name="Header2 2 2 2" xfId="211"/>
    <cellStyle name="Header2 2 2 3" xfId="212"/>
    <cellStyle name="Header2 2 2 4" xfId="213"/>
    <cellStyle name="Header2 2 2 5" xfId="214"/>
    <cellStyle name="Header2 2 2 6" xfId="215"/>
    <cellStyle name="Header2 2 2 7" xfId="216"/>
    <cellStyle name="Header2 2 2 7 2" xfId="217"/>
    <cellStyle name="Header2 2 3" xfId="218"/>
    <cellStyle name="Header2 2 3 2" xfId="219"/>
    <cellStyle name="Header2 2 3 3" xfId="220"/>
    <cellStyle name="Header2 3" xfId="221"/>
    <cellStyle name="Header2 3 2" xfId="222"/>
    <cellStyle name="Header2 3 2 2" xfId="223"/>
    <cellStyle name="Header2 3 2 3" xfId="224"/>
    <cellStyle name="Header2 3 2 4" xfId="225"/>
    <cellStyle name="Header2 3 2 5" xfId="226"/>
    <cellStyle name="Header2 3 2 6" xfId="227"/>
    <cellStyle name="Header2 3 2 7" xfId="228"/>
    <cellStyle name="Header2 3 2 7 2" xfId="229"/>
    <cellStyle name="Header2 3 3" xfId="230"/>
    <cellStyle name="Header2 3 4" xfId="231"/>
    <cellStyle name="Header2 3 5" xfId="232"/>
    <cellStyle name="Header2 3 6" xfId="233"/>
    <cellStyle name="Header2 3 7" xfId="234"/>
    <cellStyle name="Header2 3 8" xfId="235"/>
    <cellStyle name="Header2 3 9" xfId="236"/>
    <cellStyle name="Header2 3 9 2" xfId="237"/>
    <cellStyle name="Header2 3 9 3" xfId="238"/>
    <cellStyle name="Header2 4" xfId="239"/>
    <cellStyle name="Header2 4 2" xfId="240"/>
    <cellStyle name="Header2 4 3" xfId="241"/>
    <cellStyle name="Header2 4 4" xfId="242"/>
    <cellStyle name="Header2 4 5" xfId="243"/>
    <cellStyle name="Header2 4 6" xfId="244"/>
    <cellStyle name="Header2 4 7" xfId="245"/>
    <cellStyle name="Header2 4 7 2" xfId="246"/>
    <cellStyle name="Header2 5" xfId="247"/>
    <cellStyle name="Header2 6" xfId="248"/>
    <cellStyle name="Header2 7" xfId="249"/>
    <cellStyle name="Header2 7 2" xfId="250"/>
    <cellStyle name="Header2 7 3" xfId="251"/>
    <cellStyle name="Heading 1" xfId="252"/>
    <cellStyle name="Heading 2" xfId="253"/>
    <cellStyle name="Heading 3" xfId="254"/>
    <cellStyle name="Heading 4" xfId="255"/>
    <cellStyle name="IBM(401K)" xfId="256"/>
    <cellStyle name="Input" xfId="257"/>
    <cellStyle name="Input [yellow]" xfId="258"/>
    <cellStyle name="Input [yellow] 2" xfId="259"/>
    <cellStyle name="Input [yellow] 2 2" xfId="260"/>
    <cellStyle name="Input [yellow] 2 2 2" xfId="261"/>
    <cellStyle name="Input [yellow] 2 2 3" xfId="262"/>
    <cellStyle name="Input [yellow] 2 2 4" xfId="263"/>
    <cellStyle name="Input [yellow] 2 2 5" xfId="264"/>
    <cellStyle name="Input [yellow] 2 2 6" xfId="265"/>
    <cellStyle name="Input [yellow] 2 2 7" xfId="266"/>
    <cellStyle name="Input [yellow] 2 2 8" xfId="267"/>
    <cellStyle name="Input [yellow] 2 2 9" xfId="268"/>
    <cellStyle name="Input [yellow] 2 3" xfId="269"/>
    <cellStyle name="Input [yellow] 2 3 2" xfId="270"/>
    <cellStyle name="Input [yellow] 2 3 3" xfId="271"/>
    <cellStyle name="Input [yellow] 3" xfId="272"/>
    <cellStyle name="Input [yellow] 3 2" xfId="273"/>
    <cellStyle name="Input [yellow] 3 2 2" xfId="274"/>
    <cellStyle name="Input [yellow] 3 2 3" xfId="275"/>
    <cellStyle name="Input [yellow] 3 2 4" xfId="276"/>
    <cellStyle name="Input [yellow] 3 2 5" xfId="277"/>
    <cellStyle name="Input [yellow] 3 2 6" xfId="278"/>
    <cellStyle name="Input [yellow] 3 2 7" xfId="279"/>
    <cellStyle name="Input [yellow] 3 2 8" xfId="280"/>
    <cellStyle name="Input [yellow] 3 2 9" xfId="281"/>
    <cellStyle name="Input [yellow] 3 3" xfId="282"/>
    <cellStyle name="Input [yellow] 3 4" xfId="283"/>
    <cellStyle name="Input [yellow] 3 5" xfId="284"/>
    <cellStyle name="Input [yellow] 3 6" xfId="285"/>
    <cellStyle name="Input [yellow] 3 7" xfId="286"/>
    <cellStyle name="Input [yellow] 3 8" xfId="287"/>
    <cellStyle name="Input [yellow] 3 9" xfId="288"/>
    <cellStyle name="Input [yellow] 3 9 2" xfId="289"/>
    <cellStyle name="Input [yellow] 3 9 3" xfId="290"/>
    <cellStyle name="Input [yellow] 4" xfId="291"/>
    <cellStyle name="Input [yellow] 4 2" xfId="292"/>
    <cellStyle name="Input [yellow] 4 3" xfId="293"/>
    <cellStyle name="Input [yellow] 4 4" xfId="294"/>
    <cellStyle name="Input [yellow] 4 5" xfId="295"/>
    <cellStyle name="Input [yellow] 4 6" xfId="296"/>
    <cellStyle name="Input [yellow] 4 7" xfId="297"/>
    <cellStyle name="Input [yellow] 4 8" xfId="298"/>
    <cellStyle name="Input [yellow] 4 8 2" xfId="299"/>
    <cellStyle name="Input [yellow] 4 8 3" xfId="300"/>
    <cellStyle name="Input [yellow] 5" xfId="301"/>
    <cellStyle name="Input [yellow] 6" xfId="302"/>
    <cellStyle name="Input [yellow] 7" xfId="303"/>
    <cellStyle name="Input [yellow] 7 2" xfId="304"/>
    <cellStyle name="Input [yellow] 7 3" xfId="305"/>
    <cellStyle name="Input 10" xfId="306"/>
    <cellStyle name="Input 10 2" xfId="307"/>
    <cellStyle name="Input 11" xfId="308"/>
    <cellStyle name="Input 11 2" xfId="309"/>
    <cellStyle name="Input 12" xfId="310"/>
    <cellStyle name="Input 12 2" xfId="311"/>
    <cellStyle name="Input 13" xfId="312"/>
    <cellStyle name="Input 13 2" xfId="313"/>
    <cellStyle name="Input 14" xfId="314"/>
    <cellStyle name="Input 14 2" xfId="315"/>
    <cellStyle name="Input 15" xfId="316"/>
    <cellStyle name="Input 15 2" xfId="317"/>
    <cellStyle name="Input 16" xfId="318"/>
    <cellStyle name="Input 16 2" xfId="319"/>
    <cellStyle name="Input 17" xfId="320"/>
    <cellStyle name="Input 17 2" xfId="321"/>
    <cellStyle name="Input 18" xfId="322"/>
    <cellStyle name="Input 19" xfId="323"/>
    <cellStyle name="Input 2" xfId="324"/>
    <cellStyle name="Input 2 2" xfId="325"/>
    <cellStyle name="Input 2 2 2" xfId="326"/>
    <cellStyle name="Input 2 3" xfId="327"/>
    <cellStyle name="Input 2 3 2" xfId="328"/>
    <cellStyle name="Input 2 4" xfId="329"/>
    <cellStyle name="Input 2 4 2" xfId="330"/>
    <cellStyle name="Input 2 5" xfId="331"/>
    <cellStyle name="Input 2 5 2" xfId="332"/>
    <cellStyle name="Input 2 6" xfId="333"/>
    <cellStyle name="Input 2 6 2" xfId="334"/>
    <cellStyle name="Input 2 7" xfId="335"/>
    <cellStyle name="Input 20" xfId="336"/>
    <cellStyle name="Input 21" xfId="337"/>
    <cellStyle name="Input 22" xfId="338"/>
    <cellStyle name="Input 23" xfId="339"/>
    <cellStyle name="Input 24" xfId="340"/>
    <cellStyle name="Input 25" xfId="341"/>
    <cellStyle name="Input 26" xfId="342"/>
    <cellStyle name="Input 3" xfId="343"/>
    <cellStyle name="Input 3 2" xfId="344"/>
    <cellStyle name="Input 4" xfId="345"/>
    <cellStyle name="Input 4 2" xfId="346"/>
    <cellStyle name="Input 5" xfId="347"/>
    <cellStyle name="Input 5 2" xfId="348"/>
    <cellStyle name="Input 6" xfId="349"/>
    <cellStyle name="Input 6 2" xfId="350"/>
    <cellStyle name="Input 7" xfId="351"/>
    <cellStyle name="Input 7 2" xfId="352"/>
    <cellStyle name="Input 8" xfId="353"/>
    <cellStyle name="Input 8 2" xfId="354"/>
    <cellStyle name="Input 9" xfId="355"/>
    <cellStyle name="Input 9 2" xfId="356"/>
    <cellStyle name="J401K" xfId="357"/>
    <cellStyle name="Linked Cell" xfId="358"/>
    <cellStyle name="Millares [0]_Compra" xfId="359"/>
    <cellStyle name="Millares_Compra" xfId="360"/>
    <cellStyle name="Moneda [0]_Compra" xfId="361"/>
    <cellStyle name="Moneda_Compra" xfId="362"/>
    <cellStyle name="Neutral" xfId="363"/>
    <cellStyle name="no dec" xfId="364"/>
    <cellStyle name="Normal - Style1" xfId="365"/>
    <cellStyle name="Normal - Style1 2" xfId="366"/>
    <cellStyle name="Normal - Style1 2 2" xfId="367"/>
    <cellStyle name="Normal - Style1 2 3" xfId="368"/>
    <cellStyle name="Normal_#18-Internet" xfId="369"/>
    <cellStyle name="Note" xfId="370"/>
    <cellStyle name="Note 2" xfId="371"/>
    <cellStyle name="Note 2 2" xfId="372"/>
    <cellStyle name="Note 2 2 2" xfId="373"/>
    <cellStyle name="Note 2 2 2 2" xfId="374"/>
    <cellStyle name="Note 2 2 3" xfId="375"/>
    <cellStyle name="Note 2 2 3 2" xfId="376"/>
    <cellStyle name="Note 2 2 4" xfId="377"/>
    <cellStyle name="Note 2 2 4 2" xfId="378"/>
    <cellStyle name="Note 2 2 5" xfId="379"/>
    <cellStyle name="Note 2 2 5 2" xfId="380"/>
    <cellStyle name="Note 2 2 6" xfId="381"/>
    <cellStyle name="Note 2 2 6 2" xfId="382"/>
    <cellStyle name="Note 2 2 7" xfId="383"/>
    <cellStyle name="Note 2 3" xfId="384"/>
    <cellStyle name="Note 2 3 2" xfId="385"/>
    <cellStyle name="Note 2 4" xfId="386"/>
    <cellStyle name="Note 3" xfId="387"/>
    <cellStyle name="Note 3 2" xfId="388"/>
    <cellStyle name="Note 3 2 2" xfId="389"/>
    <cellStyle name="Note 3 2 2 2" xfId="390"/>
    <cellStyle name="Note 3 2 3" xfId="391"/>
    <cellStyle name="Note 3 2 3 2" xfId="392"/>
    <cellStyle name="Note 3 2 4" xfId="393"/>
    <cellStyle name="Note 3 2 4 2" xfId="394"/>
    <cellStyle name="Note 3 2 5" xfId="395"/>
    <cellStyle name="Note 3 2 5 2" xfId="396"/>
    <cellStyle name="Note 3 2 6" xfId="397"/>
    <cellStyle name="Note 3 2 6 2" xfId="398"/>
    <cellStyle name="Note 3 2 7" xfId="399"/>
    <cellStyle name="Note 3 3" xfId="400"/>
    <cellStyle name="Note 3 3 2" xfId="401"/>
    <cellStyle name="Note 3 4" xfId="402"/>
    <cellStyle name="Note 3 4 2" xfId="403"/>
    <cellStyle name="Note 3 5" xfId="404"/>
    <cellStyle name="Note 3 5 2" xfId="405"/>
    <cellStyle name="Note 3 6" xfId="406"/>
    <cellStyle name="Note 3 6 2" xfId="407"/>
    <cellStyle name="Note 3 7" xfId="408"/>
    <cellStyle name="Note 3 7 2" xfId="409"/>
    <cellStyle name="Note 3 8" xfId="410"/>
    <cellStyle name="Note 4" xfId="411"/>
    <cellStyle name="Note 4 2" xfId="412"/>
    <cellStyle name="Note 4 2 2" xfId="413"/>
    <cellStyle name="Note 4 3" xfId="414"/>
    <cellStyle name="Note 4 3 2" xfId="415"/>
    <cellStyle name="Note 4 4" xfId="416"/>
    <cellStyle name="Note 4 4 2" xfId="417"/>
    <cellStyle name="Note 4 5" xfId="418"/>
    <cellStyle name="Note 4 5 2" xfId="419"/>
    <cellStyle name="Note 4 6" xfId="420"/>
    <cellStyle name="Note 4 6 2" xfId="421"/>
    <cellStyle name="Note 4 7" xfId="422"/>
    <cellStyle name="Note 5" xfId="423"/>
    <cellStyle name="Note 5 2" xfId="424"/>
    <cellStyle name="Output" xfId="425"/>
    <cellStyle name="Output 2" xfId="426"/>
    <cellStyle name="Output 2 2" xfId="427"/>
    <cellStyle name="Output 2 2 2" xfId="428"/>
    <cellStyle name="Output 2 3" xfId="429"/>
    <cellStyle name="Output 2 3 2" xfId="430"/>
    <cellStyle name="Output 2 4" xfId="431"/>
    <cellStyle name="Output 2 4 2" xfId="432"/>
    <cellStyle name="Output 2 5" xfId="433"/>
    <cellStyle name="Output 2 5 2" xfId="434"/>
    <cellStyle name="Output 2 6" xfId="435"/>
    <cellStyle name="Output 2 6 2" xfId="436"/>
    <cellStyle name="Output 2 7" xfId="437"/>
    <cellStyle name="Output 3" xfId="438"/>
    <cellStyle name="Output 3 2" xfId="439"/>
    <cellStyle name="per.style" xfId="440"/>
    <cellStyle name="Percent [2]" xfId="441"/>
    <cellStyle name="price" xfId="442"/>
    <cellStyle name="PSChar" xfId="443"/>
    <cellStyle name="PSHeading" xfId="444"/>
    <cellStyle name="QDF" xfId="445"/>
    <cellStyle name="revised" xfId="446"/>
    <cellStyle name="section" xfId="447"/>
    <cellStyle name="subhead" xfId="448"/>
    <cellStyle name="title" xfId="449"/>
    <cellStyle name="Total" xfId="450"/>
    <cellStyle name="Total 2" xfId="451"/>
    <cellStyle name="Total 2 2" xfId="452"/>
    <cellStyle name="Total 2 2 2" xfId="453"/>
    <cellStyle name="Total 2 3" xfId="454"/>
    <cellStyle name="Total 2 3 2" xfId="455"/>
    <cellStyle name="Total 2 4" xfId="456"/>
    <cellStyle name="Total 2 4 2" xfId="457"/>
    <cellStyle name="Total 2 5" xfId="458"/>
    <cellStyle name="Total 2 5 2" xfId="459"/>
    <cellStyle name="Total 2 6" xfId="460"/>
    <cellStyle name="Total 2 6 2" xfId="461"/>
    <cellStyle name="Total 2 7" xfId="462"/>
    <cellStyle name="Total 3" xfId="463"/>
    <cellStyle name="Total 3 2" xfId="464"/>
    <cellStyle name="Warning Text" xfId="465"/>
    <cellStyle name="アクセント 1 2" xfId="466"/>
    <cellStyle name="アクセント 1 3" xfId="467"/>
    <cellStyle name="アクセント 1 4" xfId="468"/>
    <cellStyle name="アクセント 1 5" xfId="469"/>
    <cellStyle name="アクセント 1 6" xfId="470"/>
    <cellStyle name="アクセント 1 7" xfId="471"/>
    <cellStyle name="アクセント 1 8" xfId="472"/>
    <cellStyle name="アクセント 1 9" xfId="473"/>
    <cellStyle name="アクセント 2 2" xfId="474"/>
    <cellStyle name="アクセント 2 3" xfId="475"/>
    <cellStyle name="アクセント 2 4" xfId="476"/>
    <cellStyle name="アクセント 2 5" xfId="477"/>
    <cellStyle name="アクセント 2 6" xfId="478"/>
    <cellStyle name="アクセント 2 7" xfId="479"/>
    <cellStyle name="アクセント 2 8" xfId="480"/>
    <cellStyle name="アクセント 2 9" xfId="481"/>
    <cellStyle name="アクセント 3 2" xfId="482"/>
    <cellStyle name="アクセント 3 3" xfId="483"/>
    <cellStyle name="アクセント 3 4" xfId="484"/>
    <cellStyle name="アクセント 3 5" xfId="485"/>
    <cellStyle name="アクセント 3 6" xfId="486"/>
    <cellStyle name="アクセント 3 7" xfId="487"/>
    <cellStyle name="アクセント 3 8" xfId="488"/>
    <cellStyle name="アクセント 3 9" xfId="489"/>
    <cellStyle name="アクセント 4 2" xfId="490"/>
    <cellStyle name="アクセント 4 3" xfId="491"/>
    <cellStyle name="アクセント 4 4" xfId="492"/>
    <cellStyle name="アクセント 4 5" xfId="493"/>
    <cellStyle name="アクセント 4 6" xfId="494"/>
    <cellStyle name="アクセント 4 7" xfId="495"/>
    <cellStyle name="アクセント 4 8" xfId="496"/>
    <cellStyle name="アクセント 4 9" xfId="497"/>
    <cellStyle name="アクセント 5 2" xfId="498"/>
    <cellStyle name="アクセント 5 3" xfId="499"/>
    <cellStyle name="アクセント 5 4" xfId="500"/>
    <cellStyle name="アクセント 5 5" xfId="501"/>
    <cellStyle name="アクセント 5 6" xfId="502"/>
    <cellStyle name="アクセント 5 7" xfId="503"/>
    <cellStyle name="アクセント 5 8" xfId="504"/>
    <cellStyle name="アクセント 5 9" xfId="505"/>
    <cellStyle name="アクセント 6 2" xfId="506"/>
    <cellStyle name="アクセント 6 3" xfId="507"/>
    <cellStyle name="アクセント 6 4" xfId="508"/>
    <cellStyle name="アクセント 6 5" xfId="509"/>
    <cellStyle name="アクセント 6 6" xfId="510"/>
    <cellStyle name="アクセント 6 7" xfId="511"/>
    <cellStyle name="アクセント 6 8" xfId="512"/>
    <cellStyle name="アクセント 6 9" xfId="513"/>
    <cellStyle name="センター" xfId="514"/>
    <cellStyle name="タイトル 2" xfId="515"/>
    <cellStyle name="タイトル 3" xfId="516"/>
    <cellStyle name="タイトル 4" xfId="517"/>
    <cellStyle name="タイトル 5" xfId="518"/>
    <cellStyle name="タイトル 6" xfId="519"/>
    <cellStyle name="タイトル 7" xfId="520"/>
    <cellStyle name="タイトル 8" xfId="521"/>
    <cellStyle name="タイトル 9" xfId="522"/>
    <cellStyle name="チェック セル 2" xfId="523"/>
    <cellStyle name="チェック セル 3" xfId="524"/>
    <cellStyle name="チェック セル 4" xfId="525"/>
    <cellStyle name="チェック セル 5" xfId="526"/>
    <cellStyle name="チェック セル 6" xfId="527"/>
    <cellStyle name="チェック セル 7" xfId="528"/>
    <cellStyle name="チェック セル 8" xfId="529"/>
    <cellStyle name="チェック セル 9" xfId="530"/>
    <cellStyle name="チャート" xfId="531"/>
    <cellStyle name="どちらでもない 2" xfId="532"/>
    <cellStyle name="どちらでもない 3" xfId="533"/>
    <cellStyle name="どちらでもない 4" xfId="534"/>
    <cellStyle name="どちらでもない 5" xfId="535"/>
    <cellStyle name="どちらでもない 6" xfId="536"/>
    <cellStyle name="どちらでもない 7" xfId="537"/>
    <cellStyle name="どちらでもない 8" xfId="538"/>
    <cellStyle name="どちらでもない 9" xfId="539"/>
    <cellStyle name="パーセント 2" xfId="540"/>
    <cellStyle name="パーセント 2 2" xfId="541"/>
    <cellStyle name="パーセント 3" xfId="542"/>
    <cellStyle name="ハイパーリンク 2" xfId="543"/>
    <cellStyle name="ハイパーリンク 2 2" xfId="544"/>
    <cellStyle name="ハイパーリンク 2 3" xfId="545"/>
    <cellStyle name="ハイパーリンク 3" xfId="546"/>
    <cellStyle name="メモ 2" xfId="547"/>
    <cellStyle name="メモ 2 2" xfId="548"/>
    <cellStyle name="メモ 2 2 2" xfId="549"/>
    <cellStyle name="メモ 2 2 2 2" xfId="550"/>
    <cellStyle name="メモ 2 2 2 2 2" xfId="551"/>
    <cellStyle name="メモ 2 2 2 3" xfId="552"/>
    <cellStyle name="メモ 2 2 2 3 2" xfId="553"/>
    <cellStyle name="メモ 2 2 2 4" xfId="554"/>
    <cellStyle name="メモ 2 2 2 4 2" xfId="555"/>
    <cellStyle name="メモ 2 2 2 5" xfId="556"/>
    <cellStyle name="メモ 2 2 2 5 2" xfId="557"/>
    <cellStyle name="メモ 2 2 2 6" xfId="558"/>
    <cellStyle name="メモ 2 2 2 6 2" xfId="559"/>
    <cellStyle name="メモ 2 2 2 7" xfId="560"/>
    <cellStyle name="メモ 2 2 3" xfId="561"/>
    <cellStyle name="メモ 2 2 3 2" xfId="562"/>
    <cellStyle name="メモ 2 2 4" xfId="563"/>
    <cellStyle name="メモ 2 3" xfId="564"/>
    <cellStyle name="メモ 2 3 2" xfId="565"/>
    <cellStyle name="メモ 2 3 2 2" xfId="566"/>
    <cellStyle name="メモ 2 3 2 2 2" xfId="567"/>
    <cellStyle name="メモ 2 3 2 3" xfId="568"/>
    <cellStyle name="メモ 2 3 2 3 2" xfId="569"/>
    <cellStyle name="メモ 2 3 2 4" xfId="570"/>
    <cellStyle name="メモ 2 3 2 4 2" xfId="571"/>
    <cellStyle name="メモ 2 3 2 5" xfId="572"/>
    <cellStyle name="メモ 2 3 2 5 2" xfId="573"/>
    <cellStyle name="メモ 2 3 2 6" xfId="574"/>
    <cellStyle name="メモ 2 3 2 6 2" xfId="575"/>
    <cellStyle name="メモ 2 3 2 7" xfId="576"/>
    <cellStyle name="メモ 2 3 3" xfId="577"/>
    <cellStyle name="メモ 2 3 3 2" xfId="578"/>
    <cellStyle name="メモ 2 4" xfId="579"/>
    <cellStyle name="メモ 2 4 2" xfId="580"/>
    <cellStyle name="メモ 2 4 2 2" xfId="581"/>
    <cellStyle name="メモ 2 4 2 2 2" xfId="582"/>
    <cellStyle name="メモ 2 4 2 3" xfId="583"/>
    <cellStyle name="メモ 2 4 2 3 2" xfId="584"/>
    <cellStyle name="メモ 2 4 2 4" xfId="585"/>
    <cellStyle name="メモ 2 4 2 4 2" xfId="586"/>
    <cellStyle name="メモ 2 4 2 5" xfId="587"/>
    <cellStyle name="メモ 2 4 2 5 2" xfId="588"/>
    <cellStyle name="メモ 2 4 2 6" xfId="589"/>
    <cellStyle name="メモ 2 4 2 6 2" xfId="590"/>
    <cellStyle name="メモ 2 4 2 7" xfId="591"/>
    <cellStyle name="メモ 2 4 3" xfId="592"/>
    <cellStyle name="メモ 2 4 3 2" xfId="593"/>
    <cellStyle name="メモ 2 4 4" xfId="594"/>
    <cellStyle name="メモ 2 4 4 2" xfId="595"/>
    <cellStyle name="メモ 2 4 5" xfId="596"/>
    <cellStyle name="メモ 2 4 5 2" xfId="597"/>
    <cellStyle name="メモ 2 4 6" xfId="598"/>
    <cellStyle name="メモ 2 4 6 2" xfId="599"/>
    <cellStyle name="メモ 2 4 7" xfId="600"/>
    <cellStyle name="メモ 2 4 7 2" xfId="601"/>
    <cellStyle name="メモ 2 4 8" xfId="602"/>
    <cellStyle name="メモ 2 5" xfId="603"/>
    <cellStyle name="メモ 2 5 2" xfId="604"/>
    <cellStyle name="メモ 2 5 2 2" xfId="605"/>
    <cellStyle name="メモ 2 5 2 2 2" xfId="606"/>
    <cellStyle name="メモ 2 5 2 3" xfId="607"/>
    <cellStyle name="メモ 2 5 2 3 2" xfId="608"/>
    <cellStyle name="メモ 2 5 2 4" xfId="609"/>
    <cellStyle name="メモ 2 5 2 4 2" xfId="610"/>
    <cellStyle name="メモ 2 5 2 5" xfId="611"/>
    <cellStyle name="メモ 2 5 2 5 2" xfId="612"/>
    <cellStyle name="メモ 2 5 2 6" xfId="613"/>
    <cellStyle name="メモ 2 5 2 6 2" xfId="614"/>
    <cellStyle name="メモ 2 5 2 7" xfId="615"/>
    <cellStyle name="メモ 2 5 3" xfId="616"/>
    <cellStyle name="メモ 2 5 3 2" xfId="617"/>
    <cellStyle name="メモ 2 5 4" xfId="618"/>
    <cellStyle name="メモ 2 5 4 2" xfId="619"/>
    <cellStyle name="メモ 2 5 5" xfId="620"/>
    <cellStyle name="メモ 2 5 5 2" xfId="621"/>
    <cellStyle name="メモ 2 5 6" xfId="622"/>
    <cellStyle name="メモ 2 5 6 2" xfId="623"/>
    <cellStyle name="メモ 2 5 7" xfId="624"/>
    <cellStyle name="メモ 2 5 7 2" xfId="625"/>
    <cellStyle name="メモ 2 5 8" xfId="626"/>
    <cellStyle name="メモ 2 6" xfId="627"/>
    <cellStyle name="メモ 2 6 2" xfId="628"/>
    <cellStyle name="メモ 2 6 2 2" xfId="629"/>
    <cellStyle name="メモ 2 6 2 2 2" xfId="630"/>
    <cellStyle name="メモ 2 6 2 3" xfId="631"/>
    <cellStyle name="メモ 2 6 2 3 2" xfId="632"/>
    <cellStyle name="メモ 2 6 2 4" xfId="633"/>
    <cellStyle name="メモ 2 6 2 4 2" xfId="634"/>
    <cellStyle name="メモ 2 6 2 5" xfId="635"/>
    <cellStyle name="メモ 2 6 2 5 2" xfId="636"/>
    <cellStyle name="メモ 2 6 2 6" xfId="637"/>
    <cellStyle name="メモ 2 6 2 6 2" xfId="638"/>
    <cellStyle name="メモ 2 6 2 7" xfId="639"/>
    <cellStyle name="メモ 2 6 3" xfId="640"/>
    <cellStyle name="メモ 2 6 3 2" xfId="641"/>
    <cellStyle name="メモ 2 6 4" xfId="642"/>
    <cellStyle name="メモ 2 6 4 2" xfId="643"/>
    <cellStyle name="メモ 2 6 5" xfId="644"/>
    <cellStyle name="メモ 2 6 5 2" xfId="645"/>
    <cellStyle name="メモ 2 6 6" xfId="646"/>
    <cellStyle name="メモ 2 6 6 2" xfId="647"/>
    <cellStyle name="メモ 2 6 7" xfId="648"/>
    <cellStyle name="メモ 2 6 7 2" xfId="649"/>
    <cellStyle name="メモ 2 6 8" xfId="650"/>
    <cellStyle name="メモ 2 7" xfId="651"/>
    <cellStyle name="メモ 2 7 2" xfId="652"/>
    <cellStyle name="メモ 2 7 2 2" xfId="653"/>
    <cellStyle name="メモ 2 7 3" xfId="654"/>
    <cellStyle name="メモ 2 7 3 2" xfId="655"/>
    <cellStyle name="メモ 2 7 4" xfId="656"/>
    <cellStyle name="メモ 2 7 4 2" xfId="657"/>
    <cellStyle name="メモ 2 7 5" xfId="658"/>
    <cellStyle name="メモ 2 7 5 2" xfId="659"/>
    <cellStyle name="メモ 2 7 6" xfId="660"/>
    <cellStyle name="メモ 2 7 6 2" xfId="661"/>
    <cellStyle name="メモ 2 7 7" xfId="662"/>
    <cellStyle name="メモ 2 8" xfId="663"/>
    <cellStyle name="メモ 2 8 2" xfId="664"/>
    <cellStyle name="メモ 3" xfId="665"/>
    <cellStyle name="メモ 3 2" xfId="666"/>
    <cellStyle name="メモ 3 2 2" xfId="667"/>
    <cellStyle name="メモ 3 2 2 2" xfId="668"/>
    <cellStyle name="メモ 3 2 3" xfId="669"/>
    <cellStyle name="メモ 3 2 3 2" xfId="670"/>
    <cellStyle name="メモ 3 2 4" xfId="671"/>
    <cellStyle name="メモ 3 2 4 2" xfId="672"/>
    <cellStyle name="メモ 3 2 5" xfId="673"/>
    <cellStyle name="メモ 3 2 5 2" xfId="674"/>
    <cellStyle name="メモ 3 2 6" xfId="675"/>
    <cellStyle name="メモ 3 2 6 2" xfId="676"/>
    <cellStyle name="メモ 3 2 7" xfId="677"/>
    <cellStyle name="メモ 3 3" xfId="678"/>
    <cellStyle name="メモ 3 3 2" xfId="679"/>
    <cellStyle name="メモ 3 4" xfId="680"/>
    <cellStyle name="メモ 3 5" xfId="681"/>
    <cellStyle name="メモ 4" xfId="682"/>
    <cellStyle name="メモ 4 2" xfId="683"/>
    <cellStyle name="メモ 4 2 2" xfId="684"/>
    <cellStyle name="メモ 4 2 2 2" xfId="685"/>
    <cellStyle name="メモ 4 2 3" xfId="686"/>
    <cellStyle name="メモ 4 2 3 2" xfId="687"/>
    <cellStyle name="メモ 4 2 4" xfId="688"/>
    <cellStyle name="メモ 4 2 4 2" xfId="689"/>
    <cellStyle name="メモ 4 2 5" xfId="690"/>
    <cellStyle name="メモ 4 2 5 2" xfId="691"/>
    <cellStyle name="メモ 4 2 6" xfId="692"/>
    <cellStyle name="メモ 4 2 6 2" xfId="693"/>
    <cellStyle name="メモ 4 2 7" xfId="694"/>
    <cellStyle name="メモ 4 3" xfId="695"/>
    <cellStyle name="メモ 4 3 2" xfId="696"/>
    <cellStyle name="メモ 4 4" xfId="697"/>
    <cellStyle name="メモ 5" xfId="698"/>
    <cellStyle name="メモ 5 2" xfId="699"/>
    <cellStyle name="メモ 5 2 2" xfId="700"/>
    <cellStyle name="メモ 5 3" xfId="701"/>
    <cellStyle name="メモ 5 3 2" xfId="702"/>
    <cellStyle name="メモ 5 4" xfId="703"/>
    <cellStyle name="メモ 5 4 2" xfId="704"/>
    <cellStyle name="メモ 5 5" xfId="705"/>
    <cellStyle name="メモ 5 5 2" xfId="706"/>
    <cellStyle name="メモ 5 6" xfId="707"/>
    <cellStyle name="メモ 5 6 2" xfId="708"/>
    <cellStyle name="メモ 5 7" xfId="709"/>
    <cellStyle name="メモ 5 7 2" xfId="710"/>
    <cellStyle name="メモ 6" xfId="711"/>
    <cellStyle name="メモ 7" xfId="712"/>
    <cellStyle name="メモ 8" xfId="713"/>
    <cellStyle name="メモ 9" xfId="714"/>
    <cellStyle name="リンク セル 2" xfId="715"/>
    <cellStyle name="リンク セル 3" xfId="716"/>
    <cellStyle name="リンク セル 4" xfId="717"/>
    <cellStyle name="リンク セル 5" xfId="718"/>
    <cellStyle name="リンク セル 6" xfId="719"/>
    <cellStyle name="リンク セル 7" xfId="720"/>
    <cellStyle name="リンク セル 8" xfId="721"/>
    <cellStyle name="リンク セル 9" xfId="722"/>
    <cellStyle name="_x001d_・_x000c_ﾏ・_x000d_ﾂ・_x0001__x0016__x0011_F5_x0007__x0001__x0001_" xfId="723"/>
    <cellStyle name="_x001d_・_x000c_ﾏ・_x000d_ﾂ・_x0001__x0016__x0011_F5_x0007__x0001__x0001_ 2" xfId="724"/>
    <cellStyle name="_x001d_・_x000c_ﾏ・_x000d_ﾂ・_x0001__x0016__x0011_F5_x0007__x0001__x0001_ 2 2" xfId="725"/>
    <cellStyle name="_x001d_・_x000c_ﾏ・_x000d_ﾂ・_x0001__x0016__x0011_F5_x0007__x0001__x0001_ 2 2 2" xfId="726"/>
    <cellStyle name="_x001d_・_x000c_ﾏ・_x000d_ﾂ・_x0001__x0016__x0011_F5_x0007__x0001__x0001_ 2 3" xfId="727"/>
    <cellStyle name="_x001d_・_x000c_ﾏ・_x000d_ﾂ・_x0001__x0016__x0011_F5_x0007__x0001__x0001_ 3" xfId="728"/>
    <cellStyle name="_x001d_・_x000c_ﾏ・_x000d_ﾂ・_x0001__x0016__x0011_F5_x0007__x0001__x0001_ 3 2" xfId="729"/>
    <cellStyle name="悪い 2" xfId="730"/>
    <cellStyle name="悪い 3" xfId="731"/>
    <cellStyle name="悪い 4" xfId="732"/>
    <cellStyle name="悪い 5" xfId="733"/>
    <cellStyle name="悪い 6" xfId="734"/>
    <cellStyle name="悪い 7" xfId="735"/>
    <cellStyle name="悪い 8" xfId="736"/>
    <cellStyle name="悪い 9" xfId="737"/>
    <cellStyle name="計算 2" xfId="738"/>
    <cellStyle name="計算 2 2" xfId="739"/>
    <cellStyle name="計算 2 2 2" xfId="740"/>
    <cellStyle name="計算 2 2 2 2" xfId="741"/>
    <cellStyle name="計算 2 2 2 2 2" xfId="742"/>
    <cellStyle name="計算 2 2 2 3" xfId="743"/>
    <cellStyle name="計算 2 2 2 3 2" xfId="744"/>
    <cellStyle name="計算 2 2 2 4" xfId="745"/>
    <cellStyle name="計算 2 2 2 4 2" xfId="746"/>
    <cellStyle name="計算 2 2 2 5" xfId="747"/>
    <cellStyle name="計算 2 2 2 5 2" xfId="748"/>
    <cellStyle name="計算 2 2 2 6" xfId="749"/>
    <cellStyle name="計算 2 2 2 6 2" xfId="750"/>
    <cellStyle name="計算 2 2 2 7" xfId="751"/>
    <cellStyle name="計算 2 2 3" xfId="752"/>
    <cellStyle name="計算 2 2 3 2" xfId="753"/>
    <cellStyle name="計算 2 2 4" xfId="754"/>
    <cellStyle name="計算 2 3" xfId="755"/>
    <cellStyle name="計算 2 3 2" xfId="756"/>
    <cellStyle name="計算 2 3 2 2" xfId="757"/>
    <cellStyle name="計算 2 3 3" xfId="758"/>
    <cellStyle name="計算 2 3 3 2" xfId="759"/>
    <cellStyle name="計算 2 3 4" xfId="760"/>
    <cellStyle name="計算 2 3 4 2" xfId="761"/>
    <cellStyle name="計算 2 3 5" xfId="762"/>
    <cellStyle name="計算 2 3 5 2" xfId="763"/>
    <cellStyle name="計算 2 3 6" xfId="764"/>
    <cellStyle name="計算 2 3 6 2" xfId="765"/>
    <cellStyle name="計算 2 3 7" xfId="766"/>
    <cellStyle name="計算 2 4" xfId="767"/>
    <cellStyle name="計算 2 4 2" xfId="768"/>
    <cellStyle name="計算 2 5" xfId="769"/>
    <cellStyle name="計算 3" xfId="770"/>
    <cellStyle name="計算 3 2" xfId="771"/>
    <cellStyle name="計算 3 2 2" xfId="772"/>
    <cellStyle name="計算 3 2 2 2" xfId="773"/>
    <cellStyle name="計算 3 2 3" xfId="774"/>
    <cellStyle name="計算 3 2 3 2" xfId="775"/>
    <cellStyle name="計算 3 2 4" xfId="776"/>
    <cellStyle name="計算 3 2 4 2" xfId="777"/>
    <cellStyle name="計算 3 2 5" xfId="778"/>
    <cellStyle name="計算 3 2 5 2" xfId="779"/>
    <cellStyle name="計算 3 2 6" xfId="780"/>
    <cellStyle name="計算 3 2 6 2" xfId="781"/>
    <cellStyle name="計算 3 2 7" xfId="782"/>
    <cellStyle name="計算 3 3" xfId="783"/>
    <cellStyle name="計算 3 3 2" xfId="784"/>
    <cellStyle name="計算 3 4" xfId="785"/>
    <cellStyle name="計算 4" xfId="786"/>
    <cellStyle name="計算 4 2" xfId="787"/>
    <cellStyle name="計算 4 2 2" xfId="788"/>
    <cellStyle name="計算 4 3" xfId="789"/>
    <cellStyle name="計算 4 3 2" xfId="790"/>
    <cellStyle name="計算 4 4" xfId="791"/>
    <cellStyle name="計算 4 4 2" xfId="792"/>
    <cellStyle name="計算 4 5" xfId="793"/>
    <cellStyle name="計算 4 5 2" xfId="794"/>
    <cellStyle name="計算 4 6" xfId="795"/>
    <cellStyle name="計算 4 6 2" xfId="796"/>
    <cellStyle name="計算 4 7" xfId="797"/>
    <cellStyle name="計算 5" xfId="798"/>
    <cellStyle name="計算 6" xfId="799"/>
    <cellStyle name="計算 7" xfId="800"/>
    <cellStyle name="計算 8" xfId="801"/>
    <cellStyle name="計算 9" xfId="802"/>
    <cellStyle name="警告文 2" xfId="803"/>
    <cellStyle name="警告文 3" xfId="804"/>
    <cellStyle name="警告文 4" xfId="805"/>
    <cellStyle name="警告文 5" xfId="806"/>
    <cellStyle name="警告文 6" xfId="807"/>
    <cellStyle name="警告文 7" xfId="808"/>
    <cellStyle name="警告文 8" xfId="809"/>
    <cellStyle name="警告文 9" xfId="810"/>
    <cellStyle name="桁蟻唇Ｆ [0.00]_laroux" xfId="811"/>
    <cellStyle name="桁蟻唇Ｆ_A°DAU±ATIsA" xfId="812"/>
    <cellStyle name="桁区切り 2" xfId="813"/>
    <cellStyle name="桁区切り 2 2" xfId="814"/>
    <cellStyle name="桁区切り 2 2 2" xfId="815"/>
    <cellStyle name="桁区切り 2 3" xfId="816"/>
    <cellStyle name="桁区切り 2 4" xfId="817"/>
    <cellStyle name="桁区切り 2 4 2" xfId="818"/>
    <cellStyle name="桁区切り 2 4 3" xfId="819"/>
    <cellStyle name="桁区切り 2 5" xfId="820"/>
    <cellStyle name="桁区切り 2 5 2" xfId="821"/>
    <cellStyle name="桁区切り 2 5 3" xfId="822"/>
    <cellStyle name="桁区切り 2 6" xfId="823"/>
    <cellStyle name="桁区切り 2_バックアップセンタ_切替テストスケジュール_20120406~10" xfId="824"/>
    <cellStyle name="桁区切り 3" xfId="825"/>
    <cellStyle name="桁区切り 3 2" xfId="826"/>
    <cellStyle name="桁区切り 3 2 2" xfId="827"/>
    <cellStyle name="桁区切り 3 2 3" xfId="828"/>
    <cellStyle name="桁区切り 3 3" xfId="829"/>
    <cellStyle name="桁区切り 4" xfId="830"/>
    <cellStyle name="桁区切り 4 2" xfId="831"/>
    <cellStyle name="桁区切り 4 2 2" xfId="832"/>
    <cellStyle name="桁区切り 4 2 3" xfId="833"/>
    <cellStyle name="桁区切り 4 3" xfId="834"/>
    <cellStyle name="桁区切り 4 4" xfId="835"/>
    <cellStyle name="桁区切り 5" xfId="836"/>
    <cellStyle name="桁区切り 5 2" xfId="837"/>
    <cellStyle name="桁区切り 5 3" xfId="838"/>
    <cellStyle name="桁区切り 6" xfId="839"/>
    <cellStyle name="見出し 1 2" xfId="840"/>
    <cellStyle name="見出し 1 3" xfId="841"/>
    <cellStyle name="見出し 1 4" xfId="842"/>
    <cellStyle name="見出し 1 5" xfId="843"/>
    <cellStyle name="見出し 1 6" xfId="844"/>
    <cellStyle name="見出し 1 7" xfId="845"/>
    <cellStyle name="見出し 1 8" xfId="846"/>
    <cellStyle name="見出し 1 9" xfId="847"/>
    <cellStyle name="見出し 2 2" xfId="848"/>
    <cellStyle name="見出し 2 3" xfId="849"/>
    <cellStyle name="見出し 2 4" xfId="850"/>
    <cellStyle name="見出し 2 5" xfId="851"/>
    <cellStyle name="見出し 2 6" xfId="852"/>
    <cellStyle name="見出し 2 7" xfId="853"/>
    <cellStyle name="見出し 2 8" xfId="854"/>
    <cellStyle name="見出し 2 9" xfId="855"/>
    <cellStyle name="見出し 3 2" xfId="856"/>
    <cellStyle name="見出し 3 3" xfId="857"/>
    <cellStyle name="見出し 3 4" xfId="858"/>
    <cellStyle name="見出し 3 5" xfId="859"/>
    <cellStyle name="見出し 3 6" xfId="860"/>
    <cellStyle name="見出し 3 7" xfId="861"/>
    <cellStyle name="見出し 3 8" xfId="862"/>
    <cellStyle name="見出し 3 9" xfId="863"/>
    <cellStyle name="見出し 4 2" xfId="864"/>
    <cellStyle name="見出し 4 3" xfId="865"/>
    <cellStyle name="見出し 4 4" xfId="866"/>
    <cellStyle name="見出し 4 5" xfId="867"/>
    <cellStyle name="見出し 4 6" xfId="868"/>
    <cellStyle name="見出し 4 7" xfId="869"/>
    <cellStyle name="見出し 4 8" xfId="870"/>
    <cellStyle name="見出し 4 9" xfId="871"/>
    <cellStyle name="構成図作成用" xfId="872"/>
    <cellStyle name="取り消し" xfId="873"/>
    <cellStyle name="集計 2" xfId="874"/>
    <cellStyle name="集計 2 2" xfId="875"/>
    <cellStyle name="集計 2 2 2" xfId="876"/>
    <cellStyle name="集計 2 2 2 2" xfId="877"/>
    <cellStyle name="集計 2 2 2 2 2" xfId="878"/>
    <cellStyle name="集計 2 2 2 3" xfId="879"/>
    <cellStyle name="集計 2 2 2 3 2" xfId="880"/>
    <cellStyle name="集計 2 2 2 4" xfId="881"/>
    <cellStyle name="集計 2 2 2 4 2" xfId="882"/>
    <cellStyle name="集計 2 2 2 5" xfId="883"/>
    <cellStyle name="集計 2 2 2 5 2" xfId="884"/>
    <cellStyle name="集計 2 2 2 6" xfId="885"/>
    <cellStyle name="集計 2 2 2 6 2" xfId="886"/>
    <cellStyle name="集計 2 2 2 7" xfId="887"/>
    <cellStyle name="集計 2 2 3" xfId="888"/>
    <cellStyle name="集計 2 2 3 2" xfId="889"/>
    <cellStyle name="集計 2 3" xfId="890"/>
    <cellStyle name="集計 2 3 2" xfId="891"/>
    <cellStyle name="集計 2 3 2 2" xfId="892"/>
    <cellStyle name="集計 2 3 3" xfId="893"/>
    <cellStyle name="集計 2 3 3 2" xfId="894"/>
    <cellStyle name="集計 2 3 4" xfId="895"/>
    <cellStyle name="集計 2 3 4 2" xfId="896"/>
    <cellStyle name="集計 2 3 5" xfId="897"/>
    <cellStyle name="集計 2 3 5 2" xfId="898"/>
    <cellStyle name="集計 2 3 6" xfId="899"/>
    <cellStyle name="集計 2 3 6 2" xfId="900"/>
    <cellStyle name="集計 2 3 7" xfId="901"/>
    <cellStyle name="集計 2 4" xfId="902"/>
    <cellStyle name="集計 2 4 2" xfId="903"/>
    <cellStyle name="集計 3" xfId="904"/>
    <cellStyle name="集計 3 2" xfId="905"/>
    <cellStyle name="集計 3 2 2" xfId="906"/>
    <cellStyle name="集計 3 2 2 2" xfId="907"/>
    <cellStyle name="集計 3 2 3" xfId="908"/>
    <cellStyle name="集計 3 2 3 2" xfId="909"/>
    <cellStyle name="集計 3 2 4" xfId="910"/>
    <cellStyle name="集計 3 2 4 2" xfId="911"/>
    <cellStyle name="集計 3 2 5" xfId="912"/>
    <cellStyle name="集計 3 2 5 2" xfId="913"/>
    <cellStyle name="集計 3 2 6" xfId="914"/>
    <cellStyle name="集計 3 2 6 2" xfId="915"/>
    <cellStyle name="集計 3 2 7" xfId="916"/>
    <cellStyle name="集計 3 3" xfId="917"/>
    <cellStyle name="集計 3 3 2" xfId="918"/>
    <cellStyle name="集計 3 4" xfId="919"/>
    <cellStyle name="集計 4" xfId="920"/>
    <cellStyle name="集計 4 2" xfId="921"/>
    <cellStyle name="集計 4 2 2" xfId="922"/>
    <cellStyle name="集計 4 3" xfId="923"/>
    <cellStyle name="集計 4 3 2" xfId="924"/>
    <cellStyle name="集計 4 4" xfId="925"/>
    <cellStyle name="集計 4 4 2" xfId="926"/>
    <cellStyle name="集計 4 5" xfId="927"/>
    <cellStyle name="集計 4 5 2" xfId="928"/>
    <cellStyle name="集計 4 6" xfId="929"/>
    <cellStyle name="集計 4 6 2" xfId="930"/>
    <cellStyle name="集計 4 7" xfId="931"/>
    <cellStyle name="集計 5" xfId="932"/>
    <cellStyle name="集計 6" xfId="933"/>
    <cellStyle name="集計 7" xfId="934"/>
    <cellStyle name="集計 8" xfId="935"/>
    <cellStyle name="集計 9" xfId="936"/>
    <cellStyle name="出力 2" xfId="937"/>
    <cellStyle name="出力 2 2" xfId="938"/>
    <cellStyle name="出力 2 2 2" xfId="939"/>
    <cellStyle name="出力 2 2 2 2" xfId="940"/>
    <cellStyle name="出力 2 2 2 2 2" xfId="941"/>
    <cellStyle name="出力 2 2 2 3" xfId="942"/>
    <cellStyle name="出力 2 2 2 3 2" xfId="943"/>
    <cellStyle name="出力 2 2 2 4" xfId="944"/>
    <cellStyle name="出力 2 2 2 4 2" xfId="945"/>
    <cellStyle name="出力 2 2 2 5" xfId="946"/>
    <cellStyle name="出力 2 2 2 5 2" xfId="947"/>
    <cellStyle name="出力 2 2 2 6" xfId="948"/>
    <cellStyle name="出力 2 2 2 6 2" xfId="949"/>
    <cellStyle name="出力 2 2 2 7" xfId="950"/>
    <cellStyle name="出力 2 2 3" xfId="951"/>
    <cellStyle name="出力 2 2 3 2" xfId="952"/>
    <cellStyle name="出力 2 3" xfId="953"/>
    <cellStyle name="出力 2 3 2" xfId="954"/>
    <cellStyle name="出力 2 3 2 2" xfId="955"/>
    <cellStyle name="出力 2 3 3" xfId="956"/>
    <cellStyle name="出力 2 3 3 2" xfId="957"/>
    <cellStyle name="出力 2 3 4" xfId="958"/>
    <cellStyle name="出力 2 3 4 2" xfId="959"/>
    <cellStyle name="出力 2 3 5" xfId="960"/>
    <cellStyle name="出力 2 3 5 2" xfId="961"/>
    <cellStyle name="出力 2 3 6" xfId="962"/>
    <cellStyle name="出力 2 3 6 2" xfId="963"/>
    <cellStyle name="出力 2 3 7" xfId="964"/>
    <cellStyle name="出力 2 4" xfId="965"/>
    <cellStyle name="出力 2 4 2" xfId="966"/>
    <cellStyle name="出力 3" xfId="967"/>
    <cellStyle name="出力 3 2" xfId="968"/>
    <cellStyle name="出力 3 2 2" xfId="969"/>
    <cellStyle name="出力 3 2 2 2" xfId="970"/>
    <cellStyle name="出力 3 2 3" xfId="971"/>
    <cellStyle name="出力 3 2 3 2" xfId="972"/>
    <cellStyle name="出力 3 2 4" xfId="973"/>
    <cellStyle name="出力 3 2 4 2" xfId="974"/>
    <cellStyle name="出力 3 2 5" xfId="975"/>
    <cellStyle name="出力 3 2 5 2" xfId="976"/>
    <cellStyle name="出力 3 2 6" xfId="977"/>
    <cellStyle name="出力 3 2 6 2" xfId="978"/>
    <cellStyle name="出力 3 2 7" xfId="979"/>
    <cellStyle name="出力 3 3" xfId="980"/>
    <cellStyle name="出力 3 3 2" xfId="981"/>
    <cellStyle name="出力 3 4" xfId="982"/>
    <cellStyle name="出力 4" xfId="983"/>
    <cellStyle name="出力 4 2" xfId="984"/>
    <cellStyle name="出力 4 2 2" xfId="985"/>
    <cellStyle name="出力 4 3" xfId="986"/>
    <cellStyle name="出力 4 3 2" xfId="987"/>
    <cellStyle name="出力 4 4" xfId="988"/>
    <cellStyle name="出力 4 4 2" xfId="989"/>
    <cellStyle name="出力 4 5" xfId="990"/>
    <cellStyle name="出力 4 5 2" xfId="991"/>
    <cellStyle name="出力 4 6" xfId="992"/>
    <cellStyle name="出力 4 6 2" xfId="993"/>
    <cellStyle name="出力 4 7" xfId="994"/>
    <cellStyle name="出力 5" xfId="995"/>
    <cellStyle name="出力 6" xfId="996"/>
    <cellStyle name="出力 7" xfId="997"/>
    <cellStyle name="出力 8" xfId="998"/>
    <cellStyle name="出力 9" xfId="999"/>
    <cellStyle name="人月" xfId="1000"/>
    <cellStyle name="説明文 2" xfId="1001"/>
    <cellStyle name="説明文 3" xfId="1002"/>
    <cellStyle name="説明文 4" xfId="1003"/>
    <cellStyle name="説明文 5" xfId="1004"/>
    <cellStyle name="説明文 6" xfId="1005"/>
    <cellStyle name="説明文 7" xfId="1006"/>
    <cellStyle name="説明文 8" xfId="1007"/>
    <cellStyle name="説明文 9" xfId="1008"/>
    <cellStyle name="脱浦 [0.00]_laroux" xfId="1009"/>
    <cellStyle name="脱浦_laroux" xfId="1010"/>
    <cellStyle name="通貨 [0.00" xfId="1011"/>
    <cellStyle name="通貨 [0.00 2" xfId="1012"/>
    <cellStyle name="通貨 [0.00 3" xfId="1013"/>
    <cellStyle name="通貨 [0.00 4" xfId="1014"/>
    <cellStyle name="通貨 [0.00 5" xfId="1015"/>
    <cellStyle name="通貨 [0.00 6" xfId="1016"/>
    <cellStyle name="通貨 2" xfId="1017"/>
    <cellStyle name="通貨 2 2" xfId="1018"/>
    <cellStyle name="通貨 2 2 2" xfId="1019"/>
    <cellStyle name="通貨 2 2 3" xfId="1020"/>
    <cellStyle name="通貨 2 3" xfId="1021"/>
    <cellStyle name="通貨 2 4" xfId="1022"/>
    <cellStyle name="通貨 2 5" xfId="1023"/>
    <cellStyle name="通貨 3" xfId="1024"/>
    <cellStyle name="入力 2" xfId="1025"/>
    <cellStyle name="入力 2 2" xfId="1026"/>
    <cellStyle name="入力 2 2 2" xfId="1027"/>
    <cellStyle name="入力 2 2 2 2" xfId="1028"/>
    <cellStyle name="入力 2 2 2 2 2" xfId="1029"/>
    <cellStyle name="入力 2 2 2 3" xfId="1030"/>
    <cellStyle name="入力 2 2 2 3 2" xfId="1031"/>
    <cellStyle name="入力 2 2 2 4" xfId="1032"/>
    <cellStyle name="入力 2 2 2 4 2" xfId="1033"/>
    <cellStyle name="入力 2 2 2 5" xfId="1034"/>
    <cellStyle name="入力 2 2 2 5 2" xfId="1035"/>
    <cellStyle name="入力 2 2 2 6" xfId="1036"/>
    <cellStyle name="入力 2 2 2 6 2" xfId="1037"/>
    <cellStyle name="入力 2 2 2 7" xfId="1038"/>
    <cellStyle name="入力 2 2 3" xfId="1039"/>
    <cellStyle name="入力 2 2 3 2" xfId="1040"/>
    <cellStyle name="入力 2 2 4" xfId="1041"/>
    <cellStyle name="入力 2 3" xfId="1042"/>
    <cellStyle name="入力 2 3 2" xfId="1043"/>
    <cellStyle name="入力 2 3 2 2" xfId="1044"/>
    <cellStyle name="入力 2 3 3" xfId="1045"/>
    <cellStyle name="入力 2 3 3 2" xfId="1046"/>
    <cellStyle name="入力 2 3 4" xfId="1047"/>
    <cellStyle name="入力 2 3 4 2" xfId="1048"/>
    <cellStyle name="入力 2 3 5" xfId="1049"/>
    <cellStyle name="入力 2 3 5 2" xfId="1050"/>
    <cellStyle name="入力 2 3 6" xfId="1051"/>
    <cellStyle name="入力 2 3 6 2" xfId="1052"/>
    <cellStyle name="入力 2 3 7" xfId="1053"/>
    <cellStyle name="入力 2 4" xfId="1054"/>
    <cellStyle name="入力 2 4 2" xfId="1055"/>
    <cellStyle name="入力 2 5" xfId="1056"/>
    <cellStyle name="入力 3" xfId="1057"/>
    <cellStyle name="入力 3 2" xfId="1058"/>
    <cellStyle name="入力 3 2 2" xfId="1059"/>
    <cellStyle name="入力 3 2 2 2" xfId="1060"/>
    <cellStyle name="入力 3 2 3" xfId="1061"/>
    <cellStyle name="入力 3 2 3 2" xfId="1062"/>
    <cellStyle name="入力 3 2 4" xfId="1063"/>
    <cellStyle name="入力 3 2 4 2" xfId="1064"/>
    <cellStyle name="入力 3 2 5" xfId="1065"/>
    <cellStyle name="入力 3 2 5 2" xfId="1066"/>
    <cellStyle name="入力 3 2 6" xfId="1067"/>
    <cellStyle name="入力 3 2 6 2" xfId="1068"/>
    <cellStyle name="入力 3 2 7" xfId="1069"/>
    <cellStyle name="入力 3 3" xfId="1070"/>
    <cellStyle name="入力 3 3 2" xfId="1071"/>
    <cellStyle name="入力 3 4" xfId="1072"/>
    <cellStyle name="入力 4" xfId="1073"/>
    <cellStyle name="入力 4 2" xfId="1074"/>
    <cellStyle name="入力 4 2 2" xfId="1075"/>
    <cellStyle name="入力 4 3" xfId="1076"/>
    <cellStyle name="入力 4 3 2" xfId="1077"/>
    <cellStyle name="入力 4 4" xfId="1078"/>
    <cellStyle name="入力 4 4 2" xfId="1079"/>
    <cellStyle name="入力 4 5" xfId="1080"/>
    <cellStyle name="入力 4 5 2" xfId="1081"/>
    <cellStyle name="入力 4 6" xfId="1082"/>
    <cellStyle name="入力 4 6 2" xfId="1083"/>
    <cellStyle name="入力 4 7" xfId="1084"/>
    <cellStyle name="入力 5" xfId="1085"/>
    <cellStyle name="入力 6" xfId="1086"/>
    <cellStyle name="入力 7" xfId="1087"/>
    <cellStyle name="入力 8" xfId="1088"/>
    <cellStyle name="入力 9" xfId="1089"/>
    <cellStyle builtinId="0" name="標準" xfId="0"/>
    <cellStyle name="標準 10" xfId="1090"/>
    <cellStyle name="標準 10 2" xfId="1091"/>
    <cellStyle name="標準 10 3" xfId="2"/>
    <cellStyle name="標準 10 4" xfId="1092"/>
    <cellStyle name="標準 10 5" xfId="1093"/>
    <cellStyle name="標準 100" xfId="1094"/>
    <cellStyle name="標準 100 2" xfId="1095"/>
    <cellStyle name="標準 100 2 2" xfId="1096"/>
    <cellStyle name="標準 100 2 2 2" xfId="1097"/>
    <cellStyle name="標準 100 2 2 3" xfId="1098"/>
    <cellStyle name="標準 100 2 2 4" xfId="1099"/>
    <cellStyle name="標準 100 2 3" xfId="1100"/>
    <cellStyle name="標準 100 2 4" xfId="1101"/>
    <cellStyle name="標準 100 2 5" xfId="1102"/>
    <cellStyle name="標準 100 3" xfId="1103"/>
    <cellStyle name="標準 100 3 2" xfId="1104"/>
    <cellStyle name="標準 100 3 3" xfId="1105"/>
    <cellStyle name="標準 100 3 4" xfId="1106"/>
    <cellStyle name="標準 100 4" xfId="1107"/>
    <cellStyle name="標準 100 5" xfId="1108"/>
    <cellStyle name="標準 100 6" xfId="1109"/>
    <cellStyle name="標準 101" xfId="1110"/>
    <cellStyle name="標準 102" xfId="1111"/>
    <cellStyle name="標準 102 2" xfId="1112"/>
    <cellStyle name="標準 102 2 2" xfId="1113"/>
    <cellStyle name="標準 102 2 3" xfId="1114"/>
    <cellStyle name="標準 102 2 4" xfId="1115"/>
    <cellStyle name="標準 102 3" xfId="1116"/>
    <cellStyle name="標準 102 4" xfId="1117"/>
    <cellStyle name="標準 102 5" xfId="1118"/>
    <cellStyle name="標準 103" xfId="1119"/>
    <cellStyle name="標準 104" xfId="1120"/>
    <cellStyle name="標準 104 2" xfId="1121"/>
    <cellStyle name="標準 104 3" xfId="1122"/>
    <cellStyle name="標準 104 4" xfId="1123"/>
    <cellStyle name="標準 105" xfId="1124"/>
    <cellStyle name="標準 106" xfId="1125"/>
    <cellStyle name="標準 107" xfId="1126"/>
    <cellStyle name="標準 108" xfId="1127"/>
    <cellStyle name="標準 109" xfId="1128"/>
    <cellStyle name="標準 11" xfId="1129"/>
    <cellStyle name="標準 11 2" xfId="1130"/>
    <cellStyle name="標準 11 3" xfId="1131"/>
    <cellStyle name="標準 110" xfId="1132"/>
    <cellStyle name="標準 111" xfId="1133"/>
    <cellStyle name="標準 112" xfId="1134"/>
    <cellStyle name="標準 113" xfId="1135"/>
    <cellStyle name="標準 114" xfId="1136"/>
    <cellStyle name="標準 115" xfId="1137"/>
    <cellStyle name="標準 116" xfId="1138"/>
    <cellStyle name="標準 117" xfId="1139"/>
    <cellStyle name="標準 118" xfId="1140"/>
    <cellStyle name="標準 119" xfId="1141"/>
    <cellStyle name="標準 12" xfId="1142"/>
    <cellStyle name="標準 12 2" xfId="1143"/>
    <cellStyle name="標準 12 2 2" xfId="1144"/>
    <cellStyle name="標準 12 2 3" xfId="1145"/>
    <cellStyle name="標準 12 3" xfId="1146"/>
    <cellStyle name="標準 12 3 2" xfId="1147"/>
    <cellStyle name="標準 12 3 3" xfId="1148"/>
    <cellStyle name="標準 120" xfId="1149"/>
    <cellStyle name="標準 121" xfId="1150"/>
    <cellStyle name="標準 122" xfId="1151"/>
    <cellStyle name="標準 123" xfId="1152"/>
    <cellStyle name="標準 124" xfId="1153"/>
    <cellStyle name="標準 125" xfId="1154"/>
    <cellStyle name="標準 126" xfId="1155"/>
    <cellStyle name="標準 127" xfId="1156"/>
    <cellStyle name="標準 128" xfId="1157"/>
    <cellStyle name="標準 129" xfId="1158"/>
    <cellStyle name="標準 13" xfId="1159"/>
    <cellStyle name="標準 13 2" xfId="1160"/>
    <cellStyle name="標準 13 3" xfId="1161"/>
    <cellStyle name="標準 13 4" xfId="1162"/>
    <cellStyle name="標準 13 5" xfId="1163"/>
    <cellStyle name="標準 130" xfId="1164"/>
    <cellStyle name="標準 131" xfId="1165"/>
    <cellStyle name="標準 132" xfId="1"/>
    <cellStyle name="標準 136" xfId="1166"/>
    <cellStyle name="標準 14" xfId="1167"/>
    <cellStyle name="標準 14 2" xfId="1168"/>
    <cellStyle name="標準 14 2 2" xfId="1169"/>
    <cellStyle name="標準 14 2 3" xfId="1170"/>
    <cellStyle name="標準 14 3" xfId="1171"/>
    <cellStyle name="標準 14 4" xfId="1172"/>
    <cellStyle name="標準 15" xfId="1173"/>
    <cellStyle name="標準 15 2" xfId="1174"/>
    <cellStyle name="標準 15 2 2" xfId="1175"/>
    <cellStyle name="標準 15 2 3" xfId="1176"/>
    <cellStyle name="標準 15 3" xfId="1177"/>
    <cellStyle name="標準 15 4" xfId="1178"/>
    <cellStyle name="標準 15 5" xfId="1179"/>
    <cellStyle name="標準 15 6" xfId="1180"/>
    <cellStyle name="標準 16" xfId="1181"/>
    <cellStyle name="標準 16 2" xfId="1182"/>
    <cellStyle name="標準 16 2 2" xfId="1183"/>
    <cellStyle name="標準 16 2 3" xfId="1184"/>
    <cellStyle name="標準 16 3" xfId="1185"/>
    <cellStyle name="標準 16 4" xfId="1186"/>
    <cellStyle name="標準 16 5" xfId="1187"/>
    <cellStyle name="標準 17" xfId="1188"/>
    <cellStyle name="標準 17 2" xfId="1189"/>
    <cellStyle name="標準 17 2 2" xfId="1190"/>
    <cellStyle name="標準 17 2 3" xfId="1191"/>
    <cellStyle name="標準 17 3" xfId="1192"/>
    <cellStyle name="標準 17 4" xfId="1193"/>
    <cellStyle name="標準 17 5" xfId="1194"/>
    <cellStyle name="標準 18" xfId="1195"/>
    <cellStyle name="標準 18 2" xfId="1196"/>
    <cellStyle name="標準 18 2 2" xfId="1197"/>
    <cellStyle name="標準 18 2 3" xfId="1198"/>
    <cellStyle name="標準 18 2 4" xfId="1199"/>
    <cellStyle name="標準 18 3" xfId="1200"/>
    <cellStyle name="標準 18 4" xfId="1201"/>
    <cellStyle name="標準 18 5" xfId="1202"/>
    <cellStyle name="標準 18 6" xfId="1203"/>
    <cellStyle name="標準 19" xfId="1204"/>
    <cellStyle name="標準 19 2" xfId="1205"/>
    <cellStyle name="標準 19 3" xfId="1206"/>
    <cellStyle name="標準 2" xfId="1207"/>
    <cellStyle name="標準 2 10" xfId="1208"/>
    <cellStyle name="標準 2 11" xfId="1209"/>
    <cellStyle name="標準 2 12" xfId="1210"/>
    <cellStyle name="標準 2 13" xfId="1211"/>
    <cellStyle name="標準 2 2" xfId="1212"/>
    <cellStyle name="標準 2 2 2" xfId="1213"/>
    <cellStyle name="標準 2 2 2 2" xfId="1214"/>
    <cellStyle name="標準 2 2 2 2 2" xfId="1215"/>
    <cellStyle name="標準 2 2 2 2 3" xfId="1216"/>
    <cellStyle name="標準 2 2 2 3" xfId="1217"/>
    <cellStyle name="標準 2 2 3" xfId="1218"/>
    <cellStyle name="標準 2 2 3 2" xfId="1219"/>
    <cellStyle name="標準 2 2 3 3" xfId="1220"/>
    <cellStyle name="標準 2 2 4" xfId="1221"/>
    <cellStyle name="標準 2 2 4 2" xfId="1222"/>
    <cellStyle name="標準 2 2 4 3" xfId="1223"/>
    <cellStyle name="標準 2 2 5" xfId="1224"/>
    <cellStyle name="標準 2 2 5 2" xfId="1225"/>
    <cellStyle name="標準 2 2 5 3" xfId="1226"/>
    <cellStyle name="標準 2 2 6" xfId="1227"/>
    <cellStyle name="標準 2 2 6 2" xfId="1228"/>
    <cellStyle name="標準 2 2 6 3" xfId="1229"/>
    <cellStyle name="標準 2 2 7" xfId="1230"/>
    <cellStyle name="標準 2 2 8" xfId="1231"/>
    <cellStyle name="標準 2 2_(別紙1)参加者テスト仕様書(JPN)_ver1.81" xfId="1232"/>
    <cellStyle name="標準 2 3" xfId="1233"/>
    <cellStyle name="標準 2 3 2" xfId="1234"/>
    <cellStyle name="標準 2 3 2 2" xfId="1235"/>
    <cellStyle name="標準 2 3 3" xfId="1236"/>
    <cellStyle name="標準 2 3 3 2" xfId="1237"/>
    <cellStyle name="標準 2 3 3 3" xfId="1238"/>
    <cellStyle name="標準 2 3 4" xfId="1239"/>
    <cellStyle name="標準 2 4" xfId="1240"/>
    <cellStyle name="標準 2 4 2" xfId="1241"/>
    <cellStyle name="標準 2 4 2 2" xfId="1242"/>
    <cellStyle name="標準 2 4 3" xfId="1243"/>
    <cellStyle name="標準 2 5" xfId="1244"/>
    <cellStyle name="標準 2 5 2" xfId="1245"/>
    <cellStyle name="標準 2 5 3" xfId="1246"/>
    <cellStyle name="標準 2 6" xfId="1247"/>
    <cellStyle name="標準 2 6 2" xfId="1248"/>
    <cellStyle name="標準 2 6 3" xfId="1249"/>
    <cellStyle name="標準 2 6 4" xfId="1250"/>
    <cellStyle name="標準 2 7" xfId="1251"/>
    <cellStyle name="標準 2 7 2" xfId="1252"/>
    <cellStyle name="標準 2 8" xfId="1253"/>
    <cellStyle name="標準 2 8 2" xfId="1254"/>
    <cellStyle name="標準 2 9" xfId="1255"/>
    <cellStyle name="標準 2_(別紙1)参加者テスト仕様書(JPN)_ver1.81" xfId="1256"/>
    <cellStyle name="標準 20" xfId="1257"/>
    <cellStyle name="標準 20 2" xfId="1258"/>
    <cellStyle name="標準 20 3" xfId="1259"/>
    <cellStyle name="標準 20 4" xfId="1260"/>
    <cellStyle name="標準 20 5" xfId="1261"/>
    <cellStyle name="標準 21" xfId="1262"/>
    <cellStyle name="標準 21 2" xfId="1263"/>
    <cellStyle name="標準 21 2 2" xfId="1264"/>
    <cellStyle name="標準 21 3" xfId="1265"/>
    <cellStyle name="標準 21 3 2" xfId="1266"/>
    <cellStyle name="標準 21 4" xfId="1267"/>
    <cellStyle name="標準 21 5" xfId="1268"/>
    <cellStyle name="標準 22" xfId="1269"/>
    <cellStyle name="標準 22 2" xfId="1270"/>
    <cellStyle name="標準 22 3" xfId="1271"/>
    <cellStyle name="標準 23" xfId="1272"/>
    <cellStyle name="標準 23 2" xfId="1273"/>
    <cellStyle name="標準 23 3" xfId="1274"/>
    <cellStyle name="標準 24" xfId="1275"/>
    <cellStyle name="標準 24 2" xfId="1276"/>
    <cellStyle name="標準 24 3" xfId="1277"/>
    <cellStyle name="標準 25" xfId="1278"/>
    <cellStyle name="標準 26" xfId="1279"/>
    <cellStyle name="標準 27" xfId="1280"/>
    <cellStyle name="標準 28" xfId="1281"/>
    <cellStyle name="標準 29" xfId="1282"/>
    <cellStyle name="標準 3" xfId="1283"/>
    <cellStyle name="標準 3 10" xfId="1284"/>
    <cellStyle name="標準 3 11" xfId="1285"/>
    <cellStyle name="標準 3 2" xfId="1286"/>
    <cellStyle name="標準 3 2 2" xfId="1287"/>
    <cellStyle name="標準 3 2 2 2" xfId="1288"/>
    <cellStyle name="標準 3 2 2 3" xfId="1289"/>
    <cellStyle name="標準 3 2 3" xfId="1290"/>
    <cellStyle name="標準 3 2 3 2" xfId="1291"/>
    <cellStyle name="標準 3 2 3 3" xfId="1292"/>
    <cellStyle name="標準 3 2 4" xfId="1293"/>
    <cellStyle name="標準 3 2 5" xfId="1294"/>
    <cellStyle name="標準 3 3" xfId="1295"/>
    <cellStyle name="標準 3 4" xfId="1296"/>
    <cellStyle name="標準 3 4 2" xfId="1297"/>
    <cellStyle name="標準 3 4 3" xfId="1298"/>
    <cellStyle name="標準 3 5" xfId="1299"/>
    <cellStyle name="標準 3 5 2" xfId="1300"/>
    <cellStyle name="標準 3 5 3" xfId="1301"/>
    <cellStyle name="標準 3 6" xfId="1302"/>
    <cellStyle name="標準 3 6 2" xfId="1303"/>
    <cellStyle name="標準 3 7" xfId="1304"/>
    <cellStyle name="標準 3 8" xfId="1305"/>
    <cellStyle name="標準 3 9" xfId="1306"/>
    <cellStyle name="標準 3_【Quick取得データ配信ツール(仮)】課題管理表（EUC）_20121210" xfId="1307"/>
    <cellStyle name="標準 30" xfId="1308"/>
    <cellStyle name="標準 31" xfId="1309"/>
    <cellStyle name="標準 31 2" xfId="1310"/>
    <cellStyle name="標準 31 3" xfId="1311"/>
    <cellStyle name="標準 32" xfId="1312"/>
    <cellStyle name="標準 32 2" xfId="1313"/>
    <cellStyle name="標準 32 3" xfId="1314"/>
    <cellStyle name="標準 33" xfId="1315"/>
    <cellStyle name="標準 33 2" xfId="1316"/>
    <cellStyle name="標準 33 3" xfId="1317"/>
    <cellStyle name="標準 34" xfId="1318"/>
    <cellStyle name="標準 34 2" xfId="1319"/>
    <cellStyle name="標準 34 3" xfId="1320"/>
    <cellStyle name="標準 35" xfId="1321"/>
    <cellStyle name="標準 35 2" xfId="1322"/>
    <cellStyle name="標準 35 3" xfId="1323"/>
    <cellStyle name="標準 36" xfId="1324"/>
    <cellStyle name="標準 36 2" xfId="1325"/>
    <cellStyle name="標準 36 3" xfId="1326"/>
    <cellStyle name="標準 37" xfId="1327"/>
    <cellStyle name="標準 37 2" xfId="1328"/>
    <cellStyle name="標準 37 3" xfId="1329"/>
    <cellStyle name="標準 38" xfId="1330"/>
    <cellStyle name="標準 39" xfId="1331"/>
    <cellStyle name="標準 39 2" xfId="1332"/>
    <cellStyle name="標準 39 3" xfId="1333"/>
    <cellStyle name="標準 4" xfId="1334"/>
    <cellStyle name="標準 4 2" xfId="1335"/>
    <cellStyle name="標準 4 2 2" xfId="1336"/>
    <cellStyle name="標準 4 2 2 2" xfId="1337"/>
    <cellStyle name="標準 4 2 2 3" xfId="1338"/>
    <cellStyle name="標準 4 2 3" xfId="1339"/>
    <cellStyle name="標準 4 3" xfId="1340"/>
    <cellStyle name="標準 4 3 2" xfId="1341"/>
    <cellStyle name="標準 4 3 3" xfId="1342"/>
    <cellStyle name="標準 4 4" xfId="1343"/>
    <cellStyle name="標準 4 4 2" xfId="1344"/>
    <cellStyle name="標準 4 4 3" xfId="1345"/>
    <cellStyle name="標準 4 5" xfId="1346"/>
    <cellStyle name="標準 4 6" xfId="1347"/>
    <cellStyle name="標準 4_20121011__1_F⇒O_【証拠金１本化】課題管理（清算）" xfId="1348"/>
    <cellStyle name="標準 40" xfId="1349"/>
    <cellStyle name="標準 41" xfId="1350"/>
    <cellStyle name="標準 42" xfId="1351"/>
    <cellStyle name="標準 43" xfId="1352"/>
    <cellStyle name="標準 44" xfId="1353"/>
    <cellStyle name="標準 45" xfId="1354"/>
    <cellStyle name="標準 46" xfId="1355"/>
    <cellStyle name="標準 47" xfId="1356"/>
    <cellStyle name="標準 48" xfId="1357"/>
    <cellStyle name="標準 49" xfId="1358"/>
    <cellStyle name="標準 5" xfId="1359"/>
    <cellStyle name="標準 5 2" xfId="1360"/>
    <cellStyle name="標準 5 2 2" xfId="1361"/>
    <cellStyle name="標準 5 2 2 2" xfId="1362"/>
    <cellStyle name="標準 5 2 2 3" xfId="1363"/>
    <cellStyle name="標準 5 2 3" xfId="1364"/>
    <cellStyle name="標準 5 2 3 2" xfId="1365"/>
    <cellStyle name="標準 5 2 3 3" xfId="1366"/>
    <cellStyle name="標準 5 3" xfId="1367"/>
    <cellStyle name="標準 5 4" xfId="1368"/>
    <cellStyle name="標準 5 4 2" xfId="1369"/>
    <cellStyle name="標準 5_バックアップセンタ_切替テストスケジュール_20120406~10" xfId="1370"/>
    <cellStyle name="標準 50" xfId="1371"/>
    <cellStyle name="標準 51" xfId="1372"/>
    <cellStyle name="標準 52" xfId="1373"/>
    <cellStyle name="標準 53" xfId="1374"/>
    <cellStyle name="標準 54" xfId="1375"/>
    <cellStyle name="標準 55" xfId="1376"/>
    <cellStyle name="標準 56" xfId="1377"/>
    <cellStyle name="標準 57" xfId="1378"/>
    <cellStyle name="標準 58" xfId="1379"/>
    <cellStyle name="標準 59" xfId="1380"/>
    <cellStyle name="標準 6" xfId="1381"/>
    <cellStyle name="標準 6 2" xfId="1382"/>
    <cellStyle name="標準 6 2 2" xfId="1383"/>
    <cellStyle name="標準 6 2 3" xfId="1384"/>
    <cellStyle name="標準 6 2 4" xfId="1385"/>
    <cellStyle name="標準 6 3" xfId="1386"/>
    <cellStyle name="標準 6_バックアップセンタ_切替テストスケジュール_20120406~10" xfId="1387"/>
    <cellStyle name="標準 60" xfId="1388"/>
    <cellStyle name="標準 61" xfId="1389"/>
    <cellStyle name="標準 62" xfId="1390"/>
    <cellStyle name="標準 63" xfId="1391"/>
    <cellStyle name="標準 64" xfId="1392"/>
    <cellStyle name="標準 65" xfId="1393"/>
    <cellStyle name="標準 66" xfId="1394"/>
    <cellStyle name="標準 67" xfId="1395"/>
    <cellStyle name="標準 68" xfId="1396"/>
    <cellStyle name="標準 69" xfId="1397"/>
    <cellStyle name="標準 69 2" xfId="1398"/>
    <cellStyle name="標準 69 2 2" xfId="1399"/>
    <cellStyle name="標準 69 2 2 2" xfId="1400"/>
    <cellStyle name="標準 69 2 2 3" xfId="1401"/>
    <cellStyle name="標準 69 2 2 4" xfId="1402"/>
    <cellStyle name="標準 69 2 3" xfId="1403"/>
    <cellStyle name="標準 69 2 4" xfId="1404"/>
    <cellStyle name="標準 69 2 5" xfId="1405"/>
    <cellStyle name="標準 69 3" xfId="1406"/>
    <cellStyle name="標準 69 3 2" xfId="1407"/>
    <cellStyle name="標準 69 3 3" xfId="1408"/>
    <cellStyle name="標準 69 3 4" xfId="1409"/>
    <cellStyle name="標準 69 4" xfId="1410"/>
    <cellStyle name="標準 69 5" xfId="1411"/>
    <cellStyle name="標準 69 6" xfId="1412"/>
    <cellStyle name="標準 69 7" xfId="1413"/>
    <cellStyle name="標準 69 8" xfId="1414"/>
    <cellStyle name="標準 7" xfId="1415"/>
    <cellStyle name="標準 7 2" xfId="1416"/>
    <cellStyle name="標準 7 2 2" xfId="1417"/>
    <cellStyle name="標準 7 2 3" xfId="1418"/>
    <cellStyle name="標準 7 3" xfId="1419"/>
    <cellStyle name="標準 7 3 2" xfId="1420"/>
    <cellStyle name="標準 7 3 3" xfId="1421"/>
    <cellStyle name="標準 7 4" xfId="1422"/>
    <cellStyle name="標準 7 4 2" xfId="1423"/>
    <cellStyle name="標準 7 4 3" xfId="1424"/>
    <cellStyle name="標準 7 5" xfId="1425"/>
    <cellStyle name="標準 70" xfId="1426"/>
    <cellStyle name="標準 70 2" xfId="1427"/>
    <cellStyle name="標準 70 2 2" xfId="1428"/>
    <cellStyle name="標準 70 2 2 2" xfId="1429"/>
    <cellStyle name="標準 70 2 2 3" xfId="1430"/>
    <cellStyle name="標準 70 2 2 4" xfId="1431"/>
    <cellStyle name="標準 70 2 3" xfId="1432"/>
    <cellStyle name="標準 70 2 4" xfId="1433"/>
    <cellStyle name="標準 70 2 5" xfId="1434"/>
    <cellStyle name="標準 70 3" xfId="1435"/>
    <cellStyle name="標準 70 3 2" xfId="1436"/>
    <cellStyle name="標準 70 3 3" xfId="1437"/>
    <cellStyle name="標準 70 3 4" xfId="1438"/>
    <cellStyle name="標準 70 4" xfId="1439"/>
    <cellStyle name="標準 70 5" xfId="1440"/>
    <cellStyle name="標準 70 6" xfId="1441"/>
    <cellStyle name="標準 70 7" xfId="1442"/>
    <cellStyle name="標準 70 8" xfId="1443"/>
    <cellStyle name="標準 71" xfId="1444"/>
    <cellStyle name="標準 71 2" xfId="1445"/>
    <cellStyle name="標準 71 2 2" xfId="1446"/>
    <cellStyle name="標準 71 2 2 2" xfId="1447"/>
    <cellStyle name="標準 71 2 2 3" xfId="1448"/>
    <cellStyle name="標準 71 2 2 4" xfId="1449"/>
    <cellStyle name="標準 71 2 3" xfId="1450"/>
    <cellStyle name="標準 71 2 4" xfId="1451"/>
    <cellStyle name="標準 71 2 5" xfId="1452"/>
    <cellStyle name="標準 71 3" xfId="1453"/>
    <cellStyle name="標準 71 3 2" xfId="1454"/>
    <cellStyle name="標準 71 3 3" xfId="1455"/>
    <cellStyle name="標準 71 3 4" xfId="1456"/>
    <cellStyle name="標準 71 4" xfId="1457"/>
    <cellStyle name="標準 71 5" xfId="1458"/>
    <cellStyle name="標準 71 6" xfId="1459"/>
    <cellStyle name="標準 71 7" xfId="1460"/>
    <cellStyle name="標準 71 8" xfId="1461"/>
    <cellStyle name="標準 72" xfId="1462"/>
    <cellStyle name="標準 72 2" xfId="1463"/>
    <cellStyle name="標準 72 2 2" xfId="1464"/>
    <cellStyle name="標準 72 2 2 2" xfId="1465"/>
    <cellStyle name="標準 72 2 2 3" xfId="1466"/>
    <cellStyle name="標準 72 2 2 4" xfId="1467"/>
    <cellStyle name="標準 72 2 3" xfId="1468"/>
    <cellStyle name="標準 72 2 4" xfId="1469"/>
    <cellStyle name="標準 72 2 5" xfId="1470"/>
    <cellStyle name="標準 72 3" xfId="1471"/>
    <cellStyle name="標準 72 3 2" xfId="1472"/>
    <cellStyle name="標準 72 3 3" xfId="1473"/>
    <cellStyle name="標準 72 3 4" xfId="1474"/>
    <cellStyle name="標準 72 4" xfId="1475"/>
    <cellStyle name="標準 72 5" xfId="1476"/>
    <cellStyle name="標準 72 6" xfId="1477"/>
    <cellStyle name="標準 72 7" xfId="1478"/>
    <cellStyle name="標準 72 8" xfId="1479"/>
    <cellStyle name="標準 73" xfId="1480"/>
    <cellStyle name="標準 73 2" xfId="1481"/>
    <cellStyle name="標準 73 2 2" xfId="1482"/>
    <cellStyle name="標準 73 2 2 2" xfId="1483"/>
    <cellStyle name="標準 73 2 2 3" xfId="1484"/>
    <cellStyle name="標準 73 2 2 4" xfId="1485"/>
    <cellStyle name="標準 73 2 3" xfId="1486"/>
    <cellStyle name="標準 73 2 4" xfId="1487"/>
    <cellStyle name="標準 73 2 5" xfId="1488"/>
    <cellStyle name="標準 73 3" xfId="1489"/>
    <cellStyle name="標準 73 3 2" xfId="1490"/>
    <cellStyle name="標準 73 3 3" xfId="1491"/>
    <cellStyle name="標準 73 3 4" xfId="1492"/>
    <cellStyle name="標準 73 4" xfId="1493"/>
    <cellStyle name="標準 73 5" xfId="1494"/>
    <cellStyle name="標準 73 6" xfId="1495"/>
    <cellStyle name="標準 74" xfId="1496"/>
    <cellStyle name="標準 74 2" xfId="1497"/>
    <cellStyle name="標準 74 2 2" xfId="1498"/>
    <cellStyle name="標準 74 2 2 2" xfId="1499"/>
    <cellStyle name="標準 74 2 2 3" xfId="1500"/>
    <cellStyle name="標準 74 2 2 4" xfId="1501"/>
    <cellStyle name="標準 74 2 3" xfId="1502"/>
    <cellStyle name="標準 74 2 4" xfId="1503"/>
    <cellStyle name="標準 74 2 5" xfId="1504"/>
    <cellStyle name="標準 74 3" xfId="1505"/>
    <cellStyle name="標準 74 3 2" xfId="1506"/>
    <cellStyle name="標準 74 3 3" xfId="1507"/>
    <cellStyle name="標準 74 3 4" xfId="1508"/>
    <cellStyle name="標準 74 4" xfId="1509"/>
    <cellStyle name="標準 74 5" xfId="1510"/>
    <cellStyle name="標準 74 6" xfId="1511"/>
    <cellStyle name="標準 75" xfId="1512"/>
    <cellStyle name="標準 75 2" xfId="1513"/>
    <cellStyle name="標準 75 2 2" xfId="1514"/>
    <cellStyle name="標準 75 2 2 2" xfId="1515"/>
    <cellStyle name="標準 75 2 2 3" xfId="1516"/>
    <cellStyle name="標準 75 2 2 4" xfId="1517"/>
    <cellStyle name="標準 75 2 3" xfId="1518"/>
    <cellStyle name="標準 75 2 4" xfId="1519"/>
    <cellStyle name="標準 75 2 5" xfId="1520"/>
    <cellStyle name="標準 75 3" xfId="1521"/>
    <cellStyle name="標準 75 3 2" xfId="1522"/>
    <cellStyle name="標準 75 3 3" xfId="1523"/>
    <cellStyle name="標準 75 3 4" xfId="1524"/>
    <cellStyle name="標準 75 4" xfId="1525"/>
    <cellStyle name="標準 75 5" xfId="1526"/>
    <cellStyle name="標準 75 6" xfId="1527"/>
    <cellStyle name="標準 76" xfId="1528"/>
    <cellStyle name="標準 76 2" xfId="1529"/>
    <cellStyle name="標準 76 2 2" xfId="1530"/>
    <cellStyle name="標準 76 2 2 2" xfId="1531"/>
    <cellStyle name="標準 76 2 2 3" xfId="1532"/>
    <cellStyle name="標準 76 2 2 4" xfId="1533"/>
    <cellStyle name="標準 76 2 3" xfId="1534"/>
    <cellStyle name="標準 76 2 4" xfId="1535"/>
    <cellStyle name="標準 76 2 5" xfId="1536"/>
    <cellStyle name="標準 76 3" xfId="1537"/>
    <cellStyle name="標準 76 3 2" xfId="1538"/>
    <cellStyle name="標準 76 3 3" xfId="1539"/>
    <cellStyle name="標準 76 3 4" xfId="1540"/>
    <cellStyle name="標準 76 4" xfId="1541"/>
    <cellStyle name="標準 76 5" xfId="1542"/>
    <cellStyle name="標準 76 6" xfId="1543"/>
    <cellStyle name="標準 77" xfId="1544"/>
    <cellStyle name="標準 77 2" xfId="1545"/>
    <cellStyle name="標準 77 2 2" xfId="1546"/>
    <cellStyle name="標準 77 2 2 2" xfId="1547"/>
    <cellStyle name="標準 77 2 2 3" xfId="1548"/>
    <cellStyle name="標準 77 2 2 4" xfId="1549"/>
    <cellStyle name="標準 77 2 3" xfId="1550"/>
    <cellStyle name="標準 77 2 4" xfId="1551"/>
    <cellStyle name="標準 77 2 5" xfId="1552"/>
    <cellStyle name="標準 77 3" xfId="1553"/>
    <cellStyle name="標準 77 3 2" xfId="1554"/>
    <cellStyle name="標準 77 3 3" xfId="1555"/>
    <cellStyle name="標準 77 3 4" xfId="1556"/>
    <cellStyle name="標準 77 4" xfId="1557"/>
    <cellStyle name="標準 77 5" xfId="1558"/>
    <cellStyle name="標準 77 6" xfId="1559"/>
    <cellStyle name="標準 78" xfId="1560"/>
    <cellStyle name="標準 78 2" xfId="1561"/>
    <cellStyle name="標準 78 2 2" xfId="1562"/>
    <cellStyle name="標準 78 2 2 2" xfId="1563"/>
    <cellStyle name="標準 78 2 2 3" xfId="1564"/>
    <cellStyle name="標準 78 2 2 4" xfId="1565"/>
    <cellStyle name="標準 78 2 3" xfId="1566"/>
    <cellStyle name="標準 78 2 4" xfId="1567"/>
    <cellStyle name="標準 78 2 5" xfId="1568"/>
    <cellStyle name="標準 78 3" xfId="1569"/>
    <cellStyle name="標準 78 3 2" xfId="1570"/>
    <cellStyle name="標準 78 3 3" xfId="1571"/>
    <cellStyle name="標準 78 3 4" xfId="1572"/>
    <cellStyle name="標準 78 4" xfId="1573"/>
    <cellStyle name="標準 78 5" xfId="1574"/>
    <cellStyle name="標準 78 6" xfId="1575"/>
    <cellStyle name="標準 79" xfId="1576"/>
    <cellStyle name="標準 79 2" xfId="1577"/>
    <cellStyle name="標準 79 2 2" xfId="1578"/>
    <cellStyle name="標準 79 2 2 2" xfId="1579"/>
    <cellStyle name="標準 79 2 2 3" xfId="1580"/>
    <cellStyle name="標準 79 2 2 4" xfId="1581"/>
    <cellStyle name="標準 79 2 3" xfId="1582"/>
    <cellStyle name="標準 79 2 4" xfId="1583"/>
    <cellStyle name="標準 79 2 5" xfId="1584"/>
    <cellStyle name="標準 79 3" xfId="1585"/>
    <cellStyle name="標準 79 3 2" xfId="1586"/>
    <cellStyle name="標準 79 3 3" xfId="1587"/>
    <cellStyle name="標準 79 3 4" xfId="1588"/>
    <cellStyle name="標準 79 4" xfId="1589"/>
    <cellStyle name="標準 79 5" xfId="1590"/>
    <cellStyle name="標準 79 6" xfId="1591"/>
    <cellStyle name="標準 8" xfId="1592"/>
    <cellStyle name="標準 8 2" xfId="1593"/>
    <cellStyle name="標準 8 3" xfId="1594"/>
    <cellStyle name="標準 8 4" xfId="1595"/>
    <cellStyle name="標準 8 5" xfId="1596"/>
    <cellStyle name="標準 8 6" xfId="1597"/>
    <cellStyle name="標準 80" xfId="1598"/>
    <cellStyle name="標準 80 2" xfId="1599"/>
    <cellStyle name="標準 80 2 2" xfId="1600"/>
    <cellStyle name="標準 80 2 2 2" xfId="1601"/>
    <cellStyle name="標準 80 2 2 3" xfId="1602"/>
    <cellStyle name="標準 80 2 2 4" xfId="1603"/>
    <cellStyle name="標準 80 2 3" xfId="1604"/>
    <cellStyle name="標準 80 2 4" xfId="1605"/>
    <cellStyle name="標準 80 2 5" xfId="1606"/>
    <cellStyle name="標準 80 3" xfId="1607"/>
    <cellStyle name="標準 80 3 2" xfId="1608"/>
    <cellStyle name="標準 80 3 3" xfId="1609"/>
    <cellStyle name="標準 80 3 4" xfId="1610"/>
    <cellStyle name="標準 80 4" xfId="1611"/>
    <cellStyle name="標準 80 5" xfId="1612"/>
    <cellStyle name="標準 80 6" xfId="1613"/>
    <cellStyle name="標準 81" xfId="1614"/>
    <cellStyle name="標準 81 2" xfId="1615"/>
    <cellStyle name="標準 81 2 2" xfId="1616"/>
    <cellStyle name="標準 81 2 2 2" xfId="1617"/>
    <cellStyle name="標準 81 2 2 3" xfId="1618"/>
    <cellStyle name="標準 81 2 2 4" xfId="1619"/>
    <cellStyle name="標準 81 2 3" xfId="1620"/>
    <cellStyle name="標準 81 2 4" xfId="1621"/>
    <cellStyle name="標準 81 2 5" xfId="1622"/>
    <cellStyle name="標準 81 3" xfId="1623"/>
    <cellStyle name="標準 81 3 2" xfId="1624"/>
    <cellStyle name="標準 81 3 3" xfId="1625"/>
    <cellStyle name="標準 81 3 4" xfId="1626"/>
    <cellStyle name="標準 81 4" xfId="1627"/>
    <cellStyle name="標準 81 5" xfId="1628"/>
    <cellStyle name="標準 81 6" xfId="1629"/>
    <cellStyle name="標準 82" xfId="1630"/>
    <cellStyle name="標準 82 2" xfId="1631"/>
    <cellStyle name="標準 82 2 2" xfId="1632"/>
    <cellStyle name="標準 82 2 2 2" xfId="1633"/>
    <cellStyle name="標準 82 2 2 3" xfId="1634"/>
    <cellStyle name="標準 82 2 2 4" xfId="1635"/>
    <cellStyle name="標準 82 2 3" xfId="1636"/>
    <cellStyle name="標準 82 2 4" xfId="1637"/>
    <cellStyle name="標準 82 2 5" xfId="1638"/>
    <cellStyle name="標準 82 3" xfId="1639"/>
    <cellStyle name="標準 82 3 2" xfId="1640"/>
    <cellStyle name="標準 82 3 3" xfId="1641"/>
    <cellStyle name="標準 82 3 4" xfId="1642"/>
    <cellStyle name="標準 82 4" xfId="1643"/>
    <cellStyle name="標準 82 5" xfId="1644"/>
    <cellStyle name="標準 82 6" xfId="1645"/>
    <cellStyle name="標準 83" xfId="1646"/>
    <cellStyle name="標準 83 2" xfId="1647"/>
    <cellStyle name="標準 83 2 2" xfId="1648"/>
    <cellStyle name="標準 83 2 2 2" xfId="1649"/>
    <cellStyle name="標準 83 2 2 3" xfId="1650"/>
    <cellStyle name="標準 83 2 2 4" xfId="1651"/>
    <cellStyle name="標準 83 2 3" xfId="1652"/>
    <cellStyle name="標準 83 2 4" xfId="1653"/>
    <cellStyle name="標準 83 2 5" xfId="1654"/>
    <cellStyle name="標準 83 3" xfId="1655"/>
    <cellStyle name="標準 83 3 2" xfId="1656"/>
    <cellStyle name="標準 83 3 3" xfId="1657"/>
    <cellStyle name="標準 83 3 4" xfId="1658"/>
    <cellStyle name="標準 83 4" xfId="1659"/>
    <cellStyle name="標準 83 5" xfId="1660"/>
    <cellStyle name="標準 83 6" xfId="1661"/>
    <cellStyle name="標準 84" xfId="1662"/>
    <cellStyle name="標準 84 2" xfId="1663"/>
    <cellStyle name="標準 84 2 2" xfId="1664"/>
    <cellStyle name="標準 84 2 2 2" xfId="1665"/>
    <cellStyle name="標準 84 2 2 3" xfId="1666"/>
    <cellStyle name="標準 84 2 2 4" xfId="1667"/>
    <cellStyle name="標準 84 2 3" xfId="1668"/>
    <cellStyle name="標準 84 2 4" xfId="1669"/>
    <cellStyle name="標準 84 2 5" xfId="1670"/>
    <cellStyle name="標準 84 3" xfId="1671"/>
    <cellStyle name="標準 84 3 2" xfId="1672"/>
    <cellStyle name="標準 84 3 3" xfId="1673"/>
    <cellStyle name="標準 84 3 4" xfId="1674"/>
    <cellStyle name="標準 84 4" xfId="1675"/>
    <cellStyle name="標準 84 5" xfId="1676"/>
    <cellStyle name="標準 84 6" xfId="1677"/>
    <cellStyle name="標準 85" xfId="1678"/>
    <cellStyle name="標準 85 2" xfId="1679"/>
    <cellStyle name="標準 85 2 2" xfId="1680"/>
    <cellStyle name="標準 85 2 2 2" xfId="1681"/>
    <cellStyle name="標準 85 2 2 3" xfId="1682"/>
    <cellStyle name="標準 85 2 2 4" xfId="1683"/>
    <cellStyle name="標準 85 2 3" xfId="1684"/>
    <cellStyle name="標準 85 2 4" xfId="1685"/>
    <cellStyle name="標準 85 2 5" xfId="1686"/>
    <cellStyle name="標準 85 3" xfId="1687"/>
    <cellStyle name="標準 85 3 2" xfId="1688"/>
    <cellStyle name="標準 85 3 3" xfId="1689"/>
    <cellStyle name="標準 85 3 4" xfId="1690"/>
    <cellStyle name="標準 85 4" xfId="1691"/>
    <cellStyle name="標準 85 5" xfId="1692"/>
    <cellStyle name="標準 85 6" xfId="1693"/>
    <cellStyle name="標準 86" xfId="1694"/>
    <cellStyle name="標準 86 2" xfId="1695"/>
    <cellStyle name="標準 86 2 2" xfId="1696"/>
    <cellStyle name="標準 86 2 2 2" xfId="1697"/>
    <cellStyle name="標準 86 2 2 3" xfId="1698"/>
    <cellStyle name="標準 86 2 2 4" xfId="1699"/>
    <cellStyle name="標準 86 2 3" xfId="1700"/>
    <cellStyle name="標準 86 2 4" xfId="1701"/>
    <cellStyle name="標準 86 2 5" xfId="1702"/>
    <cellStyle name="標準 86 3" xfId="1703"/>
    <cellStyle name="標準 86 3 2" xfId="1704"/>
    <cellStyle name="標準 86 3 3" xfId="1705"/>
    <cellStyle name="標準 86 3 4" xfId="1706"/>
    <cellStyle name="標準 86 4" xfId="1707"/>
    <cellStyle name="標準 86 5" xfId="1708"/>
    <cellStyle name="標準 86 6" xfId="1709"/>
    <cellStyle name="標準 87" xfId="1710"/>
    <cellStyle name="標準 87 2" xfId="1711"/>
    <cellStyle name="標準 87 2 2" xfId="1712"/>
    <cellStyle name="標準 87 2 2 2" xfId="1713"/>
    <cellStyle name="標準 87 2 2 3" xfId="1714"/>
    <cellStyle name="標準 87 2 2 4" xfId="1715"/>
    <cellStyle name="標準 87 2 3" xfId="1716"/>
    <cellStyle name="標準 87 2 4" xfId="1717"/>
    <cellStyle name="標準 87 2 5" xfId="1718"/>
    <cellStyle name="標準 87 3" xfId="1719"/>
    <cellStyle name="標準 87 3 2" xfId="1720"/>
    <cellStyle name="標準 87 3 3" xfId="1721"/>
    <cellStyle name="標準 87 3 4" xfId="1722"/>
    <cellStyle name="標準 87 4" xfId="1723"/>
    <cellStyle name="標準 87 5" xfId="1724"/>
    <cellStyle name="標準 87 6" xfId="1725"/>
    <cellStyle name="標準 88" xfId="1726"/>
    <cellStyle name="標準 88 2" xfId="1727"/>
    <cellStyle name="標準 88 2 2" xfId="1728"/>
    <cellStyle name="標準 88 2 2 2" xfId="1729"/>
    <cellStyle name="標準 88 2 2 3" xfId="1730"/>
    <cellStyle name="標準 88 2 2 4" xfId="1731"/>
    <cellStyle name="標準 88 2 3" xfId="1732"/>
    <cellStyle name="標準 88 2 4" xfId="1733"/>
    <cellStyle name="標準 88 2 5" xfId="1734"/>
    <cellStyle name="標準 88 3" xfId="1735"/>
    <cellStyle name="標準 88 3 2" xfId="1736"/>
    <cellStyle name="標準 88 3 3" xfId="1737"/>
    <cellStyle name="標準 88 3 4" xfId="1738"/>
    <cellStyle name="標準 88 4" xfId="1739"/>
    <cellStyle name="標準 88 5" xfId="1740"/>
    <cellStyle name="標準 88 6" xfId="1741"/>
    <cellStyle name="標準 89" xfId="1742"/>
    <cellStyle name="標準 89 2" xfId="1743"/>
    <cellStyle name="標準 89 2 2" xfId="1744"/>
    <cellStyle name="標準 89 2 2 2" xfId="1745"/>
    <cellStyle name="標準 89 2 2 3" xfId="1746"/>
    <cellStyle name="標準 89 2 2 4" xfId="1747"/>
    <cellStyle name="標準 89 2 3" xfId="1748"/>
    <cellStyle name="標準 89 2 4" xfId="1749"/>
    <cellStyle name="標準 89 2 5" xfId="1750"/>
    <cellStyle name="標準 89 3" xfId="1751"/>
    <cellStyle name="標準 89 3 2" xfId="1752"/>
    <cellStyle name="標準 89 3 3" xfId="1753"/>
    <cellStyle name="標準 89 3 4" xfId="1754"/>
    <cellStyle name="標準 89 4" xfId="1755"/>
    <cellStyle name="標準 89 5" xfId="1756"/>
    <cellStyle name="標準 89 6" xfId="1757"/>
    <cellStyle name="標準 9" xfId="1758"/>
    <cellStyle name="標準 9 2" xfId="1759"/>
    <cellStyle name="標準 9 3" xfId="1760"/>
    <cellStyle name="標準 90" xfId="1761"/>
    <cellStyle name="標準 90 2" xfId="1762"/>
    <cellStyle name="標準 90 2 2" xfId="1763"/>
    <cellStyle name="標準 90 2 2 2" xfId="1764"/>
    <cellStyle name="標準 90 2 2 3" xfId="1765"/>
    <cellStyle name="標準 90 2 2 4" xfId="1766"/>
    <cellStyle name="標準 90 2 3" xfId="1767"/>
    <cellStyle name="標準 90 2 4" xfId="1768"/>
    <cellStyle name="標準 90 2 5" xfId="1769"/>
    <cellStyle name="標準 90 3" xfId="1770"/>
    <cellStyle name="標準 90 3 2" xfId="1771"/>
    <cellStyle name="標準 90 3 3" xfId="1772"/>
    <cellStyle name="標準 90 3 4" xfId="1773"/>
    <cellStyle name="標準 90 4" xfId="1774"/>
    <cellStyle name="標準 90 5" xfId="1775"/>
    <cellStyle name="標準 90 6" xfId="1776"/>
    <cellStyle name="標準 91" xfId="1777"/>
    <cellStyle name="標準 91 2" xfId="1778"/>
    <cellStyle name="標準 91 2 2" xfId="1779"/>
    <cellStyle name="標準 91 2 2 2" xfId="1780"/>
    <cellStyle name="標準 91 2 2 3" xfId="1781"/>
    <cellStyle name="標準 91 2 2 4" xfId="1782"/>
    <cellStyle name="標準 91 2 3" xfId="1783"/>
    <cellStyle name="標準 91 2 4" xfId="1784"/>
    <cellStyle name="標準 91 2 5" xfId="1785"/>
    <cellStyle name="標準 91 3" xfId="1786"/>
    <cellStyle name="標準 91 3 2" xfId="1787"/>
    <cellStyle name="標準 91 3 3" xfId="1788"/>
    <cellStyle name="標準 91 3 4" xfId="1789"/>
    <cellStyle name="標準 91 4" xfId="1790"/>
    <cellStyle name="標準 91 5" xfId="1791"/>
    <cellStyle name="標準 91 6" xfId="1792"/>
    <cellStyle name="標準 92" xfId="1793"/>
    <cellStyle name="標準 92 2" xfId="1794"/>
    <cellStyle name="標準 92 2 2" xfId="1795"/>
    <cellStyle name="標準 92 2 2 2" xfId="1796"/>
    <cellStyle name="標準 92 2 2 3" xfId="1797"/>
    <cellStyle name="標準 92 2 2 4" xfId="1798"/>
    <cellStyle name="標準 92 2 3" xfId="1799"/>
    <cellStyle name="標準 92 2 4" xfId="1800"/>
    <cellStyle name="標準 92 2 5" xfId="1801"/>
    <cellStyle name="標準 92 3" xfId="1802"/>
    <cellStyle name="標準 92 3 2" xfId="1803"/>
    <cellStyle name="標準 92 3 3" xfId="1804"/>
    <cellStyle name="標準 92 3 4" xfId="1805"/>
    <cellStyle name="標準 92 4" xfId="1806"/>
    <cellStyle name="標準 92 5" xfId="1807"/>
    <cellStyle name="標準 92 6" xfId="1808"/>
    <cellStyle name="標準 93" xfId="1809"/>
    <cellStyle name="標準 93 2" xfId="1810"/>
    <cellStyle name="標準 93 2 2" xfId="1811"/>
    <cellStyle name="標準 93 2 2 2" xfId="1812"/>
    <cellStyle name="標準 93 2 2 3" xfId="1813"/>
    <cellStyle name="標準 93 2 2 4" xfId="1814"/>
    <cellStyle name="標準 93 2 3" xfId="1815"/>
    <cellStyle name="標準 93 2 4" xfId="1816"/>
    <cellStyle name="標準 93 2 5" xfId="1817"/>
    <cellStyle name="標準 93 3" xfId="1818"/>
    <cellStyle name="標準 93 3 2" xfId="1819"/>
    <cellStyle name="標準 93 3 3" xfId="1820"/>
    <cellStyle name="標準 93 3 4" xfId="1821"/>
    <cellStyle name="標準 93 4" xfId="1822"/>
    <cellStyle name="標準 93 5" xfId="1823"/>
    <cellStyle name="標準 93 6" xfId="1824"/>
    <cellStyle name="標準 94" xfId="1825"/>
    <cellStyle name="標準 94 2" xfId="1826"/>
    <cellStyle name="標準 94 2 2" xfId="1827"/>
    <cellStyle name="標準 94 2 2 2" xfId="1828"/>
    <cellStyle name="標準 94 2 2 3" xfId="1829"/>
    <cellStyle name="標準 94 2 2 4" xfId="1830"/>
    <cellStyle name="標準 94 2 3" xfId="1831"/>
    <cellStyle name="標準 94 2 4" xfId="1832"/>
    <cellStyle name="標準 94 2 5" xfId="1833"/>
    <cellStyle name="標準 94 3" xfId="1834"/>
    <cellStyle name="標準 94 3 2" xfId="1835"/>
    <cellStyle name="標準 94 3 3" xfId="1836"/>
    <cellStyle name="標準 94 3 4" xfId="1837"/>
    <cellStyle name="標準 94 4" xfId="1838"/>
    <cellStyle name="標準 94 5" xfId="1839"/>
    <cellStyle name="標準 94 6" xfId="1840"/>
    <cellStyle name="標準 95" xfId="1841"/>
    <cellStyle name="標準 95 2" xfId="1842"/>
    <cellStyle name="標準 95 2 2" xfId="1843"/>
    <cellStyle name="標準 95 2 2 2" xfId="1844"/>
    <cellStyle name="標準 95 2 2 3" xfId="1845"/>
    <cellStyle name="標準 95 2 2 4" xfId="1846"/>
    <cellStyle name="標準 95 2 3" xfId="1847"/>
    <cellStyle name="標準 95 2 4" xfId="1848"/>
    <cellStyle name="標準 95 2 5" xfId="1849"/>
    <cellStyle name="標準 95 3" xfId="1850"/>
    <cellStyle name="標準 95 3 2" xfId="1851"/>
    <cellStyle name="標準 95 3 3" xfId="1852"/>
    <cellStyle name="標準 95 3 4" xfId="1853"/>
    <cellStyle name="標準 95 4" xfId="1854"/>
    <cellStyle name="標準 95 5" xfId="1855"/>
    <cellStyle name="標準 95 6" xfId="1856"/>
    <cellStyle name="標準 96" xfId="1857"/>
    <cellStyle name="標準 96 2" xfId="1858"/>
    <cellStyle name="標準 96 2 2" xfId="1859"/>
    <cellStyle name="標準 96 2 2 2" xfId="1860"/>
    <cellStyle name="標準 96 2 2 3" xfId="1861"/>
    <cellStyle name="標準 96 2 2 4" xfId="1862"/>
    <cellStyle name="標準 96 2 3" xfId="1863"/>
    <cellStyle name="標準 96 2 4" xfId="1864"/>
    <cellStyle name="標準 96 2 5" xfId="1865"/>
    <cellStyle name="標準 96 3" xfId="1866"/>
    <cellStyle name="標準 96 3 2" xfId="1867"/>
    <cellStyle name="標準 96 3 3" xfId="1868"/>
    <cellStyle name="標準 96 3 4" xfId="1869"/>
    <cellStyle name="標準 96 4" xfId="1870"/>
    <cellStyle name="標準 96 5" xfId="1871"/>
    <cellStyle name="標準 96 6" xfId="1872"/>
    <cellStyle name="標準 97" xfId="1873"/>
    <cellStyle name="標準 97 2" xfId="1874"/>
    <cellStyle name="標準 97 2 2" xfId="1875"/>
    <cellStyle name="標準 97 2 2 2" xfId="1876"/>
    <cellStyle name="標準 97 2 2 3" xfId="1877"/>
    <cellStyle name="標準 97 2 2 4" xfId="1878"/>
    <cellStyle name="標準 97 2 3" xfId="1879"/>
    <cellStyle name="標準 97 2 4" xfId="1880"/>
    <cellStyle name="標準 97 2 5" xfId="1881"/>
    <cellStyle name="標準 97 3" xfId="1882"/>
    <cellStyle name="標準 97 3 2" xfId="1883"/>
    <cellStyle name="標準 97 3 3" xfId="1884"/>
    <cellStyle name="標準 97 3 4" xfId="1885"/>
    <cellStyle name="標準 97 4" xfId="1886"/>
    <cellStyle name="標準 97 5" xfId="1887"/>
    <cellStyle name="標準 97 6" xfId="1888"/>
    <cellStyle name="標準 98" xfId="1889"/>
    <cellStyle name="標準 98 2" xfId="1890"/>
    <cellStyle name="標準 98 2 2" xfId="1891"/>
    <cellStyle name="標準 98 2 2 2" xfId="1892"/>
    <cellStyle name="標準 98 2 2 3" xfId="1893"/>
    <cellStyle name="標準 98 2 2 4" xfId="1894"/>
    <cellStyle name="標準 98 2 3" xfId="1895"/>
    <cellStyle name="標準 98 2 4" xfId="1896"/>
    <cellStyle name="標準 98 2 5" xfId="1897"/>
    <cellStyle name="標準 98 3" xfId="1898"/>
    <cellStyle name="標準 98 3 2" xfId="1899"/>
    <cellStyle name="標準 98 3 3" xfId="1900"/>
    <cellStyle name="標準 98 3 4" xfId="1901"/>
    <cellStyle name="標準 98 4" xfId="1902"/>
    <cellStyle name="標準 98 5" xfId="1903"/>
    <cellStyle name="標準 98 6" xfId="1904"/>
    <cellStyle name="標準 99" xfId="1905"/>
    <cellStyle name="標準 99 2" xfId="1906"/>
    <cellStyle name="標準 99 2 2" xfId="1907"/>
    <cellStyle name="標準 99 2 2 2" xfId="1908"/>
    <cellStyle name="標準 99 2 2 3" xfId="1909"/>
    <cellStyle name="標準 99 2 2 4" xfId="1910"/>
    <cellStyle name="標準 99 2 3" xfId="1911"/>
    <cellStyle name="標準 99 2 4" xfId="1912"/>
    <cellStyle name="標準 99 2 5" xfId="1913"/>
    <cellStyle name="標準 99 3" xfId="1914"/>
    <cellStyle name="標準 99 3 2" xfId="1915"/>
    <cellStyle name="標準 99 3 3" xfId="1916"/>
    <cellStyle name="標準 99 3 4" xfId="1917"/>
    <cellStyle name="標準 99 4" xfId="1918"/>
    <cellStyle name="標準 99 5" xfId="1919"/>
    <cellStyle name="標準 99 6" xfId="1920"/>
    <cellStyle name="標準１" xfId="1921"/>
    <cellStyle name="標準10" xfId="1922"/>
    <cellStyle name="標準12" xfId="1923"/>
    <cellStyle name="文字列" xfId="1924"/>
    <cellStyle name="未定義" xfId="1925"/>
    <cellStyle name="未定義 2" xfId="1926"/>
    <cellStyle name="未定義 3" xfId="1927"/>
    <cellStyle name="未定義_030_上場有価証券総括表_詳細設計書_府令改正対応" xfId="1928"/>
    <cellStyle name="良い 2" xfId="1929"/>
    <cellStyle name="良い 3" xfId="1930"/>
    <cellStyle name="良い 4" xfId="1931"/>
    <cellStyle name="良い 5" xfId="1932"/>
    <cellStyle name="良い 6" xfId="1933"/>
    <cellStyle name="良い 7" xfId="1934"/>
    <cellStyle name="良い 8" xfId="1935"/>
    <cellStyle name="良い 9" xfId="1936"/>
    <cellStyle name="표준_4.3.1_取引処理（取引処理制御１－１）" xfId="1937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321"/>
  <sheetViews>
    <sheetView showGridLines="0" tabSelected="1" view="pageBreakPreview" workbookViewId="0" zoomScaleNormal="70" zoomScaleSheetLayoutView="100"/>
  </sheetViews>
  <sheetFormatPr defaultRowHeight="13.5"/>
  <cols>
    <col min="1" max="1" bestFit="true" customWidth="true" style="1" width="13.125" collapsed="false"/>
    <col min="2" max="2" bestFit="true" customWidth="true" style="1" width="10.75" collapsed="false"/>
    <col min="3" max="4" bestFit="true" customWidth="true" style="1" width="59.625" collapsed="false"/>
    <col min="5" max="5" bestFit="true" customWidth="true" style="3" width="13.75" collapsed="false"/>
    <col min="6" max="6" bestFit="true" customWidth="true" style="3" width="20.75" collapsed="false"/>
    <col min="7" max="7" customWidth="true" style="3" width="11.25" collapsed="false"/>
    <col min="8" max="8" bestFit="true" customWidth="true" style="1" width="8.75" collapsed="false"/>
    <col min="9" max="9" bestFit="true" customWidth="true" style="1" width="11.75" collapsed="false"/>
    <col min="10" max="10" bestFit="true" customWidth="true" style="1" width="12.625" collapsed="false"/>
    <col min="11" max="11" customWidth="true" style="1" width="16.25" collapsed="false"/>
    <col min="12" max="12" bestFit="true" customWidth="true" style="1" width="5.625" collapsed="false"/>
    <col min="13" max="13" customWidth="true" style="1" width="16.25" collapsed="false"/>
    <col min="14" max="14" bestFit="true" customWidth="true" style="1" width="5.625" collapsed="false"/>
    <col min="15" max="15" customWidth="true" style="1" width="16.25" collapsed="false"/>
    <col min="16" max="16" bestFit="true" customWidth="true" style="1" width="5.625" collapsed="false"/>
    <col min="17" max="17" customWidth="true" style="1" width="16.25" collapsed="false"/>
    <col min="18" max="18" bestFit="true" customWidth="true" style="1" width="5.625" collapsed="false"/>
    <col min="19" max="19" bestFit="true" customWidth="true" style="1" width="23.875" collapsed="false"/>
    <col min="20" max="20" customWidth="true" style="1" width="16.25" collapsed="false"/>
    <col min="21" max="21" bestFit="true" customWidth="true" style="1" width="26.125" collapsed="false"/>
    <col min="22" max="22" bestFit="true" customWidth="true" style="1" width="19.875" collapsed="false"/>
    <col min="23" max="23" bestFit="true" customWidth="true" style="1" width="25.0" collapsed="false"/>
    <col min="24" max="24" bestFit="true" customWidth="true" style="1" width="13.125" collapsed="false"/>
    <col min="25" max="16384" style="1" width="9.0" collapsed="false"/>
  </cols>
  <sheetData>
    <row customHeight="1" ht="13.5" r="1" spans="1:24">
      <c r="A1" s="4"/>
      <c r="B1" s="5"/>
      <c r="C1" s="5"/>
      <c r="D1" s="5"/>
      <c r="E1" s="6"/>
      <c r="F1" s="6"/>
      <c r="G1" s="6"/>
      <c r="H1" s="5"/>
      <c r="I1" s="5"/>
      <c r="J1" s="5"/>
      <c r="K1" s="5"/>
      <c r="L1" s="5"/>
      <c r="M1" s="5"/>
      <c r="N1" s="37" t="s">
        <v>0</v>
      </c>
      <c r="O1" s="37"/>
      <c r="P1" s="37"/>
      <c r="Q1" s="37"/>
      <c r="R1" s="37"/>
      <c r="S1" s="37"/>
      <c r="T1" s="37"/>
      <c r="U1" s="37"/>
      <c r="V1" s="37"/>
      <c r="W1" s="37"/>
      <c r="X1" s="38"/>
    </row>
    <row customHeight="1" ht="99" r="2" spans="1:24">
      <c r="A2" s="43" t="s">
        <v>1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39"/>
      <c r="O2" s="39"/>
      <c r="P2" s="39"/>
      <c r="Q2" s="39"/>
      <c r="R2" s="39"/>
      <c r="S2" s="39"/>
      <c r="T2" s="39"/>
      <c r="U2" s="39"/>
      <c r="V2" s="39"/>
      <c r="W2" s="39"/>
      <c r="X2" s="40"/>
    </row>
    <row customHeight="1" ht="39" r="3" spans="1:24">
      <c r="A3" s="45" t="s">
        <v>2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1"/>
      <c r="O3" s="41"/>
      <c r="P3" s="41"/>
      <c r="Q3" s="41"/>
      <c r="R3" s="41"/>
      <c r="S3" s="41"/>
      <c r="T3" s="41"/>
      <c r="U3" s="41"/>
      <c r="V3" s="41"/>
      <c r="W3" s="41"/>
      <c r="X3" s="42"/>
    </row>
    <row customFormat="1" customHeight="1" ht="13.5" r="4" s="2" spans="1:24">
      <c r="A4" s="7" t="s">
        <v>3</v>
      </c>
      <c r="B4" s="7" t="s">
        <v>4</v>
      </c>
      <c r="C4" s="7" t="s">
        <v>5</v>
      </c>
      <c r="D4" s="7" t="s">
        <v>6</v>
      </c>
      <c r="E4" s="8" t="s">
        <v>7</v>
      </c>
      <c r="F4" s="9" t="s">
        <v>8</v>
      </c>
      <c r="G4" s="10" t="s">
        <v>9</v>
      </c>
      <c r="H4" s="7" t="s">
        <v>10</v>
      </c>
      <c r="I4" s="7" t="s">
        <v>11</v>
      </c>
      <c r="J4" s="7" t="s">
        <v>12</v>
      </c>
      <c r="K4" s="11" t="s">
        <v>13</v>
      </c>
      <c r="L4" s="10" t="s">
        <v>9</v>
      </c>
      <c r="M4" s="11" t="s">
        <v>14</v>
      </c>
      <c r="N4" s="10" t="s">
        <v>9</v>
      </c>
      <c r="O4" s="11" t="s">
        <v>15</v>
      </c>
      <c r="P4" s="10" t="s">
        <v>9</v>
      </c>
      <c r="Q4" s="11" t="s">
        <v>16</v>
      </c>
      <c r="R4" s="10" t="s">
        <v>9</v>
      </c>
      <c r="S4" s="7" t="s">
        <v>17</v>
      </c>
      <c r="T4" s="7" t="s">
        <v>18</v>
      </c>
      <c r="U4" s="12" t="s">
        <v>19</v>
      </c>
      <c r="V4" s="7" t="s">
        <v>20</v>
      </c>
      <c r="W4" s="7" t="s">
        <v>21</v>
      </c>
      <c r="X4" s="7" t="s">
        <v>22</v>
      </c>
    </row>
    <row r="5" spans="1:24">
      <c r="A5" s="13" t="s">
        <v>23</v>
      </c>
      <c r="B5" s="13" t="s">
        <v>24</v>
      </c>
      <c r="C5" s="13"/>
      <c r="D5" s="13"/>
      <c r="E5" s="14"/>
      <c r="F5" s="15"/>
      <c r="G5" s="16" t="s">
        <v>25</v>
      </c>
      <c r="H5" s="17" t="s">
        <v>26</v>
      </c>
      <c r="I5" s="17" t="s">
        <v>27</v>
      </c>
      <c r="J5" s="17" t="s">
        <v>28</v>
      </c>
      <c r="K5" s="18" t="s">
        <v>29</v>
      </c>
      <c r="L5" s="16" t="s">
        <v>25</v>
      </c>
      <c r="M5" s="18" t="s">
        <v>30</v>
      </c>
      <c r="N5" s="16" t="s">
        <v>25</v>
      </c>
      <c r="O5" s="18" t="s">
        <v>31</v>
      </c>
      <c r="P5" s="16" t="s">
        <v>25</v>
      </c>
      <c r="Q5" s="18" t="s">
        <v>32</v>
      </c>
      <c r="R5" s="16" t="s">
        <v>25</v>
      </c>
      <c r="S5" s="19" t="s">
        <v>33</v>
      </c>
      <c r="T5" s="19" t="s">
        <v>34</v>
      </c>
      <c r="U5" s="19" t="s">
        <v>35</v>
      </c>
      <c r="V5" s="19" t="s">
        <v>36</v>
      </c>
      <c r="W5" s="19" t="s">
        <v>37</v>
      </c>
      <c r="X5" s="19" t="s">
        <v>38</v>
      </c>
    </row>
    <row r="6" spans="1:24">
      <c r="A6" s="20"/>
      <c r="B6" s="20"/>
      <c r="C6" s="20"/>
      <c r="D6" s="20"/>
      <c r="E6" s="21"/>
      <c r="F6" s="22"/>
      <c r="G6" s="23"/>
      <c r="H6" s="24"/>
      <c r="I6" s="24"/>
      <c r="J6" s="24" t="s">
        <v>39</v>
      </c>
      <c r="K6" s="25" t="s">
        <v>40</v>
      </c>
      <c r="L6" s="26"/>
      <c r="M6" s="25" t="s">
        <v>40</v>
      </c>
      <c r="N6" s="26"/>
      <c r="O6" s="25" t="s">
        <v>40</v>
      </c>
      <c r="P6" s="26"/>
      <c r="Q6" s="25" t="s">
        <v>40</v>
      </c>
      <c r="R6" s="26"/>
      <c r="S6" s="25" t="s">
        <v>40</v>
      </c>
      <c r="T6" s="24" t="s">
        <v>41</v>
      </c>
      <c r="U6" s="24" t="s">
        <v>41</v>
      </c>
      <c r="V6" s="25" t="s">
        <v>40</v>
      </c>
      <c r="W6" s="25" t="s">
        <v>40</v>
      </c>
      <c r="X6" s="24"/>
    </row>
    <row customFormat="1" customHeight="1" ht="13.5" r="7" s="2" spans="1:24">
      <c r="A7" s="27" t="s">
        <v>42</v>
      </c>
      <c r="B7" s="27" t="s">
        <v>43</v>
      </c>
      <c r="C7" s="27" t="s">
        <v>44</v>
      </c>
      <c r="D7" s="27" t="s">
        <v>45</v>
      </c>
      <c r="E7" s="28" t="s">
        <v>46</v>
      </c>
      <c r="F7" s="29" t="s">
        <v>46</v>
      </c>
      <c r="G7" s="30" t="s">
        <v>46</v>
      </c>
      <c r="H7" s="31"/>
      <c r="I7" s="31" t="s">
        <v>47</v>
      </c>
      <c r="J7" s="32" t="n">
        <v>10.0</v>
      </c>
      <c r="K7" s="33" t="n">
        <f>1475</f>
        <v>1475.0</v>
      </c>
      <c r="L7" s="34" t="s">
        <v>48</v>
      </c>
      <c r="M7" s="33" t="n">
        <f>1577</f>
        <v>1577.0</v>
      </c>
      <c r="N7" s="34" t="s">
        <v>49</v>
      </c>
      <c r="O7" s="33" t="n">
        <f>1398</f>
        <v>1398.0</v>
      </c>
      <c r="P7" s="34" t="s">
        <v>50</v>
      </c>
      <c r="Q7" s="33" t="n">
        <f>1556</f>
        <v>1556.0</v>
      </c>
      <c r="R7" s="34" t="s">
        <v>49</v>
      </c>
      <c r="S7" s="35" t="n">
        <f>1501.67</f>
        <v>1501.67</v>
      </c>
      <c r="T7" s="32" t="n">
        <f>3910900</f>
        <v>3910900.0</v>
      </c>
      <c r="U7" s="32" t="n">
        <f>789750</f>
        <v>789750.0</v>
      </c>
      <c r="V7" s="32" t="n">
        <f>5821988595</f>
        <v>5.821988595E9</v>
      </c>
      <c r="W7" s="32" t="n">
        <f>1195661065</f>
        <v>1.195661065E9</v>
      </c>
      <c r="X7" s="36" t="n">
        <f>21</f>
        <v>21.0</v>
      </c>
    </row>
    <row r="8">
      <c r="A8" s="27" t="s">
        <v>42</v>
      </c>
      <c r="B8" s="27" t="s">
        <v>51</v>
      </c>
      <c r="C8" s="27" t="s">
        <v>52</v>
      </c>
      <c r="D8" s="27" t="s">
        <v>53</v>
      </c>
      <c r="E8" s="28" t="s">
        <v>46</v>
      </c>
      <c r="F8" s="29" t="s">
        <v>46</v>
      </c>
      <c r="G8" s="30" t="s">
        <v>46</v>
      </c>
      <c r="H8" s="31"/>
      <c r="I8" s="31" t="s">
        <v>47</v>
      </c>
      <c r="J8" s="32" t="n">
        <v>10.0</v>
      </c>
      <c r="K8" s="33" t="n">
        <f>1455</f>
        <v>1455.0</v>
      </c>
      <c r="L8" s="34" t="s">
        <v>48</v>
      </c>
      <c r="M8" s="33" t="n">
        <f>1556</f>
        <v>1556.0</v>
      </c>
      <c r="N8" s="34" t="s">
        <v>49</v>
      </c>
      <c r="O8" s="33" t="n">
        <f>1380</f>
        <v>1380.0</v>
      </c>
      <c r="P8" s="34" t="s">
        <v>50</v>
      </c>
      <c r="Q8" s="33" t="n">
        <f>1533</f>
        <v>1533.0</v>
      </c>
      <c r="R8" s="34" t="s">
        <v>49</v>
      </c>
      <c r="S8" s="35" t="n">
        <f>1482.62</f>
        <v>1482.62</v>
      </c>
      <c r="T8" s="32" t="n">
        <f>65407580</f>
        <v>6.540758E7</v>
      </c>
      <c r="U8" s="32" t="n">
        <f>7783080</f>
        <v>7783080.0</v>
      </c>
      <c r="V8" s="32" t="n">
        <f>96748120021</f>
        <v>9.6748120021E10</v>
      </c>
      <c r="W8" s="32" t="n">
        <f>11605647931</f>
        <v>1.1605647931E10</v>
      </c>
      <c r="X8" s="36" t="n">
        <f>21</f>
        <v>21.0</v>
      </c>
    </row>
    <row r="9">
      <c r="A9" s="27" t="s">
        <v>42</v>
      </c>
      <c r="B9" s="27" t="s">
        <v>54</v>
      </c>
      <c r="C9" s="27" t="s">
        <v>55</v>
      </c>
      <c r="D9" s="27" t="s">
        <v>56</v>
      </c>
      <c r="E9" s="28" t="s">
        <v>46</v>
      </c>
      <c r="F9" s="29" t="s">
        <v>46</v>
      </c>
      <c r="G9" s="30" t="s">
        <v>46</v>
      </c>
      <c r="H9" s="31"/>
      <c r="I9" s="31" t="s">
        <v>47</v>
      </c>
      <c r="J9" s="32" t="n">
        <v>100.0</v>
      </c>
      <c r="K9" s="33" t="n">
        <f>1439</f>
        <v>1439.0</v>
      </c>
      <c r="L9" s="34" t="s">
        <v>48</v>
      </c>
      <c r="M9" s="33" t="n">
        <f>1537</f>
        <v>1537.0</v>
      </c>
      <c r="N9" s="34" t="s">
        <v>49</v>
      </c>
      <c r="O9" s="33" t="n">
        <f>1365</f>
        <v>1365.0</v>
      </c>
      <c r="P9" s="34" t="s">
        <v>50</v>
      </c>
      <c r="Q9" s="33" t="n">
        <f>1520</f>
        <v>1520.0</v>
      </c>
      <c r="R9" s="34" t="s">
        <v>49</v>
      </c>
      <c r="S9" s="35" t="n">
        <f>1466.24</f>
        <v>1466.24</v>
      </c>
      <c r="T9" s="32" t="n">
        <f>5154500</f>
        <v>5154500.0</v>
      </c>
      <c r="U9" s="32" t="n">
        <f>600</f>
        <v>600.0</v>
      </c>
      <c r="V9" s="32" t="n">
        <f>7589074550</f>
        <v>7.58907455E9</v>
      </c>
      <c r="W9" s="32" t="n">
        <f>878350</f>
        <v>878350.0</v>
      </c>
      <c r="X9" s="36" t="n">
        <f>21</f>
        <v>21.0</v>
      </c>
    </row>
    <row r="10">
      <c r="A10" s="27" t="s">
        <v>42</v>
      </c>
      <c r="B10" s="27" t="s">
        <v>57</v>
      </c>
      <c r="C10" s="27" t="s">
        <v>58</v>
      </c>
      <c r="D10" s="27" t="s">
        <v>59</v>
      </c>
      <c r="E10" s="28" t="s">
        <v>46</v>
      </c>
      <c r="F10" s="29" t="s">
        <v>46</v>
      </c>
      <c r="G10" s="30" t="s">
        <v>46</v>
      </c>
      <c r="H10" s="31"/>
      <c r="I10" s="31" t="s">
        <v>47</v>
      </c>
      <c r="J10" s="32" t="n">
        <v>1.0</v>
      </c>
      <c r="K10" s="33" t="n">
        <f>31000</f>
        <v>31000.0</v>
      </c>
      <c r="L10" s="34" t="s">
        <v>48</v>
      </c>
      <c r="M10" s="33" t="n">
        <f>32600</f>
        <v>32600.0</v>
      </c>
      <c r="N10" s="34" t="s">
        <v>60</v>
      </c>
      <c r="O10" s="33" t="n">
        <f>30100</f>
        <v>30100.0</v>
      </c>
      <c r="P10" s="34" t="s">
        <v>61</v>
      </c>
      <c r="Q10" s="33" t="n">
        <f>31800</f>
        <v>31800.0</v>
      </c>
      <c r="R10" s="34" t="s">
        <v>49</v>
      </c>
      <c r="S10" s="35" t="n">
        <f>31547.62</f>
        <v>31547.62</v>
      </c>
      <c r="T10" s="32" t="n">
        <f>6449</f>
        <v>6449.0</v>
      </c>
      <c r="U10" s="32" t="n">
        <f>7</f>
        <v>7.0</v>
      </c>
      <c r="V10" s="32" t="n">
        <f>203728500</f>
        <v>2.037285E8</v>
      </c>
      <c r="W10" s="32" t="n">
        <f>219700</f>
        <v>219700.0</v>
      </c>
      <c r="X10" s="36" t="n">
        <f>21</f>
        <v>21.0</v>
      </c>
    </row>
    <row r="11">
      <c r="A11" s="27" t="s">
        <v>42</v>
      </c>
      <c r="B11" s="27" t="s">
        <v>62</v>
      </c>
      <c r="C11" s="27" t="s">
        <v>63</v>
      </c>
      <c r="D11" s="27" t="s">
        <v>64</v>
      </c>
      <c r="E11" s="28" t="s">
        <v>46</v>
      </c>
      <c r="F11" s="29" t="s">
        <v>46</v>
      </c>
      <c r="G11" s="30" t="s">
        <v>46</v>
      </c>
      <c r="H11" s="31"/>
      <c r="I11" s="31" t="s">
        <v>47</v>
      </c>
      <c r="J11" s="32" t="n">
        <v>10.0</v>
      </c>
      <c r="K11" s="33" t="n">
        <f>611</f>
        <v>611.0</v>
      </c>
      <c r="L11" s="34" t="s">
        <v>48</v>
      </c>
      <c r="M11" s="33" t="n">
        <f>670</f>
        <v>670.0</v>
      </c>
      <c r="N11" s="34" t="s">
        <v>65</v>
      </c>
      <c r="O11" s="33" t="n">
        <f>600</f>
        <v>600.0</v>
      </c>
      <c r="P11" s="34" t="s">
        <v>61</v>
      </c>
      <c r="Q11" s="33" t="n">
        <f>664</f>
        <v>664.0</v>
      </c>
      <c r="R11" s="34" t="s">
        <v>49</v>
      </c>
      <c r="S11" s="35" t="n">
        <f>644.52</f>
        <v>644.52</v>
      </c>
      <c r="T11" s="32" t="n">
        <f>83390</f>
        <v>83390.0</v>
      </c>
      <c r="U11" s="32" t="str">
        <f>"－"</f>
        <v>－</v>
      </c>
      <c r="V11" s="32" t="n">
        <f>53678820</f>
        <v>5.367882E7</v>
      </c>
      <c r="W11" s="32" t="str">
        <f>"－"</f>
        <v>－</v>
      </c>
      <c r="X11" s="36" t="n">
        <f>21</f>
        <v>21.0</v>
      </c>
    </row>
    <row r="12">
      <c r="A12" s="27" t="s">
        <v>42</v>
      </c>
      <c r="B12" s="27" t="s">
        <v>66</v>
      </c>
      <c r="C12" s="27" t="s">
        <v>67</v>
      </c>
      <c r="D12" s="27" t="s">
        <v>68</v>
      </c>
      <c r="E12" s="28" t="s">
        <v>46</v>
      </c>
      <c r="F12" s="29" t="s">
        <v>46</v>
      </c>
      <c r="G12" s="30" t="s">
        <v>46</v>
      </c>
      <c r="H12" s="31"/>
      <c r="I12" s="31" t="s">
        <v>47</v>
      </c>
      <c r="J12" s="32" t="n">
        <v>1.0</v>
      </c>
      <c r="K12" s="33" t="n">
        <f>16550</f>
        <v>16550.0</v>
      </c>
      <c r="L12" s="34" t="s">
        <v>48</v>
      </c>
      <c r="M12" s="33" t="n">
        <f>17140</f>
        <v>17140.0</v>
      </c>
      <c r="N12" s="34" t="s">
        <v>69</v>
      </c>
      <c r="O12" s="33" t="n">
        <f>14840</f>
        <v>14840.0</v>
      </c>
      <c r="P12" s="34" t="s">
        <v>50</v>
      </c>
      <c r="Q12" s="33" t="n">
        <f>16850</f>
        <v>16850.0</v>
      </c>
      <c r="R12" s="34" t="s">
        <v>49</v>
      </c>
      <c r="S12" s="35" t="n">
        <f>16093.33</f>
        <v>16093.33</v>
      </c>
      <c r="T12" s="32" t="n">
        <f>2467</f>
        <v>2467.0</v>
      </c>
      <c r="U12" s="32" t="str">
        <f>"－"</f>
        <v>－</v>
      </c>
      <c r="V12" s="32" t="n">
        <f>38880030</f>
        <v>3.888003E7</v>
      </c>
      <c r="W12" s="32" t="str">
        <f>"－"</f>
        <v>－</v>
      </c>
      <c r="X12" s="36" t="n">
        <f>21</f>
        <v>21.0</v>
      </c>
    </row>
    <row r="13">
      <c r="A13" s="27" t="s">
        <v>42</v>
      </c>
      <c r="B13" s="27" t="s">
        <v>70</v>
      </c>
      <c r="C13" s="27" t="s">
        <v>71</v>
      </c>
      <c r="D13" s="27" t="s">
        <v>72</v>
      </c>
      <c r="E13" s="28" t="s">
        <v>46</v>
      </c>
      <c r="F13" s="29" t="s">
        <v>46</v>
      </c>
      <c r="G13" s="30" t="s">
        <v>46</v>
      </c>
      <c r="H13" s="31"/>
      <c r="I13" s="31" t="s">
        <v>47</v>
      </c>
      <c r="J13" s="32" t="n">
        <v>10.0</v>
      </c>
      <c r="K13" s="33" t="n">
        <f>2140</f>
        <v>2140.0</v>
      </c>
      <c r="L13" s="34" t="s">
        <v>48</v>
      </c>
      <c r="M13" s="33" t="n">
        <f>2348</f>
        <v>2348.0</v>
      </c>
      <c r="N13" s="34" t="s">
        <v>73</v>
      </c>
      <c r="O13" s="33" t="n">
        <f>1988</f>
        <v>1988.0</v>
      </c>
      <c r="P13" s="34" t="s">
        <v>61</v>
      </c>
      <c r="Q13" s="33" t="n">
        <f>2300</f>
        <v>2300.0</v>
      </c>
      <c r="R13" s="34" t="s">
        <v>49</v>
      </c>
      <c r="S13" s="35" t="n">
        <f>2207.4</f>
        <v>2207.4</v>
      </c>
      <c r="T13" s="32" t="n">
        <f>6800</f>
        <v>6800.0</v>
      </c>
      <c r="U13" s="32" t="str">
        <f>"－"</f>
        <v>－</v>
      </c>
      <c r="V13" s="32" t="n">
        <f>15172950</f>
        <v>1.517295E7</v>
      </c>
      <c r="W13" s="32" t="str">
        <f>"－"</f>
        <v>－</v>
      </c>
      <c r="X13" s="36" t="n">
        <f>20</f>
        <v>20.0</v>
      </c>
    </row>
    <row r="14">
      <c r="A14" s="27" t="s">
        <v>42</v>
      </c>
      <c r="B14" s="27" t="s">
        <v>74</v>
      </c>
      <c r="C14" s="27" t="s">
        <v>75</v>
      </c>
      <c r="D14" s="27" t="s">
        <v>76</v>
      </c>
      <c r="E14" s="28" t="s">
        <v>46</v>
      </c>
      <c r="F14" s="29" t="s">
        <v>46</v>
      </c>
      <c r="G14" s="30" t="s">
        <v>46</v>
      </c>
      <c r="H14" s="31"/>
      <c r="I14" s="31" t="s">
        <v>47</v>
      </c>
      <c r="J14" s="32" t="n">
        <v>1000.0</v>
      </c>
      <c r="K14" s="33" t="n">
        <f>299</f>
        <v>299.0</v>
      </c>
      <c r="L14" s="34" t="s">
        <v>48</v>
      </c>
      <c r="M14" s="33" t="n">
        <f>300</f>
        <v>300.0</v>
      </c>
      <c r="N14" s="34" t="s">
        <v>49</v>
      </c>
      <c r="O14" s="33" t="n">
        <f>278</f>
        <v>278.0</v>
      </c>
      <c r="P14" s="34" t="s">
        <v>50</v>
      </c>
      <c r="Q14" s="33" t="n">
        <f>300</f>
        <v>300.0</v>
      </c>
      <c r="R14" s="34" t="s">
        <v>49</v>
      </c>
      <c r="S14" s="35" t="n">
        <f>291.5</f>
        <v>291.5</v>
      </c>
      <c r="T14" s="32" t="n">
        <f>50000</f>
        <v>50000.0</v>
      </c>
      <c r="U14" s="32" t="str">
        <f>"－"</f>
        <v>－</v>
      </c>
      <c r="V14" s="32" t="n">
        <f>14494000</f>
        <v>1.4494E7</v>
      </c>
      <c r="W14" s="32" t="str">
        <f>"－"</f>
        <v>－</v>
      </c>
      <c r="X14" s="36" t="n">
        <f>16</f>
        <v>16.0</v>
      </c>
    </row>
    <row r="15">
      <c r="A15" s="27" t="s">
        <v>42</v>
      </c>
      <c r="B15" s="27" t="s">
        <v>77</v>
      </c>
      <c r="C15" s="27" t="s">
        <v>78</v>
      </c>
      <c r="D15" s="27" t="s">
        <v>79</v>
      </c>
      <c r="E15" s="28" t="s">
        <v>46</v>
      </c>
      <c r="F15" s="29" t="s">
        <v>46</v>
      </c>
      <c r="G15" s="30" t="s">
        <v>46</v>
      </c>
      <c r="H15" s="31"/>
      <c r="I15" s="31" t="s">
        <v>47</v>
      </c>
      <c r="J15" s="32" t="n">
        <v>1.0</v>
      </c>
      <c r="K15" s="33" t="n">
        <f>19320</f>
        <v>19320.0</v>
      </c>
      <c r="L15" s="34" t="s">
        <v>48</v>
      </c>
      <c r="M15" s="33" t="n">
        <f>21150</f>
        <v>21150.0</v>
      </c>
      <c r="N15" s="34" t="s">
        <v>49</v>
      </c>
      <c r="O15" s="33" t="n">
        <f>18320</f>
        <v>18320.0</v>
      </c>
      <c r="P15" s="34" t="s">
        <v>50</v>
      </c>
      <c r="Q15" s="33" t="n">
        <f>20990</f>
        <v>20990.0</v>
      </c>
      <c r="R15" s="34" t="s">
        <v>49</v>
      </c>
      <c r="S15" s="35" t="n">
        <f>19937.14</f>
        <v>19937.14</v>
      </c>
      <c r="T15" s="32" t="n">
        <f>2094341</f>
        <v>2094341.0</v>
      </c>
      <c r="U15" s="32" t="n">
        <f>94260</f>
        <v>94260.0</v>
      </c>
      <c r="V15" s="32" t="n">
        <f>41754443553</f>
        <v>4.1754443553E10</v>
      </c>
      <c r="W15" s="32" t="n">
        <f>1852901273</f>
        <v>1.852901273E9</v>
      </c>
      <c r="X15" s="36" t="n">
        <f>21</f>
        <v>21.0</v>
      </c>
    </row>
    <row r="16">
      <c r="A16" s="27" t="s">
        <v>42</v>
      </c>
      <c r="B16" s="27" t="s">
        <v>80</v>
      </c>
      <c r="C16" s="27" t="s">
        <v>81</v>
      </c>
      <c r="D16" s="27" t="s">
        <v>82</v>
      </c>
      <c r="E16" s="28" t="s">
        <v>46</v>
      </c>
      <c r="F16" s="29" t="s">
        <v>46</v>
      </c>
      <c r="G16" s="30" t="s">
        <v>46</v>
      </c>
      <c r="H16" s="31"/>
      <c r="I16" s="31" t="s">
        <v>47</v>
      </c>
      <c r="J16" s="32" t="n">
        <v>1.0</v>
      </c>
      <c r="K16" s="33" t="n">
        <f>19360</f>
        <v>19360.0</v>
      </c>
      <c r="L16" s="34" t="s">
        <v>48</v>
      </c>
      <c r="M16" s="33" t="n">
        <f>21190</f>
        <v>21190.0</v>
      </c>
      <c r="N16" s="34" t="s">
        <v>49</v>
      </c>
      <c r="O16" s="33" t="n">
        <f>18350</f>
        <v>18350.0</v>
      </c>
      <c r="P16" s="34" t="s">
        <v>50</v>
      </c>
      <c r="Q16" s="33" t="n">
        <f>21000</f>
        <v>21000.0</v>
      </c>
      <c r="R16" s="34" t="s">
        <v>49</v>
      </c>
      <c r="S16" s="35" t="n">
        <f>19972.86</f>
        <v>19972.86</v>
      </c>
      <c r="T16" s="32" t="n">
        <f>12004638</f>
        <v>1.2004638E7</v>
      </c>
      <c r="U16" s="32" t="n">
        <f>646724</f>
        <v>646724.0</v>
      </c>
      <c r="V16" s="32" t="n">
        <f>240363875873</f>
        <v>2.40363875873E11</v>
      </c>
      <c r="W16" s="32" t="n">
        <f>13193787973</f>
        <v>1.3193787973E10</v>
      </c>
      <c r="X16" s="36" t="n">
        <f>21</f>
        <v>21.0</v>
      </c>
    </row>
    <row r="17">
      <c r="A17" s="27" t="s">
        <v>42</v>
      </c>
      <c r="B17" s="27" t="s">
        <v>83</v>
      </c>
      <c r="C17" s="27" t="s">
        <v>84</v>
      </c>
      <c r="D17" s="27" t="s">
        <v>85</v>
      </c>
      <c r="E17" s="28" t="s">
        <v>46</v>
      </c>
      <c r="F17" s="29" t="s">
        <v>46</v>
      </c>
      <c r="G17" s="30" t="s">
        <v>46</v>
      </c>
      <c r="H17" s="31"/>
      <c r="I17" s="31" t="s">
        <v>47</v>
      </c>
      <c r="J17" s="32" t="n">
        <v>10.0</v>
      </c>
      <c r="K17" s="33" t="n">
        <f>5640</f>
        <v>5640.0</v>
      </c>
      <c r="L17" s="34" t="s">
        <v>48</v>
      </c>
      <c r="M17" s="33" t="n">
        <f>5780</f>
        <v>5780.0</v>
      </c>
      <c r="N17" s="34" t="s">
        <v>86</v>
      </c>
      <c r="O17" s="33" t="n">
        <f>5010</f>
        <v>5010.0</v>
      </c>
      <c r="P17" s="34" t="s">
        <v>87</v>
      </c>
      <c r="Q17" s="33" t="n">
        <f>5300</f>
        <v>5300.0</v>
      </c>
      <c r="R17" s="34" t="s">
        <v>49</v>
      </c>
      <c r="S17" s="35" t="n">
        <f>5421.43</f>
        <v>5421.43</v>
      </c>
      <c r="T17" s="32" t="n">
        <f>8260</f>
        <v>8260.0</v>
      </c>
      <c r="U17" s="32" t="str">
        <f>"－"</f>
        <v>－</v>
      </c>
      <c r="V17" s="32" t="n">
        <f>44774600</f>
        <v>4.47746E7</v>
      </c>
      <c r="W17" s="32" t="str">
        <f>"－"</f>
        <v>－</v>
      </c>
      <c r="X17" s="36" t="n">
        <f>21</f>
        <v>21.0</v>
      </c>
    </row>
    <row r="18">
      <c r="A18" s="27" t="s">
        <v>42</v>
      </c>
      <c r="B18" s="27" t="s">
        <v>88</v>
      </c>
      <c r="C18" s="27" t="s">
        <v>89</v>
      </c>
      <c r="D18" s="27" t="s">
        <v>90</v>
      </c>
      <c r="E18" s="28" t="s">
        <v>46</v>
      </c>
      <c r="F18" s="29" t="s">
        <v>46</v>
      </c>
      <c r="G18" s="30" t="s">
        <v>46</v>
      </c>
      <c r="H18" s="31"/>
      <c r="I18" s="31" t="s">
        <v>47</v>
      </c>
      <c r="J18" s="32" t="n">
        <v>100.0</v>
      </c>
      <c r="K18" s="33" t="n">
        <f>264</f>
        <v>264.0</v>
      </c>
      <c r="L18" s="34" t="s">
        <v>48</v>
      </c>
      <c r="M18" s="33" t="n">
        <f>292</f>
        <v>292.0</v>
      </c>
      <c r="N18" s="34" t="s">
        <v>91</v>
      </c>
      <c r="O18" s="33" t="n">
        <f>247</f>
        <v>247.0</v>
      </c>
      <c r="P18" s="34" t="s">
        <v>92</v>
      </c>
      <c r="Q18" s="33" t="n">
        <f>279</f>
        <v>279.0</v>
      </c>
      <c r="R18" s="34" t="s">
        <v>49</v>
      </c>
      <c r="S18" s="35" t="n">
        <f>268.85</f>
        <v>268.85</v>
      </c>
      <c r="T18" s="32" t="n">
        <f>31600</f>
        <v>31600.0</v>
      </c>
      <c r="U18" s="32" t="str">
        <f>"－"</f>
        <v>－</v>
      </c>
      <c r="V18" s="32" t="n">
        <f>8455800</f>
        <v>8455800.0</v>
      </c>
      <c r="W18" s="32" t="str">
        <f>"－"</f>
        <v>－</v>
      </c>
      <c r="X18" s="36" t="n">
        <f>20</f>
        <v>20.0</v>
      </c>
    </row>
    <row r="19">
      <c r="A19" s="27" t="s">
        <v>42</v>
      </c>
      <c r="B19" s="27" t="s">
        <v>93</v>
      </c>
      <c r="C19" s="27" t="s">
        <v>94</v>
      </c>
      <c r="D19" s="27" t="s">
        <v>95</v>
      </c>
      <c r="E19" s="28" t="s">
        <v>46</v>
      </c>
      <c r="F19" s="29" t="s">
        <v>46</v>
      </c>
      <c r="G19" s="30" t="s">
        <v>46</v>
      </c>
      <c r="H19" s="31"/>
      <c r="I19" s="31" t="s">
        <v>47</v>
      </c>
      <c r="J19" s="32" t="n">
        <v>100.0</v>
      </c>
      <c r="K19" s="33" t="n">
        <f>123</f>
        <v>123.0</v>
      </c>
      <c r="L19" s="34" t="s">
        <v>48</v>
      </c>
      <c r="M19" s="33" t="n">
        <f>133</f>
        <v>133.0</v>
      </c>
      <c r="N19" s="34" t="s">
        <v>96</v>
      </c>
      <c r="O19" s="33" t="n">
        <f>113</f>
        <v>113.0</v>
      </c>
      <c r="P19" s="34" t="s">
        <v>48</v>
      </c>
      <c r="Q19" s="33" t="n">
        <f>124</f>
        <v>124.0</v>
      </c>
      <c r="R19" s="34" t="s">
        <v>49</v>
      </c>
      <c r="S19" s="35" t="n">
        <f>124.24</f>
        <v>124.24</v>
      </c>
      <c r="T19" s="32" t="n">
        <f>616200</f>
        <v>616200.0</v>
      </c>
      <c r="U19" s="32" t="n">
        <f>6400</f>
        <v>6400.0</v>
      </c>
      <c r="V19" s="32" t="n">
        <f>75257100</f>
        <v>7.52571E7</v>
      </c>
      <c r="W19" s="32" t="n">
        <f>780800</f>
        <v>780800.0</v>
      </c>
      <c r="X19" s="36" t="n">
        <f>21</f>
        <v>21.0</v>
      </c>
    </row>
    <row r="20">
      <c r="A20" s="27" t="s">
        <v>42</v>
      </c>
      <c r="B20" s="27" t="s">
        <v>97</v>
      </c>
      <c r="C20" s="27" t="s">
        <v>98</v>
      </c>
      <c r="D20" s="27" t="s">
        <v>99</v>
      </c>
      <c r="E20" s="28" t="s">
        <v>46</v>
      </c>
      <c r="F20" s="29" t="s">
        <v>46</v>
      </c>
      <c r="G20" s="30" t="s">
        <v>46</v>
      </c>
      <c r="H20" s="31"/>
      <c r="I20" s="31" t="s">
        <v>47</v>
      </c>
      <c r="J20" s="32" t="n">
        <v>100.0</v>
      </c>
      <c r="K20" s="33" t="n">
        <f>122</f>
        <v>122.0</v>
      </c>
      <c r="L20" s="34" t="s">
        <v>48</v>
      </c>
      <c r="M20" s="33" t="n">
        <f>136</f>
        <v>136.0</v>
      </c>
      <c r="N20" s="34" t="s">
        <v>73</v>
      </c>
      <c r="O20" s="33" t="n">
        <f>112</f>
        <v>112.0</v>
      </c>
      <c r="P20" s="34" t="s">
        <v>92</v>
      </c>
      <c r="Q20" s="33" t="n">
        <f>126</f>
        <v>126.0</v>
      </c>
      <c r="R20" s="34" t="s">
        <v>49</v>
      </c>
      <c r="S20" s="35" t="n">
        <f>123</f>
        <v>123.0</v>
      </c>
      <c r="T20" s="32" t="n">
        <f>1094500</f>
        <v>1094500.0</v>
      </c>
      <c r="U20" s="32" t="str">
        <f>"－"</f>
        <v>－</v>
      </c>
      <c r="V20" s="32" t="n">
        <f>133140900</f>
        <v>1.331409E8</v>
      </c>
      <c r="W20" s="32" t="str">
        <f>"－"</f>
        <v>－</v>
      </c>
      <c r="X20" s="36" t="n">
        <f>21</f>
        <v>21.0</v>
      </c>
    </row>
    <row r="21">
      <c r="A21" s="27" t="s">
        <v>42</v>
      </c>
      <c r="B21" s="27" t="s">
        <v>100</v>
      </c>
      <c r="C21" s="27" t="s">
        <v>101</v>
      </c>
      <c r="D21" s="27" t="s">
        <v>102</v>
      </c>
      <c r="E21" s="28" t="s">
        <v>46</v>
      </c>
      <c r="F21" s="29" t="s">
        <v>46</v>
      </c>
      <c r="G21" s="30" t="s">
        <v>46</v>
      </c>
      <c r="H21" s="31"/>
      <c r="I21" s="31" t="s">
        <v>47</v>
      </c>
      <c r="J21" s="32" t="n">
        <v>1.0</v>
      </c>
      <c r="K21" s="33" t="n">
        <f>15910</f>
        <v>15910.0</v>
      </c>
      <c r="L21" s="34" t="s">
        <v>48</v>
      </c>
      <c r="M21" s="33" t="n">
        <f>17520</f>
        <v>17520.0</v>
      </c>
      <c r="N21" s="34" t="s">
        <v>103</v>
      </c>
      <c r="O21" s="33" t="n">
        <f>15910</f>
        <v>15910.0</v>
      </c>
      <c r="P21" s="34" t="s">
        <v>48</v>
      </c>
      <c r="Q21" s="33" t="n">
        <f>17210</f>
        <v>17210.0</v>
      </c>
      <c r="R21" s="34" t="s">
        <v>49</v>
      </c>
      <c r="S21" s="35" t="n">
        <f>16991.43</f>
        <v>16991.43</v>
      </c>
      <c r="T21" s="32" t="n">
        <f>279921</f>
        <v>279921.0</v>
      </c>
      <c r="U21" s="32" t="str">
        <f>"－"</f>
        <v>－</v>
      </c>
      <c r="V21" s="32" t="n">
        <f>4755422390</f>
        <v>4.75542239E9</v>
      </c>
      <c r="W21" s="32" t="str">
        <f>"－"</f>
        <v>－</v>
      </c>
      <c r="X21" s="36" t="n">
        <f>21</f>
        <v>21.0</v>
      </c>
    </row>
    <row r="22">
      <c r="A22" s="27" t="s">
        <v>42</v>
      </c>
      <c r="B22" s="27" t="s">
        <v>104</v>
      </c>
      <c r="C22" s="27" t="s">
        <v>105</v>
      </c>
      <c r="D22" s="27" t="s">
        <v>106</v>
      </c>
      <c r="E22" s="28" t="s">
        <v>46</v>
      </c>
      <c r="F22" s="29" t="s">
        <v>46</v>
      </c>
      <c r="G22" s="30" t="s">
        <v>46</v>
      </c>
      <c r="H22" s="31"/>
      <c r="I22" s="31" t="s">
        <v>47</v>
      </c>
      <c r="J22" s="32" t="n">
        <v>1.0</v>
      </c>
      <c r="K22" s="33" t="n">
        <f>2617</f>
        <v>2617.0</v>
      </c>
      <c r="L22" s="34" t="s">
        <v>48</v>
      </c>
      <c r="M22" s="33" t="n">
        <f>2880</f>
        <v>2880.0</v>
      </c>
      <c r="N22" s="34" t="s">
        <v>61</v>
      </c>
      <c r="O22" s="33" t="n">
        <f>2177</f>
        <v>2177.0</v>
      </c>
      <c r="P22" s="34" t="s">
        <v>107</v>
      </c>
      <c r="Q22" s="33" t="n">
        <f>2300</f>
        <v>2300.0</v>
      </c>
      <c r="R22" s="34" t="s">
        <v>49</v>
      </c>
      <c r="S22" s="35" t="n">
        <f>2565.67</f>
        <v>2565.67</v>
      </c>
      <c r="T22" s="32" t="n">
        <f>6416</f>
        <v>6416.0</v>
      </c>
      <c r="U22" s="32" t="str">
        <f>"－"</f>
        <v>－</v>
      </c>
      <c r="V22" s="32" t="n">
        <f>15831833</f>
        <v>1.5831833E7</v>
      </c>
      <c r="W22" s="32" t="str">
        <f>"－"</f>
        <v>－</v>
      </c>
      <c r="X22" s="36" t="n">
        <f>21</f>
        <v>21.0</v>
      </c>
    </row>
    <row r="23">
      <c r="A23" s="27" t="s">
        <v>42</v>
      </c>
      <c r="B23" s="27" t="s">
        <v>108</v>
      </c>
      <c r="C23" s="27" t="s">
        <v>109</v>
      </c>
      <c r="D23" s="27" t="s">
        <v>110</v>
      </c>
      <c r="E23" s="28" t="s">
        <v>46</v>
      </c>
      <c r="F23" s="29" t="s">
        <v>46</v>
      </c>
      <c r="G23" s="30" t="s">
        <v>46</v>
      </c>
      <c r="H23" s="31"/>
      <c r="I23" s="31" t="s">
        <v>47</v>
      </c>
      <c r="J23" s="32" t="n">
        <v>10.0</v>
      </c>
      <c r="K23" s="33" t="n">
        <f>4520</f>
        <v>4520.0</v>
      </c>
      <c r="L23" s="34" t="s">
        <v>48</v>
      </c>
      <c r="M23" s="33" t="n">
        <f>4990</f>
        <v>4990.0</v>
      </c>
      <c r="N23" s="34" t="s">
        <v>91</v>
      </c>
      <c r="O23" s="33" t="n">
        <f>4465</f>
        <v>4465.0</v>
      </c>
      <c r="P23" s="34" t="s">
        <v>48</v>
      </c>
      <c r="Q23" s="33" t="n">
        <f>4780</f>
        <v>4780.0</v>
      </c>
      <c r="R23" s="34" t="s">
        <v>49</v>
      </c>
      <c r="S23" s="35" t="n">
        <f>4788.1</f>
        <v>4788.1</v>
      </c>
      <c r="T23" s="32" t="n">
        <f>207100</f>
        <v>207100.0</v>
      </c>
      <c r="U23" s="32" t="str">
        <f>"－"</f>
        <v>－</v>
      </c>
      <c r="V23" s="32" t="n">
        <f>995259400</f>
        <v>9.952594E8</v>
      </c>
      <c r="W23" s="32" t="str">
        <f>"－"</f>
        <v>－</v>
      </c>
      <c r="X23" s="36" t="n">
        <f>21</f>
        <v>21.0</v>
      </c>
    </row>
    <row r="24">
      <c r="A24" s="27" t="s">
        <v>42</v>
      </c>
      <c r="B24" s="27" t="s">
        <v>111</v>
      </c>
      <c r="C24" s="27" t="s">
        <v>112</v>
      </c>
      <c r="D24" s="27" t="s">
        <v>113</v>
      </c>
      <c r="E24" s="28" t="s">
        <v>46</v>
      </c>
      <c r="F24" s="29" t="s">
        <v>46</v>
      </c>
      <c r="G24" s="30" t="s">
        <v>46</v>
      </c>
      <c r="H24" s="31"/>
      <c r="I24" s="31" t="s">
        <v>47</v>
      </c>
      <c r="J24" s="32" t="n">
        <v>1.0</v>
      </c>
      <c r="K24" s="33" t="n">
        <f>19280</f>
        <v>19280.0</v>
      </c>
      <c r="L24" s="34" t="s">
        <v>48</v>
      </c>
      <c r="M24" s="33" t="n">
        <f>21100</f>
        <v>21100.0</v>
      </c>
      <c r="N24" s="34" t="s">
        <v>49</v>
      </c>
      <c r="O24" s="33" t="n">
        <f>18280</f>
        <v>18280.0</v>
      </c>
      <c r="P24" s="34" t="s">
        <v>50</v>
      </c>
      <c r="Q24" s="33" t="n">
        <f>20930</f>
        <v>20930.0</v>
      </c>
      <c r="R24" s="34" t="s">
        <v>49</v>
      </c>
      <c r="S24" s="35" t="n">
        <f>19887.62</f>
        <v>19887.62</v>
      </c>
      <c r="T24" s="32" t="n">
        <f>1044626</f>
        <v>1044626.0</v>
      </c>
      <c r="U24" s="32" t="n">
        <f>460158</f>
        <v>460158.0</v>
      </c>
      <c r="V24" s="32" t="n">
        <f>20843689235</f>
        <v>2.0843689235E10</v>
      </c>
      <c r="W24" s="32" t="n">
        <f>9241506625</f>
        <v>9.241506625E9</v>
      </c>
      <c r="X24" s="36" t="n">
        <f>21</f>
        <v>21.0</v>
      </c>
    </row>
    <row r="25">
      <c r="A25" s="27" t="s">
        <v>42</v>
      </c>
      <c r="B25" s="27" t="s">
        <v>114</v>
      </c>
      <c r="C25" s="27" t="s">
        <v>115</v>
      </c>
      <c r="D25" s="27" t="s">
        <v>116</v>
      </c>
      <c r="E25" s="28" t="s">
        <v>46</v>
      </c>
      <c r="F25" s="29" t="s">
        <v>46</v>
      </c>
      <c r="G25" s="30" t="s">
        <v>46</v>
      </c>
      <c r="H25" s="31"/>
      <c r="I25" s="31" t="s">
        <v>47</v>
      </c>
      <c r="J25" s="32" t="n">
        <v>10.0</v>
      </c>
      <c r="K25" s="33" t="n">
        <f>19380</f>
        <v>19380.0</v>
      </c>
      <c r="L25" s="34" t="s">
        <v>48</v>
      </c>
      <c r="M25" s="33" t="n">
        <f>21230</f>
        <v>21230.0</v>
      </c>
      <c r="N25" s="34" t="s">
        <v>49</v>
      </c>
      <c r="O25" s="33" t="n">
        <f>18400</f>
        <v>18400.0</v>
      </c>
      <c r="P25" s="34" t="s">
        <v>50</v>
      </c>
      <c r="Q25" s="33" t="n">
        <f>21040</f>
        <v>21040.0</v>
      </c>
      <c r="R25" s="34" t="s">
        <v>49</v>
      </c>
      <c r="S25" s="35" t="n">
        <f>20014.29</f>
        <v>20014.29</v>
      </c>
      <c r="T25" s="32" t="n">
        <f>2220950</f>
        <v>2220950.0</v>
      </c>
      <c r="U25" s="32" t="n">
        <f>133270</f>
        <v>133270.0</v>
      </c>
      <c r="V25" s="32" t="n">
        <f>44448298554</f>
        <v>4.4448298554E10</v>
      </c>
      <c r="W25" s="32" t="n">
        <f>2647408954</f>
        <v>2.647408954E9</v>
      </c>
      <c r="X25" s="36" t="n">
        <f>21</f>
        <v>21.0</v>
      </c>
    </row>
    <row r="26">
      <c r="A26" s="27" t="s">
        <v>42</v>
      </c>
      <c r="B26" s="27" t="s">
        <v>117</v>
      </c>
      <c r="C26" s="27" t="s">
        <v>118</v>
      </c>
      <c r="D26" s="27" t="s">
        <v>119</v>
      </c>
      <c r="E26" s="28" t="s">
        <v>46</v>
      </c>
      <c r="F26" s="29" t="s">
        <v>46</v>
      </c>
      <c r="G26" s="30" t="s">
        <v>46</v>
      </c>
      <c r="H26" s="31"/>
      <c r="I26" s="31" t="s">
        <v>47</v>
      </c>
      <c r="J26" s="32" t="n">
        <v>10.0</v>
      </c>
      <c r="K26" s="33" t="n">
        <f>1697</f>
        <v>1697.0</v>
      </c>
      <c r="L26" s="34" t="s">
        <v>48</v>
      </c>
      <c r="M26" s="33" t="n">
        <f>1729</f>
        <v>1729.0</v>
      </c>
      <c r="N26" s="34" t="s">
        <v>96</v>
      </c>
      <c r="O26" s="33" t="n">
        <f>1515</f>
        <v>1515.0</v>
      </c>
      <c r="P26" s="34" t="s">
        <v>92</v>
      </c>
      <c r="Q26" s="33" t="n">
        <f>1699</f>
        <v>1699.0</v>
      </c>
      <c r="R26" s="34" t="s">
        <v>49</v>
      </c>
      <c r="S26" s="35" t="n">
        <f>1646.33</f>
        <v>1646.33</v>
      </c>
      <c r="T26" s="32" t="n">
        <f>11470590</f>
        <v>1.147059E7</v>
      </c>
      <c r="U26" s="32" t="n">
        <f>347950</f>
        <v>347950.0</v>
      </c>
      <c r="V26" s="32" t="n">
        <f>18864129636</f>
        <v>1.8864129636E10</v>
      </c>
      <c r="W26" s="32" t="n">
        <f>572756706</f>
        <v>5.72756706E8</v>
      </c>
      <c r="X26" s="36" t="n">
        <f>21</f>
        <v>21.0</v>
      </c>
    </row>
    <row r="27">
      <c r="A27" s="27" t="s">
        <v>42</v>
      </c>
      <c r="B27" s="27" t="s">
        <v>120</v>
      </c>
      <c r="C27" s="27" t="s">
        <v>121</v>
      </c>
      <c r="D27" s="27" t="s">
        <v>122</v>
      </c>
      <c r="E27" s="28" t="s">
        <v>46</v>
      </c>
      <c r="F27" s="29" t="s">
        <v>46</v>
      </c>
      <c r="G27" s="30" t="s">
        <v>46</v>
      </c>
      <c r="H27" s="31"/>
      <c r="I27" s="31" t="s">
        <v>47</v>
      </c>
      <c r="J27" s="32" t="n">
        <v>10.0</v>
      </c>
      <c r="K27" s="33" t="n">
        <f>641</f>
        <v>641.0</v>
      </c>
      <c r="L27" s="34" t="s">
        <v>48</v>
      </c>
      <c r="M27" s="33" t="n">
        <f>654</f>
        <v>654.0</v>
      </c>
      <c r="N27" s="34" t="s">
        <v>61</v>
      </c>
      <c r="O27" s="33" t="n">
        <f>608</f>
        <v>608.0</v>
      </c>
      <c r="P27" s="34" t="s">
        <v>92</v>
      </c>
      <c r="Q27" s="33" t="n">
        <f>644</f>
        <v>644.0</v>
      </c>
      <c r="R27" s="34" t="s">
        <v>49</v>
      </c>
      <c r="S27" s="35" t="n">
        <f>631.43</f>
        <v>631.43</v>
      </c>
      <c r="T27" s="32" t="n">
        <f>22140</f>
        <v>22140.0</v>
      </c>
      <c r="U27" s="32" t="str">
        <f>"－"</f>
        <v>－</v>
      </c>
      <c r="V27" s="32" t="n">
        <f>13830050</f>
        <v>1.383005E7</v>
      </c>
      <c r="W27" s="32" t="str">
        <f>"－"</f>
        <v>－</v>
      </c>
      <c r="X27" s="36" t="n">
        <f>21</f>
        <v>21.0</v>
      </c>
    </row>
    <row r="28">
      <c r="A28" s="27" t="s">
        <v>42</v>
      </c>
      <c r="B28" s="27" t="s">
        <v>123</v>
      </c>
      <c r="C28" s="27" t="s">
        <v>124</v>
      </c>
      <c r="D28" s="27" t="s">
        <v>125</v>
      </c>
      <c r="E28" s="28" t="s">
        <v>46</v>
      </c>
      <c r="F28" s="29" t="s">
        <v>46</v>
      </c>
      <c r="G28" s="30" t="s">
        <v>46</v>
      </c>
      <c r="H28" s="31"/>
      <c r="I28" s="31" t="s">
        <v>47</v>
      </c>
      <c r="J28" s="32" t="n">
        <v>100.0</v>
      </c>
      <c r="K28" s="33" t="n">
        <f>1598</f>
        <v>1598.0</v>
      </c>
      <c r="L28" s="34" t="s">
        <v>48</v>
      </c>
      <c r="M28" s="33" t="n">
        <f>1625</f>
        <v>1625.0</v>
      </c>
      <c r="N28" s="34" t="s">
        <v>96</v>
      </c>
      <c r="O28" s="33" t="n">
        <f>1421</f>
        <v>1421.0</v>
      </c>
      <c r="P28" s="34" t="s">
        <v>92</v>
      </c>
      <c r="Q28" s="33" t="n">
        <f>1598</f>
        <v>1598.0</v>
      </c>
      <c r="R28" s="34" t="s">
        <v>49</v>
      </c>
      <c r="S28" s="35" t="n">
        <f>1548.19</f>
        <v>1548.19</v>
      </c>
      <c r="T28" s="32" t="n">
        <f>3493300</f>
        <v>3493300.0</v>
      </c>
      <c r="U28" s="32" t="n">
        <f>17600</f>
        <v>17600.0</v>
      </c>
      <c r="V28" s="32" t="n">
        <f>5391388310</f>
        <v>5.39138831E9</v>
      </c>
      <c r="W28" s="32" t="n">
        <f>26751510</f>
        <v>2.675151E7</v>
      </c>
      <c r="X28" s="36" t="n">
        <f>21</f>
        <v>21.0</v>
      </c>
    </row>
    <row r="29">
      <c r="A29" s="27" t="s">
        <v>42</v>
      </c>
      <c r="B29" s="27" t="s">
        <v>126</v>
      </c>
      <c r="C29" s="27" t="s">
        <v>127</v>
      </c>
      <c r="D29" s="27" t="s">
        <v>128</v>
      </c>
      <c r="E29" s="28" t="s">
        <v>46</v>
      </c>
      <c r="F29" s="29" t="s">
        <v>46</v>
      </c>
      <c r="G29" s="30" t="s">
        <v>46</v>
      </c>
      <c r="H29" s="31"/>
      <c r="I29" s="31" t="s">
        <v>47</v>
      </c>
      <c r="J29" s="32" t="n">
        <v>1.0</v>
      </c>
      <c r="K29" s="33" t="n">
        <f>19290</f>
        <v>19290.0</v>
      </c>
      <c r="L29" s="34" t="s">
        <v>48</v>
      </c>
      <c r="M29" s="33" t="n">
        <f>21110</f>
        <v>21110.0</v>
      </c>
      <c r="N29" s="34" t="s">
        <v>49</v>
      </c>
      <c r="O29" s="33" t="n">
        <f>18290</f>
        <v>18290.0</v>
      </c>
      <c r="P29" s="34" t="s">
        <v>50</v>
      </c>
      <c r="Q29" s="33" t="n">
        <f>20940</f>
        <v>20940.0</v>
      </c>
      <c r="R29" s="34" t="s">
        <v>49</v>
      </c>
      <c r="S29" s="35" t="n">
        <f>19902.86</f>
        <v>19902.86</v>
      </c>
      <c r="T29" s="32" t="n">
        <f>816106</f>
        <v>816106.0</v>
      </c>
      <c r="U29" s="32" t="n">
        <f>21679</f>
        <v>21679.0</v>
      </c>
      <c r="V29" s="32" t="n">
        <f>16395437699</f>
        <v>1.6395437699E10</v>
      </c>
      <c r="W29" s="32" t="n">
        <f>443567829</f>
        <v>4.43567829E8</v>
      </c>
      <c r="X29" s="36" t="n">
        <f>21</f>
        <v>21.0</v>
      </c>
    </row>
    <row r="30">
      <c r="A30" s="27" t="s">
        <v>42</v>
      </c>
      <c r="B30" s="27" t="s">
        <v>129</v>
      </c>
      <c r="C30" s="27" t="s">
        <v>130</v>
      </c>
      <c r="D30" s="27" t="s">
        <v>131</v>
      </c>
      <c r="E30" s="28" t="s">
        <v>46</v>
      </c>
      <c r="F30" s="29" t="s">
        <v>46</v>
      </c>
      <c r="G30" s="30" t="s">
        <v>46</v>
      </c>
      <c r="H30" s="31"/>
      <c r="I30" s="31" t="s">
        <v>47</v>
      </c>
      <c r="J30" s="32" t="n">
        <v>10.0</v>
      </c>
      <c r="K30" s="33" t="n">
        <f>1441</f>
        <v>1441.0</v>
      </c>
      <c r="L30" s="34" t="s">
        <v>48</v>
      </c>
      <c r="M30" s="33" t="n">
        <f>1541</f>
        <v>1541.0</v>
      </c>
      <c r="N30" s="34" t="s">
        <v>49</v>
      </c>
      <c r="O30" s="33" t="n">
        <f>1369</f>
        <v>1369.0</v>
      </c>
      <c r="P30" s="34" t="s">
        <v>50</v>
      </c>
      <c r="Q30" s="33" t="n">
        <f>1520</f>
        <v>1520.0</v>
      </c>
      <c r="R30" s="34" t="s">
        <v>49</v>
      </c>
      <c r="S30" s="35" t="n">
        <f>1469.14</f>
        <v>1469.14</v>
      </c>
      <c r="T30" s="32" t="n">
        <f>4834510</f>
        <v>4834510.0</v>
      </c>
      <c r="U30" s="32" t="n">
        <f>1848000</f>
        <v>1848000.0</v>
      </c>
      <c r="V30" s="32" t="n">
        <f>7138858290</f>
        <v>7.13885829E9</v>
      </c>
      <c r="W30" s="32" t="n">
        <f>2734636600</f>
        <v>2.7346366E9</v>
      </c>
      <c r="X30" s="36" t="n">
        <f>21</f>
        <v>21.0</v>
      </c>
    </row>
    <row r="31">
      <c r="A31" s="27" t="s">
        <v>42</v>
      </c>
      <c r="B31" s="27" t="s">
        <v>132</v>
      </c>
      <c r="C31" s="27" t="s">
        <v>133</v>
      </c>
      <c r="D31" s="27" t="s">
        <v>134</v>
      </c>
      <c r="E31" s="28" t="s">
        <v>46</v>
      </c>
      <c r="F31" s="29" t="s">
        <v>46</v>
      </c>
      <c r="G31" s="30" t="s">
        <v>46</v>
      </c>
      <c r="H31" s="31"/>
      <c r="I31" s="31" t="s">
        <v>47</v>
      </c>
      <c r="J31" s="32" t="n">
        <v>1.0</v>
      </c>
      <c r="K31" s="33" t="n">
        <f>12320</f>
        <v>12320.0</v>
      </c>
      <c r="L31" s="34" t="s">
        <v>48</v>
      </c>
      <c r="M31" s="33" t="n">
        <f>12580</f>
        <v>12580.0</v>
      </c>
      <c r="N31" s="34" t="s">
        <v>60</v>
      </c>
      <c r="O31" s="33" t="n">
        <f>12170</f>
        <v>12170.0</v>
      </c>
      <c r="P31" s="34" t="s">
        <v>50</v>
      </c>
      <c r="Q31" s="33" t="n">
        <f>12480</f>
        <v>12480.0</v>
      </c>
      <c r="R31" s="34" t="s">
        <v>49</v>
      </c>
      <c r="S31" s="35" t="n">
        <f>12419.52</f>
        <v>12419.52</v>
      </c>
      <c r="T31" s="32" t="n">
        <f>740</f>
        <v>740.0</v>
      </c>
      <c r="U31" s="32" t="str">
        <f>"－"</f>
        <v>－</v>
      </c>
      <c r="V31" s="32" t="n">
        <f>9175440</f>
        <v>9175440.0</v>
      </c>
      <c r="W31" s="32" t="str">
        <f>"－"</f>
        <v>－</v>
      </c>
      <c r="X31" s="36" t="n">
        <f>21</f>
        <v>21.0</v>
      </c>
    </row>
    <row r="32">
      <c r="A32" s="27" t="s">
        <v>42</v>
      </c>
      <c r="B32" s="27" t="s">
        <v>135</v>
      </c>
      <c r="C32" s="27" t="s">
        <v>136</v>
      </c>
      <c r="D32" s="27" t="s">
        <v>137</v>
      </c>
      <c r="E32" s="28" t="s">
        <v>46</v>
      </c>
      <c r="F32" s="29" t="s">
        <v>46</v>
      </c>
      <c r="G32" s="30" t="s">
        <v>46</v>
      </c>
      <c r="H32" s="31"/>
      <c r="I32" s="31" t="s">
        <v>47</v>
      </c>
      <c r="J32" s="32" t="n">
        <v>10.0</v>
      </c>
      <c r="K32" s="33" t="n">
        <f>2726</f>
        <v>2726.0</v>
      </c>
      <c r="L32" s="34" t="s">
        <v>48</v>
      </c>
      <c r="M32" s="33" t="n">
        <f>3010</f>
        <v>3010.0</v>
      </c>
      <c r="N32" s="34" t="s">
        <v>50</v>
      </c>
      <c r="O32" s="33" t="n">
        <f>2328</f>
        <v>2328.0</v>
      </c>
      <c r="P32" s="34" t="s">
        <v>49</v>
      </c>
      <c r="Q32" s="33" t="n">
        <f>2395</f>
        <v>2395.0</v>
      </c>
      <c r="R32" s="34" t="s">
        <v>49</v>
      </c>
      <c r="S32" s="35" t="n">
        <f>2588</f>
        <v>2588.0</v>
      </c>
      <c r="T32" s="32" t="n">
        <f>13000580</f>
        <v>1.300058E7</v>
      </c>
      <c r="U32" s="32" t="n">
        <f>38110</f>
        <v>38110.0</v>
      </c>
      <c r="V32" s="32" t="n">
        <f>34437654431</f>
        <v>3.4437654431E10</v>
      </c>
      <c r="W32" s="32" t="n">
        <f>98446301</f>
        <v>9.8446301E7</v>
      </c>
      <c r="X32" s="36" t="n">
        <f>21</f>
        <v>21.0</v>
      </c>
    </row>
    <row r="33">
      <c r="A33" s="27" t="s">
        <v>42</v>
      </c>
      <c r="B33" s="27" t="s">
        <v>138</v>
      </c>
      <c r="C33" s="27" t="s">
        <v>139</v>
      </c>
      <c r="D33" s="27" t="s">
        <v>140</v>
      </c>
      <c r="E33" s="28" t="s">
        <v>46</v>
      </c>
      <c r="F33" s="29" t="s">
        <v>46</v>
      </c>
      <c r="G33" s="30" t="s">
        <v>46</v>
      </c>
      <c r="H33" s="31"/>
      <c r="I33" s="31" t="s">
        <v>47</v>
      </c>
      <c r="J33" s="32" t="n">
        <v>1.0</v>
      </c>
      <c r="K33" s="33" t="n">
        <f>1242</f>
        <v>1242.0</v>
      </c>
      <c r="L33" s="34" t="s">
        <v>48</v>
      </c>
      <c r="M33" s="33" t="n">
        <f>1370</f>
        <v>1370.0</v>
      </c>
      <c r="N33" s="34" t="s">
        <v>50</v>
      </c>
      <c r="O33" s="33" t="n">
        <f>995</f>
        <v>995.0</v>
      </c>
      <c r="P33" s="34" t="s">
        <v>49</v>
      </c>
      <c r="Q33" s="33" t="n">
        <f>1013</f>
        <v>1013.0</v>
      </c>
      <c r="R33" s="34" t="s">
        <v>49</v>
      </c>
      <c r="S33" s="35" t="n">
        <f>1141.14</f>
        <v>1141.14</v>
      </c>
      <c r="T33" s="32" t="n">
        <f>1921198494</f>
        <v>1.921198494E9</v>
      </c>
      <c r="U33" s="32" t="n">
        <f>2885948</f>
        <v>2885948.0</v>
      </c>
      <c r="V33" s="32" t="n">
        <f>2254402348339</f>
        <v>2.254402348339E12</v>
      </c>
      <c r="W33" s="32" t="n">
        <f>3466095750</f>
        <v>3.46609575E9</v>
      </c>
      <c r="X33" s="36" t="n">
        <f>21</f>
        <v>21.0</v>
      </c>
    </row>
    <row r="34">
      <c r="A34" s="27" t="s">
        <v>42</v>
      </c>
      <c r="B34" s="27" t="s">
        <v>141</v>
      </c>
      <c r="C34" s="27" t="s">
        <v>142</v>
      </c>
      <c r="D34" s="27" t="s">
        <v>143</v>
      </c>
      <c r="E34" s="28" t="s">
        <v>46</v>
      </c>
      <c r="F34" s="29" t="s">
        <v>46</v>
      </c>
      <c r="G34" s="30" t="s">
        <v>46</v>
      </c>
      <c r="H34" s="31"/>
      <c r="I34" s="31" t="s">
        <v>47</v>
      </c>
      <c r="J34" s="32" t="n">
        <v>1.0</v>
      </c>
      <c r="K34" s="33" t="n">
        <f>12660</f>
        <v>12660.0</v>
      </c>
      <c r="L34" s="34" t="s">
        <v>48</v>
      </c>
      <c r="M34" s="33" t="n">
        <f>15020</f>
        <v>15020.0</v>
      </c>
      <c r="N34" s="34" t="s">
        <v>49</v>
      </c>
      <c r="O34" s="33" t="n">
        <f>11330</f>
        <v>11330.0</v>
      </c>
      <c r="P34" s="34" t="s">
        <v>50</v>
      </c>
      <c r="Q34" s="33" t="n">
        <f>14770</f>
        <v>14770.0</v>
      </c>
      <c r="R34" s="34" t="s">
        <v>49</v>
      </c>
      <c r="S34" s="35" t="n">
        <f>13399.05</f>
        <v>13399.05</v>
      </c>
      <c r="T34" s="32" t="n">
        <f>1056163</f>
        <v>1056163.0</v>
      </c>
      <c r="U34" s="32" t="n">
        <f>38600</f>
        <v>38600.0</v>
      </c>
      <c r="V34" s="32" t="n">
        <f>14007603109</f>
        <v>1.4007603109E10</v>
      </c>
      <c r="W34" s="32" t="n">
        <f>503520309</f>
        <v>5.03520309E8</v>
      </c>
      <c r="X34" s="36" t="n">
        <f>21</f>
        <v>21.0</v>
      </c>
    </row>
    <row r="35">
      <c r="A35" s="27" t="s">
        <v>42</v>
      </c>
      <c r="B35" s="27" t="s">
        <v>144</v>
      </c>
      <c r="C35" s="27" t="s">
        <v>145</v>
      </c>
      <c r="D35" s="27" t="s">
        <v>146</v>
      </c>
      <c r="E35" s="28" t="s">
        <v>46</v>
      </c>
      <c r="F35" s="29" t="s">
        <v>46</v>
      </c>
      <c r="G35" s="30" t="s">
        <v>46</v>
      </c>
      <c r="H35" s="31"/>
      <c r="I35" s="31" t="s">
        <v>47</v>
      </c>
      <c r="J35" s="32" t="n">
        <v>10.0</v>
      </c>
      <c r="K35" s="33" t="n">
        <f>3000</f>
        <v>3000.0</v>
      </c>
      <c r="L35" s="34" t="s">
        <v>48</v>
      </c>
      <c r="M35" s="33" t="n">
        <f>3310</f>
        <v>3310.0</v>
      </c>
      <c r="N35" s="34" t="s">
        <v>50</v>
      </c>
      <c r="O35" s="33" t="n">
        <f>2417</f>
        <v>2417.0</v>
      </c>
      <c r="P35" s="34" t="s">
        <v>49</v>
      </c>
      <c r="Q35" s="33" t="n">
        <f>2456</f>
        <v>2456.0</v>
      </c>
      <c r="R35" s="34" t="s">
        <v>49</v>
      </c>
      <c r="S35" s="35" t="n">
        <f>2763.38</f>
        <v>2763.38</v>
      </c>
      <c r="T35" s="32" t="n">
        <f>111825720</f>
        <v>1.1182572E8</v>
      </c>
      <c r="U35" s="32" t="n">
        <f>28770</f>
        <v>28770.0</v>
      </c>
      <c r="V35" s="32" t="n">
        <f>311626796169</f>
        <v>3.11626796169E11</v>
      </c>
      <c r="W35" s="32" t="n">
        <f>89665529</f>
        <v>8.9665529E7</v>
      </c>
      <c r="X35" s="36" t="n">
        <f>21</f>
        <v>21.0</v>
      </c>
    </row>
    <row r="36">
      <c r="A36" s="27" t="s">
        <v>42</v>
      </c>
      <c r="B36" s="27" t="s">
        <v>147</v>
      </c>
      <c r="C36" s="27" t="s">
        <v>148</v>
      </c>
      <c r="D36" s="27" t="s">
        <v>149</v>
      </c>
      <c r="E36" s="28" t="s">
        <v>46</v>
      </c>
      <c r="F36" s="29" t="s">
        <v>46</v>
      </c>
      <c r="G36" s="30" t="s">
        <v>46</v>
      </c>
      <c r="H36" s="31"/>
      <c r="I36" s="31" t="s">
        <v>47</v>
      </c>
      <c r="J36" s="32" t="n">
        <v>1.0</v>
      </c>
      <c r="K36" s="33" t="n">
        <f>12900</f>
        <v>12900.0</v>
      </c>
      <c r="L36" s="34" t="s">
        <v>48</v>
      </c>
      <c r="M36" s="33" t="n">
        <f>13640</f>
        <v>13640.0</v>
      </c>
      <c r="N36" s="34" t="s">
        <v>49</v>
      </c>
      <c r="O36" s="33" t="n">
        <f>12150</f>
        <v>12150.0</v>
      </c>
      <c r="P36" s="34" t="s">
        <v>50</v>
      </c>
      <c r="Q36" s="33" t="n">
        <f>13530</f>
        <v>13530.0</v>
      </c>
      <c r="R36" s="34" t="s">
        <v>49</v>
      </c>
      <c r="S36" s="35" t="n">
        <f>12998.1</f>
        <v>12998.1</v>
      </c>
      <c r="T36" s="32" t="n">
        <f>7650</f>
        <v>7650.0</v>
      </c>
      <c r="U36" s="32" t="n">
        <f>3862</f>
        <v>3862.0</v>
      </c>
      <c r="V36" s="32" t="n">
        <f>99288950</f>
        <v>9.928895E7</v>
      </c>
      <c r="W36" s="32" t="n">
        <f>49993590</f>
        <v>4.999359E7</v>
      </c>
      <c r="X36" s="36" t="n">
        <f>21</f>
        <v>21.0</v>
      </c>
    </row>
    <row r="37">
      <c r="A37" s="27" t="s">
        <v>42</v>
      </c>
      <c r="B37" s="27" t="s">
        <v>150</v>
      </c>
      <c r="C37" s="27" t="s">
        <v>151</v>
      </c>
      <c r="D37" s="27" t="s">
        <v>152</v>
      </c>
      <c r="E37" s="28" t="s">
        <v>46</v>
      </c>
      <c r="F37" s="29" t="s">
        <v>46</v>
      </c>
      <c r="G37" s="30" t="s">
        <v>46</v>
      </c>
      <c r="H37" s="31"/>
      <c r="I37" s="31" t="s">
        <v>47</v>
      </c>
      <c r="J37" s="32" t="n">
        <v>1.0</v>
      </c>
      <c r="K37" s="33" t="n">
        <f>10360</f>
        <v>10360.0</v>
      </c>
      <c r="L37" s="34" t="s">
        <v>48</v>
      </c>
      <c r="M37" s="33" t="n">
        <f>12280</f>
        <v>12280.0</v>
      </c>
      <c r="N37" s="34" t="s">
        <v>49</v>
      </c>
      <c r="O37" s="33" t="n">
        <f>9290</f>
        <v>9290.0</v>
      </c>
      <c r="P37" s="34" t="s">
        <v>50</v>
      </c>
      <c r="Q37" s="33" t="n">
        <f>12080</f>
        <v>12080.0</v>
      </c>
      <c r="R37" s="34" t="s">
        <v>49</v>
      </c>
      <c r="S37" s="35" t="n">
        <f>10970.48</f>
        <v>10970.48</v>
      </c>
      <c r="T37" s="32" t="n">
        <f>1887361</f>
        <v>1887361.0</v>
      </c>
      <c r="U37" s="32" t="n">
        <f>1422</f>
        <v>1422.0</v>
      </c>
      <c r="V37" s="32" t="n">
        <f>20714868545</f>
        <v>2.0714868545E10</v>
      </c>
      <c r="W37" s="32" t="n">
        <f>15021055</f>
        <v>1.5021055E7</v>
      </c>
      <c r="X37" s="36" t="n">
        <f>21</f>
        <v>21.0</v>
      </c>
    </row>
    <row r="38">
      <c r="A38" s="27" t="s">
        <v>42</v>
      </c>
      <c r="B38" s="27" t="s">
        <v>153</v>
      </c>
      <c r="C38" s="27" t="s">
        <v>154</v>
      </c>
      <c r="D38" s="27" t="s">
        <v>155</v>
      </c>
      <c r="E38" s="28" t="s">
        <v>46</v>
      </c>
      <c r="F38" s="29" t="s">
        <v>46</v>
      </c>
      <c r="G38" s="30" t="s">
        <v>46</v>
      </c>
      <c r="H38" s="31"/>
      <c r="I38" s="31" t="s">
        <v>47</v>
      </c>
      <c r="J38" s="32" t="n">
        <v>1.0</v>
      </c>
      <c r="K38" s="33" t="n">
        <f>3235</f>
        <v>3235.0</v>
      </c>
      <c r="L38" s="34" t="s">
        <v>48</v>
      </c>
      <c r="M38" s="33" t="n">
        <f>3565</f>
        <v>3565.0</v>
      </c>
      <c r="N38" s="34" t="s">
        <v>50</v>
      </c>
      <c r="O38" s="33" t="n">
        <f>2595</f>
        <v>2595.0</v>
      </c>
      <c r="P38" s="34" t="s">
        <v>49</v>
      </c>
      <c r="Q38" s="33" t="n">
        <f>2641</f>
        <v>2641.0</v>
      </c>
      <c r="R38" s="34" t="s">
        <v>49</v>
      </c>
      <c r="S38" s="35" t="n">
        <f>2973.95</f>
        <v>2973.95</v>
      </c>
      <c r="T38" s="32" t="n">
        <f>11455979</f>
        <v>1.1455979E7</v>
      </c>
      <c r="U38" s="32" t="n">
        <f>16514</f>
        <v>16514.0</v>
      </c>
      <c r="V38" s="32" t="n">
        <f>34616797282</f>
        <v>3.4616797282E10</v>
      </c>
      <c r="W38" s="32" t="n">
        <f>54713818</f>
        <v>5.4713818E7</v>
      </c>
      <c r="X38" s="36" t="n">
        <f>21</f>
        <v>21.0</v>
      </c>
    </row>
    <row r="39">
      <c r="A39" s="27" t="s">
        <v>42</v>
      </c>
      <c r="B39" s="27" t="s">
        <v>156</v>
      </c>
      <c r="C39" s="27" t="s">
        <v>157</v>
      </c>
      <c r="D39" s="27" t="s">
        <v>158</v>
      </c>
      <c r="E39" s="28" t="s">
        <v>46</v>
      </c>
      <c r="F39" s="29" t="s">
        <v>46</v>
      </c>
      <c r="G39" s="30" t="s">
        <v>46</v>
      </c>
      <c r="H39" s="31"/>
      <c r="I39" s="31" t="s">
        <v>47</v>
      </c>
      <c r="J39" s="32" t="n">
        <v>1.0</v>
      </c>
      <c r="K39" s="33" t="n">
        <f>9500</f>
        <v>9500.0</v>
      </c>
      <c r="L39" s="34" t="s">
        <v>48</v>
      </c>
      <c r="M39" s="33" t="n">
        <f>10740</f>
        <v>10740.0</v>
      </c>
      <c r="N39" s="34" t="s">
        <v>49</v>
      </c>
      <c r="O39" s="33" t="n">
        <f>8490</f>
        <v>8490.0</v>
      </c>
      <c r="P39" s="34" t="s">
        <v>50</v>
      </c>
      <c r="Q39" s="33" t="n">
        <f>10470</f>
        <v>10470.0</v>
      </c>
      <c r="R39" s="34" t="s">
        <v>49</v>
      </c>
      <c r="S39" s="35" t="n">
        <f>9790</f>
        <v>9790.0</v>
      </c>
      <c r="T39" s="32" t="n">
        <f>435350</f>
        <v>435350.0</v>
      </c>
      <c r="U39" s="32" t="n">
        <f>580</f>
        <v>580.0</v>
      </c>
      <c r="V39" s="32" t="n">
        <f>4216278110</f>
        <v>4.21627811E9</v>
      </c>
      <c r="W39" s="32" t="n">
        <f>5732000</f>
        <v>5732000.0</v>
      </c>
      <c r="X39" s="36" t="n">
        <f>21</f>
        <v>21.0</v>
      </c>
    </row>
    <row r="40">
      <c r="A40" s="27" t="s">
        <v>42</v>
      </c>
      <c r="B40" s="27" t="s">
        <v>159</v>
      </c>
      <c r="C40" s="27" t="s">
        <v>160</v>
      </c>
      <c r="D40" s="27" t="s">
        <v>161</v>
      </c>
      <c r="E40" s="28" t="s">
        <v>46</v>
      </c>
      <c r="F40" s="29" t="s">
        <v>46</v>
      </c>
      <c r="G40" s="30" t="s">
        <v>46</v>
      </c>
      <c r="H40" s="31"/>
      <c r="I40" s="31" t="s">
        <v>47</v>
      </c>
      <c r="J40" s="32" t="n">
        <v>1.0</v>
      </c>
      <c r="K40" s="33" t="n">
        <f>3960</f>
        <v>3960.0</v>
      </c>
      <c r="L40" s="34" t="s">
        <v>48</v>
      </c>
      <c r="M40" s="33" t="n">
        <f>4385</f>
        <v>4385.0</v>
      </c>
      <c r="N40" s="34" t="s">
        <v>50</v>
      </c>
      <c r="O40" s="33" t="n">
        <f>3390</f>
        <v>3390.0</v>
      </c>
      <c r="P40" s="34" t="s">
        <v>49</v>
      </c>
      <c r="Q40" s="33" t="n">
        <f>3480</f>
        <v>3480.0</v>
      </c>
      <c r="R40" s="34" t="s">
        <v>49</v>
      </c>
      <c r="S40" s="35" t="n">
        <f>3765.48</f>
        <v>3765.48</v>
      </c>
      <c r="T40" s="32" t="n">
        <f>1885751</f>
        <v>1885751.0</v>
      </c>
      <c r="U40" s="32" t="n">
        <f>2933</f>
        <v>2933.0</v>
      </c>
      <c r="V40" s="32" t="n">
        <f>7280183988</f>
        <v>7.280183988E9</v>
      </c>
      <c r="W40" s="32" t="n">
        <f>11945473</f>
        <v>1.1945473E7</v>
      </c>
      <c r="X40" s="36" t="n">
        <f>21</f>
        <v>21.0</v>
      </c>
    </row>
    <row r="41">
      <c r="A41" s="27" t="s">
        <v>42</v>
      </c>
      <c r="B41" s="27" t="s">
        <v>162</v>
      </c>
      <c r="C41" s="27" t="s">
        <v>163</v>
      </c>
      <c r="D41" s="27" t="s">
        <v>164</v>
      </c>
      <c r="E41" s="28" t="s">
        <v>46</v>
      </c>
      <c r="F41" s="29" t="s">
        <v>46</v>
      </c>
      <c r="G41" s="30" t="s">
        <v>46</v>
      </c>
      <c r="H41" s="31"/>
      <c r="I41" s="31" t="s">
        <v>47</v>
      </c>
      <c r="J41" s="32" t="n">
        <v>1.0</v>
      </c>
      <c r="K41" s="33" t="n">
        <f>18740</f>
        <v>18740.0</v>
      </c>
      <c r="L41" s="34" t="s">
        <v>48</v>
      </c>
      <c r="M41" s="33" t="n">
        <f>20530</f>
        <v>20530.0</v>
      </c>
      <c r="N41" s="34" t="s">
        <v>49</v>
      </c>
      <c r="O41" s="33" t="n">
        <f>17810</f>
        <v>17810.0</v>
      </c>
      <c r="P41" s="34" t="s">
        <v>50</v>
      </c>
      <c r="Q41" s="33" t="n">
        <f>20360</f>
        <v>20360.0</v>
      </c>
      <c r="R41" s="34" t="s">
        <v>49</v>
      </c>
      <c r="S41" s="35" t="n">
        <f>19368.1</f>
        <v>19368.1</v>
      </c>
      <c r="T41" s="32" t="n">
        <f>52478</f>
        <v>52478.0</v>
      </c>
      <c r="U41" s="32" t="n">
        <f>5000</f>
        <v>5000.0</v>
      </c>
      <c r="V41" s="32" t="n">
        <f>1026816130</f>
        <v>1.02681613E9</v>
      </c>
      <c r="W41" s="32" t="n">
        <f>95735000</f>
        <v>9.5735E7</v>
      </c>
      <c r="X41" s="36" t="n">
        <f>21</f>
        <v>21.0</v>
      </c>
    </row>
    <row r="42">
      <c r="A42" s="27" t="s">
        <v>42</v>
      </c>
      <c r="B42" s="27" t="s">
        <v>165</v>
      </c>
      <c r="C42" s="27" t="s">
        <v>166</v>
      </c>
      <c r="D42" s="27" t="s">
        <v>167</v>
      </c>
      <c r="E42" s="28" t="s">
        <v>46</v>
      </c>
      <c r="F42" s="29" t="s">
        <v>46</v>
      </c>
      <c r="G42" s="30" t="s">
        <v>46</v>
      </c>
      <c r="H42" s="31"/>
      <c r="I42" s="31" t="s">
        <v>47</v>
      </c>
      <c r="J42" s="32" t="n">
        <v>1.0</v>
      </c>
      <c r="K42" s="33" t="n">
        <f>3570</f>
        <v>3570.0</v>
      </c>
      <c r="L42" s="34" t="s">
        <v>48</v>
      </c>
      <c r="M42" s="33" t="n">
        <f>3910</f>
        <v>3910.0</v>
      </c>
      <c r="N42" s="34" t="s">
        <v>49</v>
      </c>
      <c r="O42" s="33" t="n">
        <f>3315</f>
        <v>3315.0</v>
      </c>
      <c r="P42" s="34" t="s">
        <v>92</v>
      </c>
      <c r="Q42" s="33" t="n">
        <f>3650</f>
        <v>3650.0</v>
      </c>
      <c r="R42" s="34" t="s">
        <v>49</v>
      </c>
      <c r="S42" s="35" t="n">
        <f>3668.57</f>
        <v>3668.57</v>
      </c>
      <c r="T42" s="32" t="n">
        <f>10185</f>
        <v>10185.0</v>
      </c>
      <c r="U42" s="32" t="str">
        <f>"－"</f>
        <v>－</v>
      </c>
      <c r="V42" s="32" t="n">
        <f>36196635</f>
        <v>3.6196635E7</v>
      </c>
      <c r="W42" s="32" t="str">
        <f>"－"</f>
        <v>－</v>
      </c>
      <c r="X42" s="36" t="n">
        <f>21</f>
        <v>21.0</v>
      </c>
    </row>
    <row r="43">
      <c r="A43" s="27" t="s">
        <v>42</v>
      </c>
      <c r="B43" s="27" t="s">
        <v>168</v>
      </c>
      <c r="C43" s="27" t="s">
        <v>169</v>
      </c>
      <c r="D43" s="27" t="s">
        <v>170</v>
      </c>
      <c r="E43" s="28" t="s">
        <v>46</v>
      </c>
      <c r="F43" s="29" t="s">
        <v>46</v>
      </c>
      <c r="G43" s="30" t="s">
        <v>46</v>
      </c>
      <c r="H43" s="31"/>
      <c r="I43" s="31" t="s">
        <v>47</v>
      </c>
      <c r="J43" s="32" t="n">
        <v>1.0</v>
      </c>
      <c r="K43" s="33" t="n">
        <f>7370</f>
        <v>7370.0</v>
      </c>
      <c r="L43" s="34" t="s">
        <v>48</v>
      </c>
      <c r="M43" s="33" t="n">
        <f>7650</f>
        <v>7650.0</v>
      </c>
      <c r="N43" s="34" t="s">
        <v>171</v>
      </c>
      <c r="O43" s="33" t="n">
        <f>6790</f>
        <v>6790.0</v>
      </c>
      <c r="P43" s="34" t="s">
        <v>50</v>
      </c>
      <c r="Q43" s="33" t="n">
        <f>7320</f>
        <v>7320.0</v>
      </c>
      <c r="R43" s="34" t="s">
        <v>49</v>
      </c>
      <c r="S43" s="35" t="n">
        <f>7298.82</f>
        <v>7298.82</v>
      </c>
      <c r="T43" s="32" t="n">
        <f>708</f>
        <v>708.0</v>
      </c>
      <c r="U43" s="32" t="str">
        <f>"－"</f>
        <v>－</v>
      </c>
      <c r="V43" s="32" t="n">
        <f>5101870</f>
        <v>5101870.0</v>
      </c>
      <c r="W43" s="32" t="str">
        <f>"－"</f>
        <v>－</v>
      </c>
      <c r="X43" s="36" t="n">
        <f>17</f>
        <v>17.0</v>
      </c>
    </row>
    <row r="44">
      <c r="A44" s="27" t="s">
        <v>42</v>
      </c>
      <c r="B44" s="27" t="s">
        <v>172</v>
      </c>
      <c r="C44" s="27" t="s">
        <v>173</v>
      </c>
      <c r="D44" s="27" t="s">
        <v>174</v>
      </c>
      <c r="E44" s="28" t="s">
        <v>46</v>
      </c>
      <c r="F44" s="29" t="s">
        <v>46</v>
      </c>
      <c r="G44" s="30" t="s">
        <v>46</v>
      </c>
      <c r="H44" s="31"/>
      <c r="I44" s="31" t="s">
        <v>47</v>
      </c>
      <c r="J44" s="32" t="n">
        <v>1.0</v>
      </c>
      <c r="K44" s="33" t="n">
        <f>12790</f>
        <v>12790.0</v>
      </c>
      <c r="L44" s="34" t="s">
        <v>48</v>
      </c>
      <c r="M44" s="33" t="n">
        <f>14720</f>
        <v>14720.0</v>
      </c>
      <c r="N44" s="34" t="s">
        <v>96</v>
      </c>
      <c r="O44" s="33" t="n">
        <f>12100</f>
        <v>12100.0</v>
      </c>
      <c r="P44" s="34" t="s">
        <v>61</v>
      </c>
      <c r="Q44" s="33" t="n">
        <f>13820</f>
        <v>13820.0</v>
      </c>
      <c r="R44" s="34" t="s">
        <v>49</v>
      </c>
      <c r="S44" s="35" t="n">
        <f>13976.67</f>
        <v>13976.67</v>
      </c>
      <c r="T44" s="32" t="n">
        <f>286</f>
        <v>286.0</v>
      </c>
      <c r="U44" s="32" t="str">
        <f>"－"</f>
        <v>－</v>
      </c>
      <c r="V44" s="32" t="n">
        <f>4039760</f>
        <v>4039760.0</v>
      </c>
      <c r="W44" s="32" t="str">
        <f>"－"</f>
        <v>－</v>
      </c>
      <c r="X44" s="36" t="n">
        <f>18</f>
        <v>18.0</v>
      </c>
    </row>
    <row r="45">
      <c r="A45" s="27" t="s">
        <v>42</v>
      </c>
      <c r="B45" s="27" t="s">
        <v>175</v>
      </c>
      <c r="C45" s="27" t="s">
        <v>176</v>
      </c>
      <c r="D45" s="27" t="s">
        <v>177</v>
      </c>
      <c r="E45" s="28" t="s">
        <v>46</v>
      </c>
      <c r="F45" s="29" t="s">
        <v>46</v>
      </c>
      <c r="G45" s="30" t="s">
        <v>46</v>
      </c>
      <c r="H45" s="31"/>
      <c r="I45" s="31" t="s">
        <v>47</v>
      </c>
      <c r="J45" s="32" t="n">
        <v>1.0</v>
      </c>
      <c r="K45" s="33" t="n">
        <f>8700</f>
        <v>8700.0</v>
      </c>
      <c r="L45" s="34" t="s">
        <v>48</v>
      </c>
      <c r="M45" s="33" t="n">
        <f>10710</f>
        <v>10710.0</v>
      </c>
      <c r="N45" s="34" t="s">
        <v>171</v>
      </c>
      <c r="O45" s="33" t="n">
        <f>8700</f>
        <v>8700.0</v>
      </c>
      <c r="P45" s="34" t="s">
        <v>48</v>
      </c>
      <c r="Q45" s="33" t="n">
        <f>10510</f>
        <v>10510.0</v>
      </c>
      <c r="R45" s="34" t="s">
        <v>49</v>
      </c>
      <c r="S45" s="35" t="n">
        <f>10017.86</f>
        <v>10017.86</v>
      </c>
      <c r="T45" s="32" t="n">
        <f>469</f>
        <v>469.0</v>
      </c>
      <c r="U45" s="32" t="str">
        <f>"－"</f>
        <v>－</v>
      </c>
      <c r="V45" s="32" t="n">
        <f>4805950</f>
        <v>4805950.0</v>
      </c>
      <c r="W45" s="32" t="str">
        <f>"－"</f>
        <v>－</v>
      </c>
      <c r="X45" s="36" t="n">
        <f>14</f>
        <v>14.0</v>
      </c>
    </row>
    <row r="46">
      <c r="A46" s="27" t="s">
        <v>42</v>
      </c>
      <c r="B46" s="27" t="s">
        <v>178</v>
      </c>
      <c r="C46" s="27" t="s">
        <v>179</v>
      </c>
      <c r="D46" s="27" t="s">
        <v>180</v>
      </c>
      <c r="E46" s="28" t="s">
        <v>46</v>
      </c>
      <c r="F46" s="29" t="s">
        <v>46</v>
      </c>
      <c r="G46" s="30" t="s">
        <v>46</v>
      </c>
      <c r="H46" s="31"/>
      <c r="I46" s="31" t="s">
        <v>47</v>
      </c>
      <c r="J46" s="32" t="n">
        <v>1.0</v>
      </c>
      <c r="K46" s="33" t="n">
        <f>8010</f>
        <v>8010.0</v>
      </c>
      <c r="L46" s="34" t="s">
        <v>48</v>
      </c>
      <c r="M46" s="33" t="n">
        <f>8340</f>
        <v>8340.0</v>
      </c>
      <c r="N46" s="34" t="s">
        <v>61</v>
      </c>
      <c r="O46" s="33" t="n">
        <f>6850</f>
        <v>6850.0</v>
      </c>
      <c r="P46" s="34" t="s">
        <v>181</v>
      </c>
      <c r="Q46" s="33" t="n">
        <f>7550</f>
        <v>7550.0</v>
      </c>
      <c r="R46" s="34" t="s">
        <v>49</v>
      </c>
      <c r="S46" s="35" t="n">
        <f>7364.76</f>
        <v>7364.76</v>
      </c>
      <c r="T46" s="32" t="n">
        <f>3283</f>
        <v>3283.0</v>
      </c>
      <c r="U46" s="32" t="str">
        <f>"－"</f>
        <v>－</v>
      </c>
      <c r="V46" s="32" t="n">
        <f>23512730</f>
        <v>2.351273E7</v>
      </c>
      <c r="W46" s="32" t="str">
        <f>"－"</f>
        <v>－</v>
      </c>
      <c r="X46" s="36" t="n">
        <f>21</f>
        <v>21.0</v>
      </c>
    </row>
    <row r="47">
      <c r="A47" s="27" t="s">
        <v>42</v>
      </c>
      <c r="B47" s="27" t="s">
        <v>182</v>
      </c>
      <c r="C47" s="27" t="s">
        <v>183</v>
      </c>
      <c r="D47" s="27" t="s">
        <v>184</v>
      </c>
      <c r="E47" s="28" t="s">
        <v>46</v>
      </c>
      <c r="F47" s="29" t="s">
        <v>46</v>
      </c>
      <c r="G47" s="30" t="s">
        <v>46</v>
      </c>
      <c r="H47" s="31"/>
      <c r="I47" s="31" t="s">
        <v>47</v>
      </c>
      <c r="J47" s="32" t="n">
        <v>1.0</v>
      </c>
      <c r="K47" s="33" t="n">
        <f>3790</f>
        <v>3790.0</v>
      </c>
      <c r="L47" s="34" t="s">
        <v>48</v>
      </c>
      <c r="M47" s="33" t="n">
        <f>4390</f>
        <v>4390.0</v>
      </c>
      <c r="N47" s="34" t="s">
        <v>65</v>
      </c>
      <c r="O47" s="33" t="n">
        <f>3720</f>
        <v>3720.0</v>
      </c>
      <c r="P47" s="34" t="s">
        <v>61</v>
      </c>
      <c r="Q47" s="33" t="n">
        <f>4050</f>
        <v>4050.0</v>
      </c>
      <c r="R47" s="34" t="s">
        <v>49</v>
      </c>
      <c r="S47" s="35" t="n">
        <f>3978.81</f>
        <v>3978.81</v>
      </c>
      <c r="T47" s="32" t="n">
        <f>1265</f>
        <v>1265.0</v>
      </c>
      <c r="U47" s="32" t="str">
        <f>"－"</f>
        <v>－</v>
      </c>
      <c r="V47" s="32" t="n">
        <f>5176700</f>
        <v>5176700.0</v>
      </c>
      <c r="W47" s="32" t="str">
        <f>"－"</f>
        <v>－</v>
      </c>
      <c r="X47" s="36" t="n">
        <f>21</f>
        <v>21.0</v>
      </c>
    </row>
    <row r="48">
      <c r="A48" s="27" t="s">
        <v>42</v>
      </c>
      <c r="B48" s="27" t="s">
        <v>185</v>
      </c>
      <c r="C48" s="27" t="s">
        <v>186</v>
      </c>
      <c r="D48" s="27" t="s">
        <v>187</v>
      </c>
      <c r="E48" s="28" t="s">
        <v>46</v>
      </c>
      <c r="F48" s="29" t="s">
        <v>46</v>
      </c>
      <c r="G48" s="30" t="s">
        <v>46</v>
      </c>
      <c r="H48" s="31"/>
      <c r="I48" s="31" t="s">
        <v>47</v>
      </c>
      <c r="J48" s="32" t="n">
        <v>1.0</v>
      </c>
      <c r="K48" s="33" t="n">
        <f>2000</f>
        <v>2000.0</v>
      </c>
      <c r="L48" s="34" t="s">
        <v>48</v>
      </c>
      <c r="M48" s="33" t="n">
        <f>2340</f>
        <v>2340.0</v>
      </c>
      <c r="N48" s="34" t="s">
        <v>188</v>
      </c>
      <c r="O48" s="33" t="n">
        <f>1959</f>
        <v>1959.0</v>
      </c>
      <c r="P48" s="34" t="s">
        <v>61</v>
      </c>
      <c r="Q48" s="33" t="n">
        <f>2153</f>
        <v>2153.0</v>
      </c>
      <c r="R48" s="34" t="s">
        <v>49</v>
      </c>
      <c r="S48" s="35" t="n">
        <f>2106.62</f>
        <v>2106.62</v>
      </c>
      <c r="T48" s="32" t="n">
        <f>4223</f>
        <v>4223.0</v>
      </c>
      <c r="U48" s="32" t="n">
        <f>6</f>
        <v>6.0</v>
      </c>
      <c r="V48" s="32" t="n">
        <f>9126401</f>
        <v>9126401.0</v>
      </c>
      <c r="W48" s="32" t="n">
        <f>12434</f>
        <v>12434.0</v>
      </c>
      <c r="X48" s="36" t="n">
        <f>21</f>
        <v>21.0</v>
      </c>
    </row>
    <row r="49">
      <c r="A49" s="27" t="s">
        <v>42</v>
      </c>
      <c r="B49" s="27" t="s">
        <v>189</v>
      </c>
      <c r="C49" s="27" t="s">
        <v>190</v>
      </c>
      <c r="D49" s="27" t="s">
        <v>191</v>
      </c>
      <c r="E49" s="28" t="s">
        <v>46</v>
      </c>
      <c r="F49" s="29" t="s">
        <v>46</v>
      </c>
      <c r="G49" s="30" t="s">
        <v>46</v>
      </c>
      <c r="H49" s="31"/>
      <c r="I49" s="31" t="s">
        <v>47</v>
      </c>
      <c r="J49" s="32" t="n">
        <v>1.0</v>
      </c>
      <c r="K49" s="33" t="n">
        <f>2250</f>
        <v>2250.0</v>
      </c>
      <c r="L49" s="34" t="s">
        <v>48</v>
      </c>
      <c r="M49" s="33" t="n">
        <f>2250</f>
        <v>2250.0</v>
      </c>
      <c r="N49" s="34" t="s">
        <v>48</v>
      </c>
      <c r="O49" s="33" t="n">
        <f>1987</f>
        <v>1987.0</v>
      </c>
      <c r="P49" s="34" t="s">
        <v>192</v>
      </c>
      <c r="Q49" s="33" t="n">
        <f>2147</f>
        <v>2147.0</v>
      </c>
      <c r="R49" s="34" t="s">
        <v>49</v>
      </c>
      <c r="S49" s="35" t="n">
        <f>2159.71</f>
        <v>2159.71</v>
      </c>
      <c r="T49" s="32" t="n">
        <f>2412</f>
        <v>2412.0</v>
      </c>
      <c r="U49" s="32" t="str">
        <f>"－"</f>
        <v>－</v>
      </c>
      <c r="V49" s="32" t="n">
        <f>5132695</f>
        <v>5132695.0</v>
      </c>
      <c r="W49" s="32" t="str">
        <f>"－"</f>
        <v>－</v>
      </c>
      <c r="X49" s="36" t="n">
        <f>21</f>
        <v>21.0</v>
      </c>
    </row>
    <row r="50">
      <c r="A50" s="27" t="s">
        <v>42</v>
      </c>
      <c r="B50" s="27" t="s">
        <v>193</v>
      </c>
      <c r="C50" s="27" t="s">
        <v>194</v>
      </c>
      <c r="D50" s="27" t="s">
        <v>195</v>
      </c>
      <c r="E50" s="28" t="s">
        <v>46</v>
      </c>
      <c r="F50" s="29" t="s">
        <v>46</v>
      </c>
      <c r="G50" s="30" t="s">
        <v>46</v>
      </c>
      <c r="H50" s="31"/>
      <c r="I50" s="31" t="s">
        <v>47</v>
      </c>
      <c r="J50" s="32" t="n">
        <v>1.0</v>
      </c>
      <c r="K50" s="33" t="n">
        <f>31400</f>
        <v>31400.0</v>
      </c>
      <c r="L50" s="34" t="s">
        <v>48</v>
      </c>
      <c r="M50" s="33" t="n">
        <f>34000</f>
        <v>34000.0</v>
      </c>
      <c r="N50" s="34" t="s">
        <v>86</v>
      </c>
      <c r="O50" s="33" t="n">
        <f>26200</f>
        <v>26200.0</v>
      </c>
      <c r="P50" s="34" t="s">
        <v>48</v>
      </c>
      <c r="Q50" s="33" t="n">
        <f>30000</f>
        <v>30000.0</v>
      </c>
      <c r="R50" s="34" t="s">
        <v>49</v>
      </c>
      <c r="S50" s="35" t="n">
        <f>29226.84</f>
        <v>29226.84</v>
      </c>
      <c r="T50" s="32" t="n">
        <f>1757</f>
        <v>1757.0</v>
      </c>
      <c r="U50" s="32" t="str">
        <f>"－"</f>
        <v>－</v>
      </c>
      <c r="V50" s="32" t="n">
        <f>52509970</f>
        <v>5.250997E7</v>
      </c>
      <c r="W50" s="32" t="str">
        <f>"－"</f>
        <v>－</v>
      </c>
      <c r="X50" s="36" t="n">
        <f>19</f>
        <v>19.0</v>
      </c>
    </row>
    <row r="51">
      <c r="A51" s="27" t="s">
        <v>42</v>
      </c>
      <c r="B51" s="27" t="s">
        <v>196</v>
      </c>
      <c r="C51" s="27" t="s">
        <v>197</v>
      </c>
      <c r="D51" s="27" t="s">
        <v>198</v>
      </c>
      <c r="E51" s="28" t="s">
        <v>46</v>
      </c>
      <c r="F51" s="29" t="s">
        <v>46</v>
      </c>
      <c r="G51" s="30" t="s">
        <v>46</v>
      </c>
      <c r="H51" s="31"/>
      <c r="I51" s="31" t="s">
        <v>47</v>
      </c>
      <c r="J51" s="32" t="n">
        <v>1.0</v>
      </c>
      <c r="K51" s="33" t="n">
        <f>19500</f>
        <v>19500.0</v>
      </c>
      <c r="L51" s="34" t="s">
        <v>48</v>
      </c>
      <c r="M51" s="33" t="n">
        <f>22990</f>
        <v>22990.0</v>
      </c>
      <c r="N51" s="34" t="s">
        <v>188</v>
      </c>
      <c r="O51" s="33" t="n">
        <f>18140</f>
        <v>18140.0</v>
      </c>
      <c r="P51" s="34" t="s">
        <v>50</v>
      </c>
      <c r="Q51" s="33" t="n">
        <f>21860</f>
        <v>21860.0</v>
      </c>
      <c r="R51" s="34" t="s">
        <v>49</v>
      </c>
      <c r="S51" s="35" t="n">
        <f>20810</f>
        <v>20810.0</v>
      </c>
      <c r="T51" s="32" t="n">
        <f>231</f>
        <v>231.0</v>
      </c>
      <c r="U51" s="32" t="str">
        <f>"－"</f>
        <v>－</v>
      </c>
      <c r="V51" s="32" t="n">
        <f>4812860</f>
        <v>4812860.0</v>
      </c>
      <c r="W51" s="32" t="str">
        <f>"－"</f>
        <v>－</v>
      </c>
      <c r="X51" s="36" t="n">
        <f>17</f>
        <v>17.0</v>
      </c>
    </row>
    <row r="52">
      <c r="A52" s="27" t="s">
        <v>42</v>
      </c>
      <c r="B52" s="27" t="s">
        <v>199</v>
      </c>
      <c r="C52" s="27" t="s">
        <v>200</v>
      </c>
      <c r="D52" s="27" t="s">
        <v>201</v>
      </c>
      <c r="E52" s="28" t="s">
        <v>46</v>
      </c>
      <c r="F52" s="29" t="s">
        <v>46</v>
      </c>
      <c r="G52" s="30" t="s">
        <v>46</v>
      </c>
      <c r="H52" s="31"/>
      <c r="I52" s="31" t="s">
        <v>47</v>
      </c>
      <c r="J52" s="32" t="n">
        <v>1.0</v>
      </c>
      <c r="K52" s="33" t="n">
        <f>19060</f>
        <v>19060.0</v>
      </c>
      <c r="L52" s="34" t="s">
        <v>48</v>
      </c>
      <c r="M52" s="33" t="n">
        <f>20710</f>
        <v>20710.0</v>
      </c>
      <c r="N52" s="34" t="s">
        <v>107</v>
      </c>
      <c r="O52" s="33" t="n">
        <f>17970</f>
        <v>17970.0</v>
      </c>
      <c r="P52" s="34" t="s">
        <v>50</v>
      </c>
      <c r="Q52" s="33" t="n">
        <f>20590</f>
        <v>20590.0</v>
      </c>
      <c r="R52" s="34" t="s">
        <v>49</v>
      </c>
      <c r="S52" s="35" t="n">
        <f>19408.42</f>
        <v>19408.42</v>
      </c>
      <c r="T52" s="32" t="n">
        <f>4314</f>
        <v>4314.0</v>
      </c>
      <c r="U52" s="32" t="str">
        <f>"－"</f>
        <v>－</v>
      </c>
      <c r="V52" s="32" t="n">
        <f>83416760</f>
        <v>8.341676E7</v>
      </c>
      <c r="W52" s="32" t="str">
        <f>"－"</f>
        <v>－</v>
      </c>
      <c r="X52" s="36" t="n">
        <f>19</f>
        <v>19.0</v>
      </c>
    </row>
    <row r="53">
      <c r="A53" s="27" t="s">
        <v>42</v>
      </c>
      <c r="B53" s="27" t="s">
        <v>202</v>
      </c>
      <c r="C53" s="27" t="s">
        <v>203</v>
      </c>
      <c r="D53" s="27" t="s">
        <v>204</v>
      </c>
      <c r="E53" s="28" t="s">
        <v>46</v>
      </c>
      <c r="F53" s="29" t="s">
        <v>46</v>
      </c>
      <c r="G53" s="30" t="s">
        <v>46</v>
      </c>
      <c r="H53" s="31"/>
      <c r="I53" s="31" t="s">
        <v>47</v>
      </c>
      <c r="J53" s="32" t="n">
        <v>10.0</v>
      </c>
      <c r="K53" s="33" t="n">
        <f>1638</f>
        <v>1638.0</v>
      </c>
      <c r="L53" s="34" t="s">
        <v>48</v>
      </c>
      <c r="M53" s="33" t="n">
        <f>1638</f>
        <v>1638.0</v>
      </c>
      <c r="N53" s="34" t="s">
        <v>48</v>
      </c>
      <c r="O53" s="33" t="n">
        <f>1440</f>
        <v>1440.0</v>
      </c>
      <c r="P53" s="34" t="s">
        <v>61</v>
      </c>
      <c r="Q53" s="33" t="n">
        <f>1620</f>
        <v>1620.0</v>
      </c>
      <c r="R53" s="34" t="s">
        <v>49</v>
      </c>
      <c r="S53" s="35" t="n">
        <f>1557.14</f>
        <v>1557.14</v>
      </c>
      <c r="T53" s="32" t="n">
        <f>45170</f>
        <v>45170.0</v>
      </c>
      <c r="U53" s="32" t="str">
        <f>"－"</f>
        <v>－</v>
      </c>
      <c r="V53" s="32" t="n">
        <f>69905820</f>
        <v>6.990582E7</v>
      </c>
      <c r="W53" s="32" t="str">
        <f>"－"</f>
        <v>－</v>
      </c>
      <c r="X53" s="36" t="n">
        <f>21</f>
        <v>21.0</v>
      </c>
    </row>
    <row r="54">
      <c r="A54" s="27" t="s">
        <v>42</v>
      </c>
      <c r="B54" s="27" t="s">
        <v>205</v>
      </c>
      <c r="C54" s="27" t="s">
        <v>206</v>
      </c>
      <c r="D54" s="27" t="s">
        <v>207</v>
      </c>
      <c r="E54" s="28" t="s">
        <v>46</v>
      </c>
      <c r="F54" s="29" t="s">
        <v>46</v>
      </c>
      <c r="G54" s="30" t="s">
        <v>46</v>
      </c>
      <c r="H54" s="31"/>
      <c r="I54" s="31" t="s">
        <v>47</v>
      </c>
      <c r="J54" s="32" t="n">
        <v>10.0</v>
      </c>
      <c r="K54" s="33" t="n">
        <f>1257</f>
        <v>1257.0</v>
      </c>
      <c r="L54" s="34" t="s">
        <v>48</v>
      </c>
      <c r="M54" s="33" t="n">
        <f>1290</f>
        <v>1290.0</v>
      </c>
      <c r="N54" s="34" t="s">
        <v>49</v>
      </c>
      <c r="O54" s="33" t="n">
        <f>1193</f>
        <v>1193.0</v>
      </c>
      <c r="P54" s="34" t="s">
        <v>50</v>
      </c>
      <c r="Q54" s="33" t="n">
        <f>1290</f>
        <v>1290.0</v>
      </c>
      <c r="R54" s="34" t="s">
        <v>49</v>
      </c>
      <c r="S54" s="35" t="n">
        <f>1236.18</f>
        <v>1236.18</v>
      </c>
      <c r="T54" s="32" t="n">
        <f>15240</f>
        <v>15240.0</v>
      </c>
      <c r="U54" s="32" t="str">
        <f>"－"</f>
        <v>－</v>
      </c>
      <c r="V54" s="32" t="n">
        <f>18785190</f>
        <v>1.878519E7</v>
      </c>
      <c r="W54" s="32" t="str">
        <f>"－"</f>
        <v>－</v>
      </c>
      <c r="X54" s="36" t="n">
        <f>17</f>
        <v>17.0</v>
      </c>
    </row>
    <row r="55">
      <c r="A55" s="27" t="s">
        <v>42</v>
      </c>
      <c r="B55" s="27" t="s">
        <v>208</v>
      </c>
      <c r="C55" s="27" t="s">
        <v>209</v>
      </c>
      <c r="D55" s="27" t="s">
        <v>210</v>
      </c>
      <c r="E55" s="28" t="s">
        <v>46</v>
      </c>
      <c r="F55" s="29" t="s">
        <v>46</v>
      </c>
      <c r="G55" s="30" t="s">
        <v>46</v>
      </c>
      <c r="H55" s="31"/>
      <c r="I55" s="31" t="s">
        <v>47</v>
      </c>
      <c r="J55" s="32" t="n">
        <v>1.0</v>
      </c>
      <c r="K55" s="33" t="n">
        <f>7350</f>
        <v>7350.0</v>
      </c>
      <c r="L55" s="34" t="s">
        <v>48</v>
      </c>
      <c r="M55" s="33" t="n">
        <f>7740</f>
        <v>7740.0</v>
      </c>
      <c r="N55" s="34" t="s">
        <v>50</v>
      </c>
      <c r="O55" s="33" t="n">
        <f>6630</f>
        <v>6630.0</v>
      </c>
      <c r="P55" s="34" t="s">
        <v>49</v>
      </c>
      <c r="Q55" s="33" t="n">
        <f>6700</f>
        <v>6700.0</v>
      </c>
      <c r="R55" s="34" t="s">
        <v>49</v>
      </c>
      <c r="S55" s="35" t="n">
        <f>7083.33</f>
        <v>7083.33</v>
      </c>
      <c r="T55" s="32" t="n">
        <f>731442</f>
        <v>731442.0</v>
      </c>
      <c r="U55" s="32" t="n">
        <f>163202</f>
        <v>163202.0</v>
      </c>
      <c r="V55" s="32" t="n">
        <f>5198536056</f>
        <v>5.198536056E9</v>
      </c>
      <c r="W55" s="32" t="n">
        <f>1144161136</f>
        <v>1.144161136E9</v>
      </c>
      <c r="X55" s="36" t="n">
        <f>21</f>
        <v>21.0</v>
      </c>
    </row>
    <row r="56">
      <c r="A56" s="27" t="s">
        <v>42</v>
      </c>
      <c r="B56" s="27" t="s">
        <v>211</v>
      </c>
      <c r="C56" s="27" t="s">
        <v>212</v>
      </c>
      <c r="D56" s="27" t="s">
        <v>213</v>
      </c>
      <c r="E56" s="28" t="s">
        <v>46</v>
      </c>
      <c r="F56" s="29" t="s">
        <v>46</v>
      </c>
      <c r="G56" s="30" t="s">
        <v>46</v>
      </c>
      <c r="H56" s="31"/>
      <c r="I56" s="31" t="s">
        <v>47</v>
      </c>
      <c r="J56" s="32" t="n">
        <v>1.0</v>
      </c>
      <c r="K56" s="33" t="n">
        <f>8090</f>
        <v>8090.0</v>
      </c>
      <c r="L56" s="34" t="s">
        <v>48</v>
      </c>
      <c r="M56" s="33" t="n">
        <f>8500</f>
        <v>8500.0</v>
      </c>
      <c r="N56" s="34" t="s">
        <v>50</v>
      </c>
      <c r="O56" s="33" t="n">
        <f>7500</f>
        <v>7500.0</v>
      </c>
      <c r="P56" s="34" t="s">
        <v>49</v>
      </c>
      <c r="Q56" s="33" t="n">
        <f>7590</f>
        <v>7590.0</v>
      </c>
      <c r="R56" s="34" t="s">
        <v>49</v>
      </c>
      <c r="S56" s="35" t="n">
        <f>7885.24</f>
        <v>7885.24</v>
      </c>
      <c r="T56" s="32" t="n">
        <f>182941</f>
        <v>182941.0</v>
      </c>
      <c r="U56" s="32" t="n">
        <f>41000</f>
        <v>41000.0</v>
      </c>
      <c r="V56" s="32" t="n">
        <f>1432940570</f>
        <v>1.43294057E9</v>
      </c>
      <c r="W56" s="32" t="n">
        <f>321063530</f>
        <v>3.2106353E8</v>
      </c>
      <c r="X56" s="36" t="n">
        <f>21</f>
        <v>21.0</v>
      </c>
    </row>
    <row r="57">
      <c r="A57" s="27" t="s">
        <v>42</v>
      </c>
      <c r="B57" s="27" t="s">
        <v>214</v>
      </c>
      <c r="C57" s="27" t="s">
        <v>215</v>
      </c>
      <c r="D57" s="27" t="s">
        <v>216</v>
      </c>
      <c r="E57" s="28" t="s">
        <v>46</v>
      </c>
      <c r="F57" s="29" t="s">
        <v>46</v>
      </c>
      <c r="G57" s="30" t="s">
        <v>46</v>
      </c>
      <c r="H57" s="31"/>
      <c r="I57" s="31" t="s">
        <v>47</v>
      </c>
      <c r="J57" s="32" t="n">
        <v>1.0</v>
      </c>
      <c r="K57" s="33" t="n">
        <f>7850</f>
        <v>7850.0</v>
      </c>
      <c r="L57" s="34" t="s">
        <v>48</v>
      </c>
      <c r="M57" s="33" t="n">
        <f>9290</f>
        <v>9290.0</v>
      </c>
      <c r="N57" s="34" t="s">
        <v>49</v>
      </c>
      <c r="O57" s="33" t="n">
        <f>7020</f>
        <v>7020.0</v>
      </c>
      <c r="P57" s="34" t="s">
        <v>50</v>
      </c>
      <c r="Q57" s="33" t="n">
        <f>9140</f>
        <v>9140.0</v>
      </c>
      <c r="R57" s="34" t="s">
        <v>49</v>
      </c>
      <c r="S57" s="35" t="n">
        <f>8290.48</f>
        <v>8290.48</v>
      </c>
      <c r="T57" s="32" t="n">
        <f>12477051</f>
        <v>1.2477051E7</v>
      </c>
      <c r="U57" s="32" t="n">
        <f>5321</f>
        <v>5321.0</v>
      </c>
      <c r="V57" s="32" t="n">
        <f>103002541299</f>
        <v>1.03002541299E11</v>
      </c>
      <c r="W57" s="32" t="n">
        <f>43213139</f>
        <v>4.3213139E7</v>
      </c>
      <c r="X57" s="36" t="n">
        <f>21</f>
        <v>21.0</v>
      </c>
    </row>
    <row r="58">
      <c r="A58" s="27" t="s">
        <v>42</v>
      </c>
      <c r="B58" s="27" t="s">
        <v>217</v>
      </c>
      <c r="C58" s="27" t="s">
        <v>218</v>
      </c>
      <c r="D58" s="27" t="s">
        <v>219</v>
      </c>
      <c r="E58" s="28" t="s">
        <v>46</v>
      </c>
      <c r="F58" s="29" t="s">
        <v>46</v>
      </c>
      <c r="G58" s="30" t="s">
        <v>46</v>
      </c>
      <c r="H58" s="31"/>
      <c r="I58" s="31" t="s">
        <v>47</v>
      </c>
      <c r="J58" s="32" t="n">
        <v>1.0</v>
      </c>
      <c r="K58" s="33" t="n">
        <f>4905</f>
        <v>4905.0</v>
      </c>
      <c r="L58" s="34" t="s">
        <v>48</v>
      </c>
      <c r="M58" s="33" t="n">
        <f>5420</f>
        <v>5420.0</v>
      </c>
      <c r="N58" s="34" t="s">
        <v>50</v>
      </c>
      <c r="O58" s="33" t="n">
        <f>3940</f>
        <v>3940.0</v>
      </c>
      <c r="P58" s="34" t="s">
        <v>49</v>
      </c>
      <c r="Q58" s="33" t="n">
        <f>4015</f>
        <v>4015.0</v>
      </c>
      <c r="R58" s="34" t="s">
        <v>49</v>
      </c>
      <c r="S58" s="35" t="n">
        <f>4511.19</f>
        <v>4511.19</v>
      </c>
      <c r="T58" s="32" t="n">
        <f>24827543</f>
        <v>2.4827543E7</v>
      </c>
      <c r="U58" s="32" t="n">
        <f>126859</f>
        <v>126859.0</v>
      </c>
      <c r="V58" s="32" t="n">
        <f>113158374394</f>
        <v>1.13158374394E11</v>
      </c>
      <c r="W58" s="32" t="n">
        <f>539236529</f>
        <v>5.39236529E8</v>
      </c>
      <c r="X58" s="36" t="n">
        <f>21</f>
        <v>21.0</v>
      </c>
    </row>
    <row r="59">
      <c r="A59" s="27" t="s">
        <v>42</v>
      </c>
      <c r="B59" s="27" t="s">
        <v>220</v>
      </c>
      <c r="C59" s="27" t="s">
        <v>221</v>
      </c>
      <c r="D59" s="27" t="s">
        <v>222</v>
      </c>
      <c r="E59" s="28" t="s">
        <v>46</v>
      </c>
      <c r="F59" s="29" t="s">
        <v>46</v>
      </c>
      <c r="G59" s="30" t="s">
        <v>46</v>
      </c>
      <c r="H59" s="31"/>
      <c r="I59" s="31" t="s">
        <v>47</v>
      </c>
      <c r="J59" s="32" t="n">
        <v>1.0</v>
      </c>
      <c r="K59" s="33" t="n">
        <f>16500</f>
        <v>16500.0</v>
      </c>
      <c r="L59" s="34" t="s">
        <v>192</v>
      </c>
      <c r="M59" s="33" t="n">
        <f>17330</f>
        <v>17330.0</v>
      </c>
      <c r="N59" s="34" t="s">
        <v>69</v>
      </c>
      <c r="O59" s="33" t="n">
        <f>16500</f>
        <v>16500.0</v>
      </c>
      <c r="P59" s="34" t="s">
        <v>192</v>
      </c>
      <c r="Q59" s="33" t="n">
        <f>16810</f>
        <v>16810.0</v>
      </c>
      <c r="R59" s="34" t="s">
        <v>49</v>
      </c>
      <c r="S59" s="35" t="n">
        <f>16863.64</f>
        <v>16863.64</v>
      </c>
      <c r="T59" s="32" t="n">
        <f>62</f>
        <v>62.0</v>
      </c>
      <c r="U59" s="32" t="str">
        <f>"－"</f>
        <v>－</v>
      </c>
      <c r="V59" s="32" t="n">
        <f>1050880</f>
        <v>1050880.0</v>
      </c>
      <c r="W59" s="32" t="str">
        <f>"－"</f>
        <v>－</v>
      </c>
      <c r="X59" s="36" t="n">
        <f>11</f>
        <v>11.0</v>
      </c>
    </row>
    <row r="60">
      <c r="A60" s="27" t="s">
        <v>42</v>
      </c>
      <c r="B60" s="27" t="s">
        <v>223</v>
      </c>
      <c r="C60" s="27" t="s">
        <v>224</v>
      </c>
      <c r="D60" s="27" t="s">
        <v>225</v>
      </c>
      <c r="E60" s="28" t="s">
        <v>46</v>
      </c>
      <c r="F60" s="29" t="s">
        <v>46</v>
      </c>
      <c r="G60" s="30" t="s">
        <v>46</v>
      </c>
      <c r="H60" s="31"/>
      <c r="I60" s="31" t="s">
        <v>47</v>
      </c>
      <c r="J60" s="32" t="n">
        <v>1.0</v>
      </c>
      <c r="K60" s="33" t="n">
        <f>7430</f>
        <v>7430.0</v>
      </c>
      <c r="L60" s="34" t="s">
        <v>48</v>
      </c>
      <c r="M60" s="33" t="n">
        <f>8300</f>
        <v>8300.0</v>
      </c>
      <c r="N60" s="34" t="s">
        <v>49</v>
      </c>
      <c r="O60" s="33" t="n">
        <f>6600</f>
        <v>6600.0</v>
      </c>
      <c r="P60" s="34" t="s">
        <v>61</v>
      </c>
      <c r="Q60" s="33" t="n">
        <f>8100</f>
        <v>8100.0</v>
      </c>
      <c r="R60" s="34" t="s">
        <v>49</v>
      </c>
      <c r="S60" s="35" t="n">
        <f>7575.24</f>
        <v>7575.24</v>
      </c>
      <c r="T60" s="32" t="n">
        <f>9708</f>
        <v>9708.0</v>
      </c>
      <c r="U60" s="32" t="n">
        <f>1</f>
        <v>1.0</v>
      </c>
      <c r="V60" s="32" t="n">
        <f>71912690</f>
        <v>7.191269E7</v>
      </c>
      <c r="W60" s="32" t="n">
        <f>7600</f>
        <v>7600.0</v>
      </c>
      <c r="X60" s="36" t="n">
        <f>21</f>
        <v>21.0</v>
      </c>
    </row>
    <row r="61">
      <c r="A61" s="27" t="s">
        <v>42</v>
      </c>
      <c r="B61" s="27" t="s">
        <v>226</v>
      </c>
      <c r="C61" s="27" t="s">
        <v>227</v>
      </c>
      <c r="D61" s="27" t="s">
        <v>228</v>
      </c>
      <c r="E61" s="28" t="s">
        <v>46</v>
      </c>
      <c r="F61" s="29" t="s">
        <v>46</v>
      </c>
      <c r="G61" s="30" t="s">
        <v>46</v>
      </c>
      <c r="H61" s="31"/>
      <c r="I61" s="31" t="s">
        <v>47</v>
      </c>
      <c r="J61" s="32" t="n">
        <v>1.0</v>
      </c>
      <c r="K61" s="33" t="n">
        <f>7910</f>
        <v>7910.0</v>
      </c>
      <c r="L61" s="34" t="s">
        <v>48</v>
      </c>
      <c r="M61" s="33" t="n">
        <f>8340</f>
        <v>8340.0</v>
      </c>
      <c r="N61" s="34" t="s">
        <v>50</v>
      </c>
      <c r="O61" s="33" t="n">
        <f>7420</f>
        <v>7420.0</v>
      </c>
      <c r="P61" s="34" t="s">
        <v>49</v>
      </c>
      <c r="Q61" s="33" t="n">
        <f>7420</f>
        <v>7420.0</v>
      </c>
      <c r="R61" s="34" t="s">
        <v>49</v>
      </c>
      <c r="S61" s="35" t="n">
        <f>7747.14</f>
        <v>7747.14</v>
      </c>
      <c r="T61" s="32" t="n">
        <f>3643</f>
        <v>3643.0</v>
      </c>
      <c r="U61" s="32" t="str">
        <f>"－"</f>
        <v>－</v>
      </c>
      <c r="V61" s="32" t="n">
        <f>28524070</f>
        <v>2.852407E7</v>
      </c>
      <c r="W61" s="32" t="str">
        <f>"－"</f>
        <v>－</v>
      </c>
      <c r="X61" s="36" t="n">
        <f>21</f>
        <v>21.0</v>
      </c>
    </row>
    <row r="62">
      <c r="A62" s="27" t="s">
        <v>42</v>
      </c>
      <c r="B62" s="27" t="s">
        <v>229</v>
      </c>
      <c r="C62" s="27" t="s">
        <v>230</v>
      </c>
      <c r="D62" s="27" t="s">
        <v>231</v>
      </c>
      <c r="E62" s="28" t="s">
        <v>46</v>
      </c>
      <c r="F62" s="29" t="s">
        <v>46</v>
      </c>
      <c r="G62" s="30" t="s">
        <v>46</v>
      </c>
      <c r="H62" s="31"/>
      <c r="I62" s="31" t="s">
        <v>47</v>
      </c>
      <c r="J62" s="32" t="n">
        <v>1.0</v>
      </c>
      <c r="K62" s="33" t="n">
        <f>5300</f>
        <v>5300.0</v>
      </c>
      <c r="L62" s="34" t="s">
        <v>48</v>
      </c>
      <c r="M62" s="33" t="n">
        <f>5830</f>
        <v>5830.0</v>
      </c>
      <c r="N62" s="34" t="s">
        <v>92</v>
      </c>
      <c r="O62" s="33" t="n">
        <f>4425</f>
        <v>4425.0</v>
      </c>
      <c r="P62" s="34" t="s">
        <v>49</v>
      </c>
      <c r="Q62" s="33" t="n">
        <f>4545</f>
        <v>4545.0</v>
      </c>
      <c r="R62" s="34" t="s">
        <v>49</v>
      </c>
      <c r="S62" s="35" t="n">
        <f>4966.9</f>
        <v>4966.9</v>
      </c>
      <c r="T62" s="32" t="n">
        <f>35098</f>
        <v>35098.0</v>
      </c>
      <c r="U62" s="32" t="str">
        <f>"－"</f>
        <v>－</v>
      </c>
      <c r="V62" s="32" t="n">
        <f>179373435</f>
        <v>1.79373435E8</v>
      </c>
      <c r="W62" s="32" t="str">
        <f>"－"</f>
        <v>－</v>
      </c>
      <c r="X62" s="36" t="n">
        <f>21</f>
        <v>21.0</v>
      </c>
    </row>
    <row r="63">
      <c r="A63" s="27" t="s">
        <v>42</v>
      </c>
      <c r="B63" s="27" t="s">
        <v>232</v>
      </c>
      <c r="C63" s="27" t="s">
        <v>233</v>
      </c>
      <c r="D63" s="27" t="s">
        <v>234</v>
      </c>
      <c r="E63" s="28" t="s">
        <v>46</v>
      </c>
      <c r="F63" s="29" t="s">
        <v>46</v>
      </c>
      <c r="G63" s="30" t="s">
        <v>46</v>
      </c>
      <c r="H63" s="31"/>
      <c r="I63" s="31" t="s">
        <v>47</v>
      </c>
      <c r="J63" s="32" t="n">
        <v>10.0</v>
      </c>
      <c r="K63" s="33" t="n">
        <f>7350</f>
        <v>7350.0</v>
      </c>
      <c r="L63" s="34" t="s">
        <v>48</v>
      </c>
      <c r="M63" s="33" t="n">
        <f>8200</f>
        <v>8200.0</v>
      </c>
      <c r="N63" s="34" t="s">
        <v>49</v>
      </c>
      <c r="O63" s="33" t="n">
        <f>6360</f>
        <v>6360.0</v>
      </c>
      <c r="P63" s="34" t="s">
        <v>61</v>
      </c>
      <c r="Q63" s="33" t="n">
        <f>8180</f>
        <v>8180.0</v>
      </c>
      <c r="R63" s="34" t="s">
        <v>49</v>
      </c>
      <c r="S63" s="35" t="n">
        <f>7380</f>
        <v>7380.0</v>
      </c>
      <c r="T63" s="32" t="n">
        <f>28380</f>
        <v>28380.0</v>
      </c>
      <c r="U63" s="32" t="str">
        <f>"－"</f>
        <v>－</v>
      </c>
      <c r="V63" s="32" t="n">
        <f>205482900</f>
        <v>2.054829E8</v>
      </c>
      <c r="W63" s="32" t="str">
        <f>"－"</f>
        <v>－</v>
      </c>
      <c r="X63" s="36" t="n">
        <f>21</f>
        <v>21.0</v>
      </c>
    </row>
    <row r="64">
      <c r="A64" s="27" t="s">
        <v>42</v>
      </c>
      <c r="B64" s="27" t="s">
        <v>235</v>
      </c>
      <c r="C64" s="27" t="s">
        <v>236</v>
      </c>
      <c r="D64" s="27" t="s">
        <v>237</v>
      </c>
      <c r="E64" s="28" t="s">
        <v>46</v>
      </c>
      <c r="F64" s="29" t="s">
        <v>46</v>
      </c>
      <c r="G64" s="30" t="s">
        <v>46</v>
      </c>
      <c r="H64" s="31"/>
      <c r="I64" s="31" t="s">
        <v>47</v>
      </c>
      <c r="J64" s="32" t="n">
        <v>10.0</v>
      </c>
      <c r="K64" s="33" t="n">
        <f>8200</f>
        <v>8200.0</v>
      </c>
      <c r="L64" s="34" t="s">
        <v>48</v>
      </c>
      <c r="M64" s="33" t="n">
        <f>8620</f>
        <v>8620.0</v>
      </c>
      <c r="N64" s="34" t="s">
        <v>50</v>
      </c>
      <c r="O64" s="33" t="n">
        <f>7220</f>
        <v>7220.0</v>
      </c>
      <c r="P64" s="34" t="s">
        <v>49</v>
      </c>
      <c r="Q64" s="33" t="n">
        <f>7220</f>
        <v>7220.0</v>
      </c>
      <c r="R64" s="34" t="s">
        <v>49</v>
      </c>
      <c r="S64" s="35" t="n">
        <f>7613.5</f>
        <v>7613.5</v>
      </c>
      <c r="T64" s="32" t="n">
        <f>7330</f>
        <v>7330.0</v>
      </c>
      <c r="U64" s="32" t="str">
        <f>"－"</f>
        <v>－</v>
      </c>
      <c r="V64" s="32" t="n">
        <f>56470300</f>
        <v>5.64703E7</v>
      </c>
      <c r="W64" s="32" t="str">
        <f>"－"</f>
        <v>－</v>
      </c>
      <c r="X64" s="36" t="n">
        <f>20</f>
        <v>20.0</v>
      </c>
    </row>
    <row r="65">
      <c r="A65" s="27" t="s">
        <v>42</v>
      </c>
      <c r="B65" s="27" t="s">
        <v>238</v>
      </c>
      <c r="C65" s="27" t="s">
        <v>239</v>
      </c>
      <c r="D65" s="27" t="s">
        <v>240</v>
      </c>
      <c r="E65" s="28" t="s">
        <v>46</v>
      </c>
      <c r="F65" s="29" t="s">
        <v>46</v>
      </c>
      <c r="G65" s="30" t="s">
        <v>46</v>
      </c>
      <c r="H65" s="31"/>
      <c r="I65" s="31" t="s">
        <v>47</v>
      </c>
      <c r="J65" s="32" t="n">
        <v>10.0</v>
      </c>
      <c r="K65" s="33" t="n">
        <f>5150</f>
        <v>5150.0</v>
      </c>
      <c r="L65" s="34" t="s">
        <v>48</v>
      </c>
      <c r="M65" s="33" t="n">
        <f>5630</f>
        <v>5630.0</v>
      </c>
      <c r="N65" s="34" t="s">
        <v>92</v>
      </c>
      <c r="O65" s="33" t="n">
        <f>4435</f>
        <v>4435.0</v>
      </c>
      <c r="P65" s="34" t="s">
        <v>49</v>
      </c>
      <c r="Q65" s="33" t="n">
        <f>4530</f>
        <v>4530.0</v>
      </c>
      <c r="R65" s="34" t="s">
        <v>49</v>
      </c>
      <c r="S65" s="35" t="n">
        <f>4922.14</f>
        <v>4922.14</v>
      </c>
      <c r="T65" s="32" t="n">
        <f>94490</f>
        <v>94490.0</v>
      </c>
      <c r="U65" s="32" t="n">
        <f>30</f>
        <v>30.0</v>
      </c>
      <c r="V65" s="32" t="n">
        <f>477387300</f>
        <v>4.773873E8</v>
      </c>
      <c r="W65" s="32" t="n">
        <f>163800</f>
        <v>163800.0</v>
      </c>
      <c r="X65" s="36" t="n">
        <f>21</f>
        <v>21.0</v>
      </c>
    </row>
    <row r="66">
      <c r="A66" s="27" t="s">
        <v>42</v>
      </c>
      <c r="B66" s="27" t="s">
        <v>241</v>
      </c>
      <c r="C66" s="27" t="s">
        <v>242</v>
      </c>
      <c r="D66" s="27" t="s">
        <v>243</v>
      </c>
      <c r="E66" s="28" t="s">
        <v>46</v>
      </c>
      <c r="F66" s="29" t="s">
        <v>46</v>
      </c>
      <c r="G66" s="30" t="s">
        <v>46</v>
      </c>
      <c r="H66" s="31"/>
      <c r="I66" s="31" t="s">
        <v>47</v>
      </c>
      <c r="J66" s="32" t="n">
        <v>1.0</v>
      </c>
      <c r="K66" s="33" t="n">
        <f>14770</f>
        <v>14770.0</v>
      </c>
      <c r="L66" s="34" t="s">
        <v>48</v>
      </c>
      <c r="M66" s="33" t="n">
        <f>17340</f>
        <v>17340.0</v>
      </c>
      <c r="N66" s="34" t="s">
        <v>49</v>
      </c>
      <c r="O66" s="33" t="n">
        <f>13580</f>
        <v>13580.0</v>
      </c>
      <c r="P66" s="34" t="s">
        <v>50</v>
      </c>
      <c r="Q66" s="33" t="n">
        <f>16200</f>
        <v>16200.0</v>
      </c>
      <c r="R66" s="34" t="s">
        <v>49</v>
      </c>
      <c r="S66" s="35" t="n">
        <f>15321.9</f>
        <v>15321.9</v>
      </c>
      <c r="T66" s="32" t="n">
        <f>7931</f>
        <v>7931.0</v>
      </c>
      <c r="U66" s="32" t="n">
        <f>1</f>
        <v>1.0</v>
      </c>
      <c r="V66" s="32" t="n">
        <f>121987770</f>
        <v>1.2198777E8</v>
      </c>
      <c r="W66" s="32" t="n">
        <f>14400</f>
        <v>14400.0</v>
      </c>
      <c r="X66" s="36" t="n">
        <f>21</f>
        <v>21.0</v>
      </c>
    </row>
    <row r="67">
      <c r="A67" s="27" t="s">
        <v>42</v>
      </c>
      <c r="B67" s="27" t="s">
        <v>244</v>
      </c>
      <c r="C67" s="27" t="s">
        <v>245</v>
      </c>
      <c r="D67" s="27" t="s">
        <v>246</v>
      </c>
      <c r="E67" s="28" t="s">
        <v>46</v>
      </c>
      <c r="F67" s="29" t="s">
        <v>46</v>
      </c>
      <c r="G67" s="30" t="s">
        <v>46</v>
      </c>
      <c r="H67" s="31"/>
      <c r="I67" s="31" t="s">
        <v>47</v>
      </c>
      <c r="J67" s="32" t="n">
        <v>1.0</v>
      </c>
      <c r="K67" s="33" t="n">
        <f>5210</f>
        <v>5210.0</v>
      </c>
      <c r="L67" s="34" t="s">
        <v>48</v>
      </c>
      <c r="M67" s="33" t="n">
        <f>5460</f>
        <v>5460.0</v>
      </c>
      <c r="N67" s="34" t="s">
        <v>86</v>
      </c>
      <c r="O67" s="33" t="n">
        <f>4855</f>
        <v>4855.0</v>
      </c>
      <c r="P67" s="34" t="s">
        <v>69</v>
      </c>
      <c r="Q67" s="33" t="n">
        <f>5120</f>
        <v>5120.0</v>
      </c>
      <c r="R67" s="34" t="s">
        <v>49</v>
      </c>
      <c r="S67" s="35" t="n">
        <f>5078.61</f>
        <v>5078.61</v>
      </c>
      <c r="T67" s="32" t="n">
        <f>21447</f>
        <v>21447.0</v>
      </c>
      <c r="U67" s="32" t="n">
        <f>20000</f>
        <v>20000.0</v>
      </c>
      <c r="V67" s="32" t="n">
        <f>106934080</f>
        <v>1.0693408E8</v>
      </c>
      <c r="W67" s="32" t="n">
        <f>99640000</f>
        <v>9.964E7</v>
      </c>
      <c r="X67" s="36" t="n">
        <f>18</f>
        <v>18.0</v>
      </c>
    </row>
    <row r="68">
      <c r="A68" s="27" t="s">
        <v>42</v>
      </c>
      <c r="B68" s="27" t="s">
        <v>247</v>
      </c>
      <c r="C68" s="27" t="s">
        <v>248</v>
      </c>
      <c r="D68" s="27" t="s">
        <v>249</v>
      </c>
      <c r="E68" s="28" t="s">
        <v>46</v>
      </c>
      <c r="F68" s="29" t="s">
        <v>46</v>
      </c>
      <c r="G68" s="30" t="s">
        <v>46</v>
      </c>
      <c r="H68" s="31"/>
      <c r="I68" s="31" t="s">
        <v>47</v>
      </c>
      <c r="J68" s="32" t="n">
        <v>1.0</v>
      </c>
      <c r="K68" s="33" t="n">
        <f>2050</f>
        <v>2050.0</v>
      </c>
      <c r="L68" s="34" t="s">
        <v>48</v>
      </c>
      <c r="M68" s="33" t="n">
        <f>2280</f>
        <v>2280.0</v>
      </c>
      <c r="N68" s="34" t="s">
        <v>61</v>
      </c>
      <c r="O68" s="33" t="n">
        <f>1725</f>
        <v>1725.0</v>
      </c>
      <c r="P68" s="34" t="s">
        <v>49</v>
      </c>
      <c r="Q68" s="33" t="n">
        <f>1764</f>
        <v>1764.0</v>
      </c>
      <c r="R68" s="34" t="s">
        <v>49</v>
      </c>
      <c r="S68" s="35" t="n">
        <f>1964.43</f>
        <v>1964.43</v>
      </c>
      <c r="T68" s="32" t="n">
        <f>116785</f>
        <v>116785.0</v>
      </c>
      <c r="U68" s="32" t="n">
        <f>55</f>
        <v>55.0</v>
      </c>
      <c r="V68" s="32" t="n">
        <f>234644756</f>
        <v>2.34644756E8</v>
      </c>
      <c r="W68" s="32" t="n">
        <f>104390</f>
        <v>104390.0</v>
      </c>
      <c r="X68" s="36" t="n">
        <f>21</f>
        <v>21.0</v>
      </c>
    </row>
    <row r="69">
      <c r="A69" s="27" t="s">
        <v>42</v>
      </c>
      <c r="B69" s="27" t="s">
        <v>250</v>
      </c>
      <c r="C69" s="27" t="s">
        <v>251</v>
      </c>
      <c r="D69" s="27" t="s">
        <v>252</v>
      </c>
      <c r="E69" s="28" t="s">
        <v>46</v>
      </c>
      <c r="F69" s="29" t="s">
        <v>46</v>
      </c>
      <c r="G69" s="30" t="s">
        <v>46</v>
      </c>
      <c r="H69" s="31"/>
      <c r="I69" s="31" t="s">
        <v>47</v>
      </c>
      <c r="J69" s="32" t="n">
        <v>10.0</v>
      </c>
      <c r="K69" s="33" t="n">
        <f>1411</f>
        <v>1411.0</v>
      </c>
      <c r="L69" s="34" t="s">
        <v>48</v>
      </c>
      <c r="M69" s="33" t="n">
        <f>1628</f>
        <v>1628.0</v>
      </c>
      <c r="N69" s="34" t="s">
        <v>49</v>
      </c>
      <c r="O69" s="33" t="n">
        <f>1346</f>
        <v>1346.0</v>
      </c>
      <c r="P69" s="34" t="s">
        <v>50</v>
      </c>
      <c r="Q69" s="33" t="n">
        <f>1492</f>
        <v>1492.0</v>
      </c>
      <c r="R69" s="34" t="s">
        <v>49</v>
      </c>
      <c r="S69" s="35" t="n">
        <f>1438.95</f>
        <v>1438.95</v>
      </c>
      <c r="T69" s="32" t="n">
        <f>731140</f>
        <v>731140.0</v>
      </c>
      <c r="U69" s="32" t="n">
        <f>634400</f>
        <v>634400.0</v>
      </c>
      <c r="V69" s="32" t="n">
        <f>1024677925</f>
        <v>1.024677925E9</v>
      </c>
      <c r="W69" s="32" t="n">
        <f>884513595</f>
        <v>8.84513595E8</v>
      </c>
      <c r="X69" s="36" t="n">
        <f>21</f>
        <v>21.0</v>
      </c>
    </row>
    <row r="70">
      <c r="A70" s="27" t="s">
        <v>42</v>
      </c>
      <c r="B70" s="27" t="s">
        <v>253</v>
      </c>
      <c r="C70" s="27" t="s">
        <v>254</v>
      </c>
      <c r="D70" s="27" t="s">
        <v>255</v>
      </c>
      <c r="E70" s="28" t="s">
        <v>46</v>
      </c>
      <c r="F70" s="29" t="s">
        <v>46</v>
      </c>
      <c r="G70" s="30" t="s">
        <v>46</v>
      </c>
      <c r="H70" s="31"/>
      <c r="I70" s="31" t="s">
        <v>47</v>
      </c>
      <c r="J70" s="32" t="n">
        <v>1.0</v>
      </c>
      <c r="K70" s="33" t="n">
        <f>12860</f>
        <v>12860.0</v>
      </c>
      <c r="L70" s="34" t="s">
        <v>48</v>
      </c>
      <c r="M70" s="33" t="n">
        <f>13470</f>
        <v>13470.0</v>
      </c>
      <c r="N70" s="34" t="s">
        <v>49</v>
      </c>
      <c r="O70" s="33" t="n">
        <f>12050</f>
        <v>12050.0</v>
      </c>
      <c r="P70" s="34" t="s">
        <v>50</v>
      </c>
      <c r="Q70" s="33" t="n">
        <f>13310</f>
        <v>13310.0</v>
      </c>
      <c r="R70" s="34" t="s">
        <v>49</v>
      </c>
      <c r="S70" s="35" t="n">
        <f>12866.5</f>
        <v>12866.5</v>
      </c>
      <c r="T70" s="32" t="n">
        <f>6094</f>
        <v>6094.0</v>
      </c>
      <c r="U70" s="32" t="str">
        <f>"－"</f>
        <v>－</v>
      </c>
      <c r="V70" s="32" t="n">
        <f>77865680</f>
        <v>7.786568E7</v>
      </c>
      <c r="W70" s="32" t="str">
        <f>"－"</f>
        <v>－</v>
      </c>
      <c r="X70" s="36" t="n">
        <f>20</f>
        <v>20.0</v>
      </c>
    </row>
    <row r="71">
      <c r="A71" s="27" t="s">
        <v>42</v>
      </c>
      <c r="B71" s="27" t="s">
        <v>256</v>
      </c>
      <c r="C71" s="27" t="s">
        <v>257</v>
      </c>
      <c r="D71" s="27" t="s">
        <v>258</v>
      </c>
      <c r="E71" s="28" t="s">
        <v>46</v>
      </c>
      <c r="F71" s="29" t="s">
        <v>46</v>
      </c>
      <c r="G71" s="30" t="s">
        <v>46</v>
      </c>
      <c r="H71" s="31"/>
      <c r="I71" s="31" t="s">
        <v>47</v>
      </c>
      <c r="J71" s="32" t="n">
        <v>1.0</v>
      </c>
      <c r="K71" s="33" t="n">
        <f>1421</f>
        <v>1421.0</v>
      </c>
      <c r="L71" s="34" t="s">
        <v>48</v>
      </c>
      <c r="M71" s="33" t="n">
        <f>1517</f>
        <v>1517.0</v>
      </c>
      <c r="N71" s="34" t="s">
        <v>49</v>
      </c>
      <c r="O71" s="33" t="n">
        <f>1347</f>
        <v>1347.0</v>
      </c>
      <c r="P71" s="34" t="s">
        <v>50</v>
      </c>
      <c r="Q71" s="33" t="n">
        <f>1496</f>
        <v>1496.0</v>
      </c>
      <c r="R71" s="34" t="s">
        <v>49</v>
      </c>
      <c r="S71" s="35" t="n">
        <f>1446.67</f>
        <v>1446.67</v>
      </c>
      <c r="T71" s="32" t="n">
        <f>14109628</f>
        <v>1.4109628E7</v>
      </c>
      <c r="U71" s="32" t="n">
        <f>10803244</f>
        <v>1.0803244E7</v>
      </c>
      <c r="V71" s="32" t="n">
        <f>20751109639</f>
        <v>2.0751109639E10</v>
      </c>
      <c r="W71" s="32" t="n">
        <f>15954103325</f>
        <v>1.5954103325E10</v>
      </c>
      <c r="X71" s="36" t="n">
        <f>21</f>
        <v>21.0</v>
      </c>
    </row>
    <row r="72">
      <c r="A72" s="27" t="s">
        <v>42</v>
      </c>
      <c r="B72" s="27" t="s">
        <v>259</v>
      </c>
      <c r="C72" s="27" t="s">
        <v>260</v>
      </c>
      <c r="D72" s="27" t="s">
        <v>261</v>
      </c>
      <c r="E72" s="28" t="s">
        <v>46</v>
      </c>
      <c r="F72" s="29" t="s">
        <v>46</v>
      </c>
      <c r="G72" s="30" t="s">
        <v>46</v>
      </c>
      <c r="H72" s="31"/>
      <c r="I72" s="31" t="s">
        <v>47</v>
      </c>
      <c r="J72" s="32" t="n">
        <v>1.0</v>
      </c>
      <c r="K72" s="33" t="n">
        <f>1659</f>
        <v>1659.0</v>
      </c>
      <c r="L72" s="34" t="s">
        <v>48</v>
      </c>
      <c r="M72" s="33" t="n">
        <f>1660</f>
        <v>1660.0</v>
      </c>
      <c r="N72" s="34" t="s">
        <v>96</v>
      </c>
      <c r="O72" s="33" t="n">
        <f>1456</f>
        <v>1456.0</v>
      </c>
      <c r="P72" s="34" t="s">
        <v>92</v>
      </c>
      <c r="Q72" s="33" t="n">
        <f>1637</f>
        <v>1637.0</v>
      </c>
      <c r="R72" s="34" t="s">
        <v>49</v>
      </c>
      <c r="S72" s="35" t="n">
        <f>1580.67</f>
        <v>1580.67</v>
      </c>
      <c r="T72" s="32" t="n">
        <f>2461859</f>
        <v>2461859.0</v>
      </c>
      <c r="U72" s="32" t="n">
        <f>191244</f>
        <v>191244.0</v>
      </c>
      <c r="V72" s="32" t="n">
        <f>3940946025</f>
        <v>3.940946025E9</v>
      </c>
      <c r="W72" s="32" t="n">
        <f>303959756</f>
        <v>3.03959756E8</v>
      </c>
      <c r="X72" s="36" t="n">
        <f>21</f>
        <v>21.0</v>
      </c>
    </row>
    <row r="73">
      <c r="A73" s="27" t="s">
        <v>42</v>
      </c>
      <c r="B73" s="27" t="s">
        <v>262</v>
      </c>
      <c r="C73" s="27" t="s">
        <v>263</v>
      </c>
      <c r="D73" s="27" t="s">
        <v>264</v>
      </c>
      <c r="E73" s="28" t="s">
        <v>46</v>
      </c>
      <c r="F73" s="29" t="s">
        <v>46</v>
      </c>
      <c r="G73" s="30" t="s">
        <v>46</v>
      </c>
      <c r="H73" s="31"/>
      <c r="I73" s="31" t="s">
        <v>47</v>
      </c>
      <c r="J73" s="32" t="n">
        <v>1.0</v>
      </c>
      <c r="K73" s="33" t="n">
        <f>1619</f>
        <v>1619.0</v>
      </c>
      <c r="L73" s="34" t="s">
        <v>48</v>
      </c>
      <c r="M73" s="33" t="n">
        <f>1695</f>
        <v>1695.0</v>
      </c>
      <c r="N73" s="34" t="s">
        <v>49</v>
      </c>
      <c r="O73" s="33" t="n">
        <f>1548</f>
        <v>1548.0</v>
      </c>
      <c r="P73" s="34" t="s">
        <v>50</v>
      </c>
      <c r="Q73" s="33" t="n">
        <f>1648</f>
        <v>1648.0</v>
      </c>
      <c r="R73" s="34" t="s">
        <v>49</v>
      </c>
      <c r="S73" s="35" t="n">
        <f>1634.33</f>
        <v>1634.33</v>
      </c>
      <c r="T73" s="32" t="n">
        <f>131198</f>
        <v>131198.0</v>
      </c>
      <c r="U73" s="32" t="str">
        <f>"－"</f>
        <v>－</v>
      </c>
      <c r="V73" s="32" t="n">
        <f>213931524</f>
        <v>2.13931524E8</v>
      </c>
      <c r="W73" s="32" t="str">
        <f>"－"</f>
        <v>－</v>
      </c>
      <c r="X73" s="36" t="n">
        <f>21</f>
        <v>21.0</v>
      </c>
    </row>
    <row r="74">
      <c r="A74" s="27" t="s">
        <v>42</v>
      </c>
      <c r="B74" s="27" t="s">
        <v>265</v>
      </c>
      <c r="C74" s="27" t="s">
        <v>266</v>
      </c>
      <c r="D74" s="27" t="s">
        <v>267</v>
      </c>
      <c r="E74" s="28" t="s">
        <v>46</v>
      </c>
      <c r="F74" s="29" t="s">
        <v>46</v>
      </c>
      <c r="G74" s="30" t="s">
        <v>46</v>
      </c>
      <c r="H74" s="31"/>
      <c r="I74" s="31" t="s">
        <v>47</v>
      </c>
      <c r="J74" s="32" t="n">
        <v>1.0</v>
      </c>
      <c r="K74" s="33" t="n">
        <f>1668</f>
        <v>1668.0</v>
      </c>
      <c r="L74" s="34" t="s">
        <v>48</v>
      </c>
      <c r="M74" s="33" t="n">
        <f>1692</f>
        <v>1692.0</v>
      </c>
      <c r="N74" s="34" t="s">
        <v>48</v>
      </c>
      <c r="O74" s="33" t="n">
        <f>1544</f>
        <v>1544.0</v>
      </c>
      <c r="P74" s="34" t="s">
        <v>61</v>
      </c>
      <c r="Q74" s="33" t="n">
        <f>1682</f>
        <v>1682.0</v>
      </c>
      <c r="R74" s="34" t="s">
        <v>49</v>
      </c>
      <c r="S74" s="35" t="n">
        <f>1627</f>
        <v>1627.0</v>
      </c>
      <c r="T74" s="32" t="n">
        <f>139282</f>
        <v>139282.0</v>
      </c>
      <c r="U74" s="32" t="n">
        <f>19107</f>
        <v>19107.0</v>
      </c>
      <c r="V74" s="32" t="n">
        <f>226232972</f>
        <v>2.26232972E8</v>
      </c>
      <c r="W74" s="32" t="n">
        <f>31237109</f>
        <v>3.1237109E7</v>
      </c>
      <c r="X74" s="36" t="n">
        <f>21</f>
        <v>21.0</v>
      </c>
    </row>
    <row r="75">
      <c r="A75" s="27" t="s">
        <v>42</v>
      </c>
      <c r="B75" s="27" t="s">
        <v>268</v>
      </c>
      <c r="C75" s="27" t="s">
        <v>269</v>
      </c>
      <c r="D75" s="27" t="s">
        <v>270</v>
      </c>
      <c r="E75" s="28" t="s">
        <v>46</v>
      </c>
      <c r="F75" s="29" t="s">
        <v>46</v>
      </c>
      <c r="G75" s="30" t="s">
        <v>46</v>
      </c>
      <c r="H75" s="31"/>
      <c r="I75" s="31" t="s">
        <v>47</v>
      </c>
      <c r="J75" s="32" t="n">
        <v>1.0</v>
      </c>
      <c r="K75" s="33" t="n">
        <f>17360</f>
        <v>17360.0</v>
      </c>
      <c r="L75" s="34" t="s">
        <v>48</v>
      </c>
      <c r="M75" s="33" t="n">
        <f>18290</f>
        <v>18290.0</v>
      </c>
      <c r="N75" s="34" t="s">
        <v>49</v>
      </c>
      <c r="O75" s="33" t="n">
        <f>16780</f>
        <v>16780.0</v>
      </c>
      <c r="P75" s="34" t="s">
        <v>50</v>
      </c>
      <c r="Q75" s="33" t="n">
        <f>18290</f>
        <v>18290.0</v>
      </c>
      <c r="R75" s="34" t="s">
        <v>49</v>
      </c>
      <c r="S75" s="35" t="n">
        <f>17684</f>
        <v>17684.0</v>
      </c>
      <c r="T75" s="32" t="n">
        <f>131</f>
        <v>131.0</v>
      </c>
      <c r="U75" s="32" t="str">
        <f>"－"</f>
        <v>－</v>
      </c>
      <c r="V75" s="32" t="n">
        <f>2332820</f>
        <v>2332820.0</v>
      </c>
      <c r="W75" s="32" t="str">
        <f>"－"</f>
        <v>－</v>
      </c>
      <c r="X75" s="36" t="n">
        <f>10</f>
        <v>10.0</v>
      </c>
    </row>
    <row r="76">
      <c r="A76" s="27" t="s">
        <v>42</v>
      </c>
      <c r="B76" s="27" t="s">
        <v>271</v>
      </c>
      <c r="C76" s="27" t="s">
        <v>272</v>
      </c>
      <c r="D76" s="27" t="s">
        <v>273</v>
      </c>
      <c r="E76" s="28" t="s">
        <v>46</v>
      </c>
      <c r="F76" s="29" t="s">
        <v>46</v>
      </c>
      <c r="G76" s="30" t="s">
        <v>46</v>
      </c>
      <c r="H76" s="31"/>
      <c r="I76" s="31" t="s">
        <v>47</v>
      </c>
      <c r="J76" s="32" t="n">
        <v>1.0</v>
      </c>
      <c r="K76" s="33" t="n">
        <f>13650</f>
        <v>13650.0</v>
      </c>
      <c r="L76" s="34" t="s">
        <v>61</v>
      </c>
      <c r="M76" s="33" t="n">
        <f>14480</f>
        <v>14480.0</v>
      </c>
      <c r="N76" s="34" t="s">
        <v>49</v>
      </c>
      <c r="O76" s="33" t="n">
        <f>12790</f>
        <v>12790.0</v>
      </c>
      <c r="P76" s="34" t="s">
        <v>50</v>
      </c>
      <c r="Q76" s="33" t="n">
        <f>14480</f>
        <v>14480.0</v>
      </c>
      <c r="R76" s="34" t="s">
        <v>49</v>
      </c>
      <c r="S76" s="35" t="n">
        <f>13991.33</f>
        <v>13991.33</v>
      </c>
      <c r="T76" s="32" t="n">
        <f>728</f>
        <v>728.0</v>
      </c>
      <c r="U76" s="32" t="str">
        <f>"－"</f>
        <v>－</v>
      </c>
      <c r="V76" s="32" t="n">
        <f>10219720</f>
        <v>1.021972E7</v>
      </c>
      <c r="W76" s="32" t="str">
        <f>"－"</f>
        <v>－</v>
      </c>
      <c r="X76" s="36" t="n">
        <f>15</f>
        <v>15.0</v>
      </c>
    </row>
    <row r="77">
      <c r="A77" s="27" t="s">
        <v>42</v>
      </c>
      <c r="B77" s="27" t="s">
        <v>274</v>
      </c>
      <c r="C77" s="27" t="s">
        <v>275</v>
      </c>
      <c r="D77" s="27" t="s">
        <v>276</v>
      </c>
      <c r="E77" s="28" t="s">
        <v>46</v>
      </c>
      <c r="F77" s="29" t="s">
        <v>46</v>
      </c>
      <c r="G77" s="30" t="s">
        <v>46</v>
      </c>
      <c r="H77" s="31"/>
      <c r="I77" s="31" t="s">
        <v>47</v>
      </c>
      <c r="J77" s="32" t="n">
        <v>1.0</v>
      </c>
      <c r="K77" s="33" t="n">
        <f>1420</f>
        <v>1420.0</v>
      </c>
      <c r="L77" s="34" t="s">
        <v>48</v>
      </c>
      <c r="M77" s="33" t="n">
        <f>1498</f>
        <v>1498.0</v>
      </c>
      <c r="N77" s="34" t="s">
        <v>49</v>
      </c>
      <c r="O77" s="33" t="n">
        <f>1332</f>
        <v>1332.0</v>
      </c>
      <c r="P77" s="34" t="s">
        <v>50</v>
      </c>
      <c r="Q77" s="33" t="n">
        <f>1462</f>
        <v>1462.0</v>
      </c>
      <c r="R77" s="34" t="s">
        <v>49</v>
      </c>
      <c r="S77" s="35" t="n">
        <f>1422.9</f>
        <v>1422.9</v>
      </c>
      <c r="T77" s="32" t="n">
        <f>397991</f>
        <v>397991.0</v>
      </c>
      <c r="U77" s="32" t="str">
        <f>"－"</f>
        <v>－</v>
      </c>
      <c r="V77" s="32" t="n">
        <f>576882175</f>
        <v>5.76882175E8</v>
      </c>
      <c r="W77" s="32" t="str">
        <f>"－"</f>
        <v>－</v>
      </c>
      <c r="X77" s="36" t="n">
        <f>21</f>
        <v>21.0</v>
      </c>
    </row>
    <row r="78">
      <c r="A78" s="27" t="s">
        <v>42</v>
      </c>
      <c r="B78" s="27" t="s">
        <v>277</v>
      </c>
      <c r="C78" s="27" t="s">
        <v>278</v>
      </c>
      <c r="D78" s="27" t="s">
        <v>279</v>
      </c>
      <c r="E78" s="28" t="s">
        <v>46</v>
      </c>
      <c r="F78" s="29" t="s">
        <v>46</v>
      </c>
      <c r="G78" s="30" t="s">
        <v>46</v>
      </c>
      <c r="H78" s="31"/>
      <c r="I78" s="31" t="s">
        <v>47</v>
      </c>
      <c r="J78" s="32" t="n">
        <v>1.0</v>
      </c>
      <c r="K78" s="33" t="n">
        <f>2553</f>
        <v>2553.0</v>
      </c>
      <c r="L78" s="34" t="s">
        <v>48</v>
      </c>
      <c r="M78" s="33" t="n">
        <f>2554</f>
        <v>2554.0</v>
      </c>
      <c r="N78" s="34" t="s">
        <v>92</v>
      </c>
      <c r="O78" s="33" t="n">
        <f>2485</f>
        <v>2485.0</v>
      </c>
      <c r="P78" s="34" t="s">
        <v>171</v>
      </c>
      <c r="Q78" s="33" t="n">
        <f>2515</f>
        <v>2515.0</v>
      </c>
      <c r="R78" s="34" t="s">
        <v>49</v>
      </c>
      <c r="S78" s="35" t="n">
        <f>2519.05</f>
        <v>2519.05</v>
      </c>
      <c r="T78" s="32" t="n">
        <f>1105405</f>
        <v>1105405.0</v>
      </c>
      <c r="U78" s="32" t="n">
        <f>846013</f>
        <v>846013.0</v>
      </c>
      <c r="V78" s="32" t="n">
        <f>2772383462</f>
        <v>2.772383462E9</v>
      </c>
      <c r="W78" s="32" t="n">
        <f>2121240906</f>
        <v>2.121240906E9</v>
      </c>
      <c r="X78" s="36" t="n">
        <f>21</f>
        <v>21.0</v>
      </c>
    </row>
    <row r="79">
      <c r="A79" s="27" t="s">
        <v>42</v>
      </c>
      <c r="B79" s="27" t="s">
        <v>280</v>
      </c>
      <c r="C79" s="27" t="s">
        <v>281</v>
      </c>
      <c r="D79" s="27" t="s">
        <v>282</v>
      </c>
      <c r="E79" s="28" t="s">
        <v>46</v>
      </c>
      <c r="F79" s="29" t="s">
        <v>46</v>
      </c>
      <c r="G79" s="30" t="s">
        <v>46</v>
      </c>
      <c r="H79" s="31"/>
      <c r="I79" s="31" t="s">
        <v>47</v>
      </c>
      <c r="J79" s="32" t="n">
        <v>1.0</v>
      </c>
      <c r="K79" s="33" t="n">
        <f>1350</f>
        <v>1350.0</v>
      </c>
      <c r="L79" s="34" t="s">
        <v>48</v>
      </c>
      <c r="M79" s="33" t="n">
        <f>1402</f>
        <v>1402.0</v>
      </c>
      <c r="N79" s="34" t="s">
        <v>181</v>
      </c>
      <c r="O79" s="33" t="n">
        <f>1296</f>
        <v>1296.0</v>
      </c>
      <c r="P79" s="34" t="s">
        <v>96</v>
      </c>
      <c r="Q79" s="33" t="n">
        <f>1345</f>
        <v>1345.0</v>
      </c>
      <c r="R79" s="34" t="s">
        <v>49</v>
      </c>
      <c r="S79" s="35" t="n">
        <f>1335.5</f>
        <v>1335.5</v>
      </c>
      <c r="T79" s="32" t="n">
        <f>2953</f>
        <v>2953.0</v>
      </c>
      <c r="U79" s="32" t="str">
        <f>"－"</f>
        <v>－</v>
      </c>
      <c r="V79" s="32" t="n">
        <f>3916136</f>
        <v>3916136.0</v>
      </c>
      <c r="W79" s="32" t="str">
        <f>"－"</f>
        <v>－</v>
      </c>
      <c r="X79" s="36" t="n">
        <f>20</f>
        <v>20.0</v>
      </c>
    </row>
    <row r="80">
      <c r="A80" s="27" t="s">
        <v>42</v>
      </c>
      <c r="B80" s="27" t="s">
        <v>283</v>
      </c>
      <c r="C80" s="27" t="s">
        <v>284</v>
      </c>
      <c r="D80" s="27" t="s">
        <v>285</v>
      </c>
      <c r="E80" s="28" t="s">
        <v>46</v>
      </c>
      <c r="F80" s="29" t="s">
        <v>46</v>
      </c>
      <c r="G80" s="30" t="s">
        <v>46</v>
      </c>
      <c r="H80" s="31"/>
      <c r="I80" s="31" t="s">
        <v>47</v>
      </c>
      <c r="J80" s="32" t="n">
        <v>10.0</v>
      </c>
      <c r="K80" s="33" t="n">
        <f>1374</f>
        <v>1374.0</v>
      </c>
      <c r="L80" s="34" t="s">
        <v>48</v>
      </c>
      <c r="M80" s="33" t="n">
        <f>1455</f>
        <v>1455.0</v>
      </c>
      <c r="N80" s="34" t="s">
        <v>49</v>
      </c>
      <c r="O80" s="33" t="n">
        <f>1316</f>
        <v>1316.0</v>
      </c>
      <c r="P80" s="34" t="s">
        <v>50</v>
      </c>
      <c r="Q80" s="33" t="n">
        <f>1448</f>
        <v>1448.0</v>
      </c>
      <c r="R80" s="34" t="s">
        <v>49</v>
      </c>
      <c r="S80" s="35" t="n">
        <f>1406.1</f>
        <v>1406.1</v>
      </c>
      <c r="T80" s="32" t="n">
        <f>3300</f>
        <v>3300.0</v>
      </c>
      <c r="U80" s="32" t="str">
        <f>"－"</f>
        <v>－</v>
      </c>
      <c r="V80" s="32" t="n">
        <f>4616290</f>
        <v>4616290.0</v>
      </c>
      <c r="W80" s="32" t="str">
        <f>"－"</f>
        <v>－</v>
      </c>
      <c r="X80" s="36" t="n">
        <f>21</f>
        <v>21.0</v>
      </c>
    </row>
    <row r="81">
      <c r="A81" s="27" t="s">
        <v>42</v>
      </c>
      <c r="B81" s="27" t="s">
        <v>286</v>
      </c>
      <c r="C81" s="27" t="s">
        <v>287</v>
      </c>
      <c r="D81" s="27" t="s">
        <v>288</v>
      </c>
      <c r="E81" s="28" t="s">
        <v>46</v>
      </c>
      <c r="F81" s="29" t="s">
        <v>46</v>
      </c>
      <c r="G81" s="30" t="s">
        <v>46</v>
      </c>
      <c r="H81" s="31"/>
      <c r="I81" s="31" t="s">
        <v>47</v>
      </c>
      <c r="J81" s="32" t="n">
        <v>1.0</v>
      </c>
      <c r="K81" s="33" t="n">
        <f>25000</f>
        <v>25000.0</v>
      </c>
      <c r="L81" s="34" t="s">
        <v>86</v>
      </c>
      <c r="M81" s="33" t="n">
        <f>25480</f>
        <v>25480.0</v>
      </c>
      <c r="N81" s="34" t="s">
        <v>96</v>
      </c>
      <c r="O81" s="33" t="n">
        <f>22700</f>
        <v>22700.0</v>
      </c>
      <c r="P81" s="34" t="s">
        <v>91</v>
      </c>
      <c r="Q81" s="33" t="n">
        <f>24650</f>
        <v>24650.0</v>
      </c>
      <c r="R81" s="34" t="s">
        <v>69</v>
      </c>
      <c r="S81" s="35" t="n">
        <f>24455</f>
        <v>24455.0</v>
      </c>
      <c r="T81" s="32" t="n">
        <f>13</f>
        <v>13.0</v>
      </c>
      <c r="U81" s="32" t="str">
        <f>"－"</f>
        <v>－</v>
      </c>
      <c r="V81" s="32" t="n">
        <f>320260</f>
        <v>320260.0</v>
      </c>
      <c r="W81" s="32" t="str">
        <f>"－"</f>
        <v>－</v>
      </c>
      <c r="X81" s="36" t="n">
        <f>4</f>
        <v>4.0</v>
      </c>
    </row>
    <row r="82">
      <c r="A82" s="27" t="s">
        <v>42</v>
      </c>
      <c r="B82" s="27" t="s">
        <v>289</v>
      </c>
      <c r="C82" s="27" t="s">
        <v>290</v>
      </c>
      <c r="D82" s="27" t="s">
        <v>291</v>
      </c>
      <c r="E82" s="28" t="s">
        <v>46</v>
      </c>
      <c r="F82" s="29" t="s">
        <v>46</v>
      </c>
      <c r="G82" s="30" t="s">
        <v>46</v>
      </c>
      <c r="H82" s="31"/>
      <c r="I82" s="31" t="s">
        <v>47</v>
      </c>
      <c r="J82" s="32" t="n">
        <v>1.0</v>
      </c>
      <c r="K82" s="33" t="n">
        <f>22370</f>
        <v>22370.0</v>
      </c>
      <c r="L82" s="34" t="s">
        <v>48</v>
      </c>
      <c r="M82" s="33" t="n">
        <f>22810</f>
        <v>22810.0</v>
      </c>
      <c r="N82" s="34" t="s">
        <v>86</v>
      </c>
      <c r="O82" s="33" t="n">
        <f>22190</f>
        <v>22190.0</v>
      </c>
      <c r="P82" s="34" t="s">
        <v>171</v>
      </c>
      <c r="Q82" s="33" t="n">
        <f>22340</f>
        <v>22340.0</v>
      </c>
      <c r="R82" s="34" t="s">
        <v>49</v>
      </c>
      <c r="S82" s="35" t="n">
        <f>22587.5</f>
        <v>22587.5</v>
      </c>
      <c r="T82" s="32" t="n">
        <f>93180</f>
        <v>93180.0</v>
      </c>
      <c r="U82" s="32" t="n">
        <f>92400</f>
        <v>92400.0</v>
      </c>
      <c r="V82" s="32" t="n">
        <f>2096801750</f>
        <v>2.09680175E9</v>
      </c>
      <c r="W82" s="32" t="n">
        <f>2079235800</f>
        <v>2.0792358E9</v>
      </c>
      <c r="X82" s="36" t="n">
        <f>20</f>
        <v>20.0</v>
      </c>
    </row>
    <row r="83">
      <c r="A83" s="27" t="s">
        <v>42</v>
      </c>
      <c r="B83" s="27" t="s">
        <v>292</v>
      </c>
      <c r="C83" s="27" t="s">
        <v>293</v>
      </c>
      <c r="D83" s="27" t="s">
        <v>294</v>
      </c>
      <c r="E83" s="28" t="s">
        <v>46</v>
      </c>
      <c r="F83" s="29" t="s">
        <v>46</v>
      </c>
      <c r="G83" s="30" t="s">
        <v>46</v>
      </c>
      <c r="H83" s="31"/>
      <c r="I83" s="31" t="s">
        <v>47</v>
      </c>
      <c r="J83" s="32" t="n">
        <v>1.0</v>
      </c>
      <c r="K83" s="33" t="n">
        <f>19800</f>
        <v>19800.0</v>
      </c>
      <c r="L83" s="34" t="s">
        <v>48</v>
      </c>
      <c r="M83" s="33" t="n">
        <f>20200</f>
        <v>20200.0</v>
      </c>
      <c r="N83" s="34" t="s">
        <v>61</v>
      </c>
      <c r="O83" s="33" t="n">
        <f>19630</f>
        <v>19630.0</v>
      </c>
      <c r="P83" s="34" t="s">
        <v>192</v>
      </c>
      <c r="Q83" s="33" t="n">
        <f>19800</f>
        <v>19800.0</v>
      </c>
      <c r="R83" s="34" t="s">
        <v>49</v>
      </c>
      <c r="S83" s="35" t="n">
        <f>19924</f>
        <v>19924.0</v>
      </c>
      <c r="T83" s="32" t="n">
        <f>504</f>
        <v>504.0</v>
      </c>
      <c r="U83" s="32" t="str">
        <f>"－"</f>
        <v>－</v>
      </c>
      <c r="V83" s="32" t="n">
        <f>10041000</f>
        <v>1.0041E7</v>
      </c>
      <c r="W83" s="32" t="str">
        <f>"－"</f>
        <v>－</v>
      </c>
      <c r="X83" s="36" t="n">
        <f>20</f>
        <v>20.0</v>
      </c>
    </row>
    <row r="84">
      <c r="A84" s="27" t="s">
        <v>42</v>
      </c>
      <c r="B84" s="27" t="s">
        <v>295</v>
      </c>
      <c r="C84" s="27" t="s">
        <v>296</v>
      </c>
      <c r="D84" s="27" t="s">
        <v>297</v>
      </c>
      <c r="E84" s="28" t="s">
        <v>46</v>
      </c>
      <c r="F84" s="29" t="s">
        <v>46</v>
      </c>
      <c r="G84" s="30" t="s">
        <v>46</v>
      </c>
      <c r="H84" s="31"/>
      <c r="I84" s="31" t="s">
        <v>47</v>
      </c>
      <c r="J84" s="32" t="n">
        <v>10.0</v>
      </c>
      <c r="K84" s="33" t="n">
        <f>1620</f>
        <v>1620.0</v>
      </c>
      <c r="L84" s="34" t="s">
        <v>48</v>
      </c>
      <c r="M84" s="33" t="n">
        <f>1654</f>
        <v>1654.0</v>
      </c>
      <c r="N84" s="34" t="s">
        <v>107</v>
      </c>
      <c r="O84" s="33" t="n">
        <f>1447</f>
        <v>1447.0</v>
      </c>
      <c r="P84" s="34" t="s">
        <v>61</v>
      </c>
      <c r="Q84" s="33" t="n">
        <f>1632</f>
        <v>1632.0</v>
      </c>
      <c r="R84" s="34" t="s">
        <v>49</v>
      </c>
      <c r="S84" s="35" t="n">
        <f>1575.9</f>
        <v>1575.9</v>
      </c>
      <c r="T84" s="32" t="n">
        <f>1344410</f>
        <v>1344410.0</v>
      </c>
      <c r="U84" s="32" t="str">
        <f>"－"</f>
        <v>－</v>
      </c>
      <c r="V84" s="32" t="n">
        <f>2136114970</f>
        <v>2.13611497E9</v>
      </c>
      <c r="W84" s="32" t="str">
        <f>"－"</f>
        <v>－</v>
      </c>
      <c r="X84" s="36" t="n">
        <f>21</f>
        <v>21.0</v>
      </c>
    </row>
    <row r="85">
      <c r="A85" s="27" t="s">
        <v>42</v>
      </c>
      <c r="B85" s="27" t="s">
        <v>298</v>
      </c>
      <c r="C85" s="27" t="s">
        <v>299</v>
      </c>
      <c r="D85" s="27" t="s">
        <v>300</v>
      </c>
      <c r="E85" s="28" t="s">
        <v>46</v>
      </c>
      <c r="F85" s="29" t="s">
        <v>46</v>
      </c>
      <c r="G85" s="30" t="s">
        <v>46</v>
      </c>
      <c r="H85" s="31"/>
      <c r="I85" s="31" t="s">
        <v>47</v>
      </c>
      <c r="J85" s="32" t="n">
        <v>1.0</v>
      </c>
      <c r="K85" s="33" t="n">
        <f>26650</f>
        <v>26650.0</v>
      </c>
      <c r="L85" s="34" t="s">
        <v>48</v>
      </c>
      <c r="M85" s="33" t="n">
        <f>27150</f>
        <v>27150.0</v>
      </c>
      <c r="N85" s="34" t="s">
        <v>49</v>
      </c>
      <c r="O85" s="33" t="n">
        <f>24640</f>
        <v>24640.0</v>
      </c>
      <c r="P85" s="34" t="s">
        <v>92</v>
      </c>
      <c r="Q85" s="33" t="n">
        <f>26990</f>
        <v>26990.0</v>
      </c>
      <c r="R85" s="34" t="s">
        <v>49</v>
      </c>
      <c r="S85" s="35" t="n">
        <f>26055.24</f>
        <v>26055.24</v>
      </c>
      <c r="T85" s="32" t="n">
        <f>40417</f>
        <v>40417.0</v>
      </c>
      <c r="U85" s="32" t="str">
        <f>"－"</f>
        <v>－</v>
      </c>
      <c r="V85" s="32" t="n">
        <f>1049725730</f>
        <v>1.04972573E9</v>
      </c>
      <c r="W85" s="32" t="str">
        <f>"－"</f>
        <v>－</v>
      </c>
      <c r="X85" s="36" t="n">
        <f>21</f>
        <v>21.0</v>
      </c>
    </row>
    <row r="86">
      <c r="A86" s="27" t="s">
        <v>42</v>
      </c>
      <c r="B86" s="27" t="s">
        <v>301</v>
      </c>
      <c r="C86" s="27" t="s">
        <v>302</v>
      </c>
      <c r="D86" s="27" t="s">
        <v>303</v>
      </c>
      <c r="E86" s="28" t="s">
        <v>46</v>
      </c>
      <c r="F86" s="29" t="s">
        <v>46</v>
      </c>
      <c r="G86" s="30" t="s">
        <v>46</v>
      </c>
      <c r="H86" s="31"/>
      <c r="I86" s="31" t="s">
        <v>47</v>
      </c>
      <c r="J86" s="32" t="n">
        <v>10.0</v>
      </c>
      <c r="K86" s="33" t="n">
        <f>8680</f>
        <v>8680.0</v>
      </c>
      <c r="L86" s="34" t="s">
        <v>92</v>
      </c>
      <c r="M86" s="33" t="n">
        <f>8710</f>
        <v>8710.0</v>
      </c>
      <c r="N86" s="34" t="s">
        <v>92</v>
      </c>
      <c r="O86" s="33" t="n">
        <f>8470</f>
        <v>8470.0</v>
      </c>
      <c r="P86" s="34" t="s">
        <v>103</v>
      </c>
      <c r="Q86" s="33" t="n">
        <f>8480</f>
        <v>8480.0</v>
      </c>
      <c r="R86" s="34" t="s">
        <v>49</v>
      </c>
      <c r="S86" s="35" t="n">
        <f>8561.25</f>
        <v>8561.25</v>
      </c>
      <c r="T86" s="32" t="n">
        <f>140</f>
        <v>140.0</v>
      </c>
      <c r="U86" s="32" t="str">
        <f>"－"</f>
        <v>－</v>
      </c>
      <c r="V86" s="32" t="n">
        <f>1197800</f>
        <v>1197800.0</v>
      </c>
      <c r="W86" s="32" t="str">
        <f>"－"</f>
        <v>－</v>
      </c>
      <c r="X86" s="36" t="n">
        <f>8</f>
        <v>8.0</v>
      </c>
    </row>
    <row r="87">
      <c r="A87" s="27" t="s">
        <v>42</v>
      </c>
      <c r="B87" s="27" t="s">
        <v>304</v>
      </c>
      <c r="C87" s="27" t="s">
        <v>305</v>
      </c>
      <c r="D87" s="27" t="s">
        <v>306</v>
      </c>
      <c r="E87" s="28" t="s">
        <v>46</v>
      </c>
      <c r="F87" s="29" t="s">
        <v>46</v>
      </c>
      <c r="G87" s="30" t="s">
        <v>46</v>
      </c>
      <c r="H87" s="31"/>
      <c r="I87" s="31" t="s">
        <v>47</v>
      </c>
      <c r="J87" s="32" t="n">
        <v>1.0</v>
      </c>
      <c r="K87" s="33" t="n">
        <f>11480</f>
        <v>11480.0</v>
      </c>
      <c r="L87" s="34" t="s">
        <v>48</v>
      </c>
      <c r="M87" s="33" t="n">
        <f>12350</f>
        <v>12350.0</v>
      </c>
      <c r="N87" s="34" t="s">
        <v>307</v>
      </c>
      <c r="O87" s="33" t="n">
        <f>10200</f>
        <v>10200.0</v>
      </c>
      <c r="P87" s="34" t="s">
        <v>92</v>
      </c>
      <c r="Q87" s="33" t="n">
        <f>12250</f>
        <v>12250.0</v>
      </c>
      <c r="R87" s="34" t="s">
        <v>49</v>
      </c>
      <c r="S87" s="35" t="n">
        <f>11330.48</f>
        <v>11330.48</v>
      </c>
      <c r="T87" s="32" t="n">
        <f>1142</f>
        <v>1142.0</v>
      </c>
      <c r="U87" s="32" t="n">
        <f>1</f>
        <v>1.0</v>
      </c>
      <c r="V87" s="32" t="n">
        <f>12994360</f>
        <v>1.299436E7</v>
      </c>
      <c r="W87" s="32" t="n">
        <f>11460</f>
        <v>11460.0</v>
      </c>
      <c r="X87" s="36" t="n">
        <f>21</f>
        <v>21.0</v>
      </c>
    </row>
    <row r="88">
      <c r="A88" s="27" t="s">
        <v>42</v>
      </c>
      <c r="B88" s="27" t="s">
        <v>308</v>
      </c>
      <c r="C88" s="27" t="s">
        <v>309</v>
      </c>
      <c r="D88" s="27" t="s">
        <v>310</v>
      </c>
      <c r="E88" s="28" t="s">
        <v>46</v>
      </c>
      <c r="F88" s="29" t="s">
        <v>46</v>
      </c>
      <c r="G88" s="30" t="s">
        <v>46</v>
      </c>
      <c r="H88" s="31"/>
      <c r="I88" s="31" t="s">
        <v>47</v>
      </c>
      <c r="J88" s="32" t="n">
        <v>1.0</v>
      </c>
      <c r="K88" s="33" t="n">
        <f>10540</f>
        <v>10540.0</v>
      </c>
      <c r="L88" s="34" t="s">
        <v>48</v>
      </c>
      <c r="M88" s="33" t="n">
        <f>12000</f>
        <v>12000.0</v>
      </c>
      <c r="N88" s="34" t="s">
        <v>49</v>
      </c>
      <c r="O88" s="33" t="n">
        <f>9990</f>
        <v>9990.0</v>
      </c>
      <c r="P88" s="34" t="s">
        <v>192</v>
      </c>
      <c r="Q88" s="33" t="n">
        <f>11970</f>
        <v>11970.0</v>
      </c>
      <c r="R88" s="34" t="s">
        <v>49</v>
      </c>
      <c r="S88" s="35" t="n">
        <f>11164</f>
        <v>11164.0</v>
      </c>
      <c r="T88" s="32" t="n">
        <f>5109</f>
        <v>5109.0</v>
      </c>
      <c r="U88" s="32" t="str">
        <f>"－"</f>
        <v>－</v>
      </c>
      <c r="V88" s="32" t="n">
        <f>55444150</f>
        <v>5.544415E7</v>
      </c>
      <c r="W88" s="32" t="str">
        <f>"－"</f>
        <v>－</v>
      </c>
      <c r="X88" s="36" t="n">
        <f>20</f>
        <v>20.0</v>
      </c>
    </row>
    <row r="89">
      <c r="A89" s="27" t="s">
        <v>42</v>
      </c>
      <c r="B89" s="27" t="s">
        <v>311</v>
      </c>
      <c r="C89" s="27" t="s">
        <v>312</v>
      </c>
      <c r="D89" s="27" t="s">
        <v>313</v>
      </c>
      <c r="E89" s="28" t="s">
        <v>46</v>
      </c>
      <c r="F89" s="29" t="s">
        <v>46</v>
      </c>
      <c r="G89" s="30" t="s">
        <v>46</v>
      </c>
      <c r="H89" s="31"/>
      <c r="I89" s="31" t="s">
        <v>47</v>
      </c>
      <c r="J89" s="32" t="n">
        <v>1.0</v>
      </c>
      <c r="K89" s="33" t="n">
        <f>14900</f>
        <v>14900.0</v>
      </c>
      <c r="L89" s="34" t="s">
        <v>48</v>
      </c>
      <c r="M89" s="33" t="n">
        <f>16100</f>
        <v>16100.0</v>
      </c>
      <c r="N89" s="34" t="s">
        <v>49</v>
      </c>
      <c r="O89" s="33" t="n">
        <f>13930</f>
        <v>13930.0</v>
      </c>
      <c r="P89" s="34" t="s">
        <v>50</v>
      </c>
      <c r="Q89" s="33" t="n">
        <f>15260</f>
        <v>15260.0</v>
      </c>
      <c r="R89" s="34" t="s">
        <v>49</v>
      </c>
      <c r="S89" s="35" t="n">
        <f>14638.1</f>
        <v>14638.1</v>
      </c>
      <c r="T89" s="32" t="n">
        <f>2452</f>
        <v>2452.0</v>
      </c>
      <c r="U89" s="32" t="str">
        <f>"－"</f>
        <v>－</v>
      </c>
      <c r="V89" s="32" t="n">
        <f>35715470</f>
        <v>3.571547E7</v>
      </c>
      <c r="W89" s="32" t="str">
        <f>"－"</f>
        <v>－</v>
      </c>
      <c r="X89" s="36" t="n">
        <f>21</f>
        <v>21.0</v>
      </c>
    </row>
    <row r="90">
      <c r="A90" s="27" t="s">
        <v>42</v>
      </c>
      <c r="B90" s="27" t="s">
        <v>314</v>
      </c>
      <c r="C90" s="27" t="s">
        <v>315</v>
      </c>
      <c r="D90" s="27" t="s">
        <v>316</v>
      </c>
      <c r="E90" s="28" t="s">
        <v>46</v>
      </c>
      <c r="F90" s="29" t="s">
        <v>46</v>
      </c>
      <c r="G90" s="30" t="s">
        <v>46</v>
      </c>
      <c r="H90" s="31"/>
      <c r="I90" s="31" t="s">
        <v>47</v>
      </c>
      <c r="J90" s="32" t="n">
        <v>10.0</v>
      </c>
      <c r="K90" s="33" t="n">
        <f>9070</f>
        <v>9070.0</v>
      </c>
      <c r="L90" s="34" t="s">
        <v>48</v>
      </c>
      <c r="M90" s="33" t="n">
        <f>10120</f>
        <v>10120.0</v>
      </c>
      <c r="N90" s="34" t="s">
        <v>317</v>
      </c>
      <c r="O90" s="33" t="n">
        <f>8600</f>
        <v>8600.0</v>
      </c>
      <c r="P90" s="34" t="s">
        <v>48</v>
      </c>
      <c r="Q90" s="33" t="n">
        <f>9290</f>
        <v>9290.0</v>
      </c>
      <c r="R90" s="34" t="s">
        <v>49</v>
      </c>
      <c r="S90" s="35" t="n">
        <f>9501.43</f>
        <v>9501.43</v>
      </c>
      <c r="T90" s="32" t="n">
        <f>6160</f>
        <v>6160.0</v>
      </c>
      <c r="U90" s="32" t="str">
        <f>"－"</f>
        <v>－</v>
      </c>
      <c r="V90" s="32" t="n">
        <f>58065100</f>
        <v>5.80651E7</v>
      </c>
      <c r="W90" s="32" t="str">
        <f>"－"</f>
        <v>－</v>
      </c>
      <c r="X90" s="36" t="n">
        <f>21</f>
        <v>21.0</v>
      </c>
    </row>
    <row r="91">
      <c r="A91" s="27" t="s">
        <v>42</v>
      </c>
      <c r="B91" s="27" t="s">
        <v>318</v>
      </c>
      <c r="C91" s="27" t="s">
        <v>319</v>
      </c>
      <c r="D91" s="27" t="s">
        <v>320</v>
      </c>
      <c r="E91" s="28" t="s">
        <v>46</v>
      </c>
      <c r="F91" s="29" t="s">
        <v>46</v>
      </c>
      <c r="G91" s="30" t="s">
        <v>46</v>
      </c>
      <c r="H91" s="31"/>
      <c r="I91" s="31" t="s">
        <v>47</v>
      </c>
      <c r="J91" s="32" t="n">
        <v>1.0</v>
      </c>
      <c r="K91" s="33" t="n">
        <f>2449</f>
        <v>2449.0</v>
      </c>
      <c r="L91" s="34" t="s">
        <v>48</v>
      </c>
      <c r="M91" s="33" t="n">
        <f>2543</f>
        <v>2543.0</v>
      </c>
      <c r="N91" s="34" t="s">
        <v>171</v>
      </c>
      <c r="O91" s="33" t="n">
        <f>2356</f>
        <v>2356.0</v>
      </c>
      <c r="P91" s="34" t="s">
        <v>61</v>
      </c>
      <c r="Q91" s="33" t="n">
        <f>2524</f>
        <v>2524.0</v>
      </c>
      <c r="R91" s="34" t="s">
        <v>49</v>
      </c>
      <c r="S91" s="35" t="n">
        <f>2489.43</f>
        <v>2489.43</v>
      </c>
      <c r="T91" s="32" t="n">
        <f>36028</f>
        <v>36028.0</v>
      </c>
      <c r="U91" s="32" t="str">
        <f>"－"</f>
        <v>－</v>
      </c>
      <c r="V91" s="32" t="n">
        <f>88988959</f>
        <v>8.8988959E7</v>
      </c>
      <c r="W91" s="32" t="str">
        <f>"－"</f>
        <v>－</v>
      </c>
      <c r="X91" s="36" t="n">
        <f>21</f>
        <v>21.0</v>
      </c>
    </row>
    <row r="92">
      <c r="A92" s="27" t="s">
        <v>42</v>
      </c>
      <c r="B92" s="27" t="s">
        <v>321</v>
      </c>
      <c r="C92" s="27" t="s">
        <v>322</v>
      </c>
      <c r="D92" s="27" t="s">
        <v>323</v>
      </c>
      <c r="E92" s="28" t="s">
        <v>46</v>
      </c>
      <c r="F92" s="29" t="s">
        <v>46</v>
      </c>
      <c r="G92" s="30" t="s">
        <v>46</v>
      </c>
      <c r="H92" s="31"/>
      <c r="I92" s="31" t="s">
        <v>47</v>
      </c>
      <c r="J92" s="32" t="n">
        <v>1.0</v>
      </c>
      <c r="K92" s="33" t="n">
        <f>2120</f>
        <v>2120.0</v>
      </c>
      <c r="L92" s="34" t="s">
        <v>48</v>
      </c>
      <c r="M92" s="33" t="n">
        <f>2275</f>
        <v>2275.0</v>
      </c>
      <c r="N92" s="34" t="s">
        <v>60</v>
      </c>
      <c r="O92" s="33" t="n">
        <f>1970</f>
        <v>1970.0</v>
      </c>
      <c r="P92" s="34" t="s">
        <v>92</v>
      </c>
      <c r="Q92" s="33" t="n">
        <f>2167</f>
        <v>2167.0</v>
      </c>
      <c r="R92" s="34" t="s">
        <v>49</v>
      </c>
      <c r="S92" s="35" t="n">
        <f>2136.48</f>
        <v>2136.48</v>
      </c>
      <c r="T92" s="32" t="n">
        <f>40139</f>
        <v>40139.0</v>
      </c>
      <c r="U92" s="32" t="str">
        <f>"－"</f>
        <v>－</v>
      </c>
      <c r="V92" s="32" t="n">
        <f>85325178</f>
        <v>8.5325178E7</v>
      </c>
      <c r="W92" s="32" t="str">
        <f>"－"</f>
        <v>－</v>
      </c>
      <c r="X92" s="36" t="n">
        <f>21</f>
        <v>21.0</v>
      </c>
    </row>
    <row r="93">
      <c r="A93" s="27" t="s">
        <v>42</v>
      </c>
      <c r="B93" s="27" t="s">
        <v>324</v>
      </c>
      <c r="C93" s="27" t="s">
        <v>325</v>
      </c>
      <c r="D93" s="27" t="s">
        <v>326</v>
      </c>
      <c r="E93" s="28" t="s">
        <v>46</v>
      </c>
      <c r="F93" s="29" t="s">
        <v>46</v>
      </c>
      <c r="G93" s="30" t="s">
        <v>46</v>
      </c>
      <c r="H93" s="31"/>
      <c r="I93" s="31" t="s">
        <v>47</v>
      </c>
      <c r="J93" s="32" t="n">
        <v>1.0</v>
      </c>
      <c r="K93" s="33" t="n">
        <f>10610</f>
        <v>10610.0</v>
      </c>
      <c r="L93" s="34" t="s">
        <v>48</v>
      </c>
      <c r="M93" s="33" t="n">
        <f>11540</f>
        <v>11540.0</v>
      </c>
      <c r="N93" s="34" t="s">
        <v>49</v>
      </c>
      <c r="O93" s="33" t="n">
        <f>10130</f>
        <v>10130.0</v>
      </c>
      <c r="P93" s="34" t="s">
        <v>50</v>
      </c>
      <c r="Q93" s="33" t="n">
        <f>11240</f>
        <v>11240.0</v>
      </c>
      <c r="R93" s="34" t="s">
        <v>49</v>
      </c>
      <c r="S93" s="35" t="n">
        <f>10811.9</f>
        <v>10811.9</v>
      </c>
      <c r="T93" s="32" t="n">
        <f>629</f>
        <v>629.0</v>
      </c>
      <c r="U93" s="32" t="str">
        <f>"－"</f>
        <v>－</v>
      </c>
      <c r="V93" s="32" t="n">
        <f>6835100</f>
        <v>6835100.0</v>
      </c>
      <c r="W93" s="32" t="str">
        <f>"－"</f>
        <v>－</v>
      </c>
      <c r="X93" s="36" t="n">
        <f>21</f>
        <v>21.0</v>
      </c>
    </row>
    <row r="94">
      <c r="A94" s="27" t="s">
        <v>42</v>
      </c>
      <c r="B94" s="27" t="s">
        <v>327</v>
      </c>
      <c r="C94" s="27" t="s">
        <v>328</v>
      </c>
      <c r="D94" s="27" t="s">
        <v>329</v>
      </c>
      <c r="E94" s="28" t="s">
        <v>46</v>
      </c>
      <c r="F94" s="29" t="s">
        <v>46</v>
      </c>
      <c r="G94" s="30" t="s">
        <v>46</v>
      </c>
      <c r="H94" s="31"/>
      <c r="I94" s="31" t="s">
        <v>47</v>
      </c>
      <c r="J94" s="32" t="n">
        <v>1.0</v>
      </c>
      <c r="K94" s="33" t="n">
        <f>8800</f>
        <v>8800.0</v>
      </c>
      <c r="L94" s="34" t="s">
        <v>48</v>
      </c>
      <c r="M94" s="33" t="n">
        <f>8990</f>
        <v>8990.0</v>
      </c>
      <c r="N94" s="34" t="s">
        <v>91</v>
      </c>
      <c r="O94" s="33" t="n">
        <f>8390</f>
        <v>8390.0</v>
      </c>
      <c r="P94" s="34" t="s">
        <v>107</v>
      </c>
      <c r="Q94" s="33" t="n">
        <f>8530</f>
        <v>8530.0</v>
      </c>
      <c r="R94" s="34" t="s">
        <v>49</v>
      </c>
      <c r="S94" s="35" t="n">
        <f>8682.5</f>
        <v>8682.5</v>
      </c>
      <c r="T94" s="32" t="n">
        <f>125</f>
        <v>125.0</v>
      </c>
      <c r="U94" s="32" t="str">
        <f>"－"</f>
        <v>－</v>
      </c>
      <c r="V94" s="32" t="n">
        <f>1081450</f>
        <v>1081450.0</v>
      </c>
      <c r="W94" s="32" t="str">
        <f>"－"</f>
        <v>－</v>
      </c>
      <c r="X94" s="36" t="n">
        <f>16</f>
        <v>16.0</v>
      </c>
    </row>
    <row r="95">
      <c r="A95" s="27" t="s">
        <v>42</v>
      </c>
      <c r="B95" s="27" t="s">
        <v>330</v>
      </c>
      <c r="C95" s="27" t="s">
        <v>331</v>
      </c>
      <c r="D95" s="27" t="s">
        <v>332</v>
      </c>
      <c r="E95" s="28" t="s">
        <v>46</v>
      </c>
      <c r="F95" s="29" t="s">
        <v>46</v>
      </c>
      <c r="G95" s="30" t="s">
        <v>46</v>
      </c>
      <c r="H95" s="31"/>
      <c r="I95" s="31" t="s">
        <v>47</v>
      </c>
      <c r="J95" s="32" t="n">
        <v>1.0</v>
      </c>
      <c r="K95" s="33" t="n">
        <f>5200</f>
        <v>5200.0</v>
      </c>
      <c r="L95" s="34" t="s">
        <v>48</v>
      </c>
      <c r="M95" s="33" t="n">
        <f>5870</f>
        <v>5870.0</v>
      </c>
      <c r="N95" s="34" t="s">
        <v>91</v>
      </c>
      <c r="O95" s="33" t="n">
        <f>5200</f>
        <v>5200.0</v>
      </c>
      <c r="P95" s="34" t="s">
        <v>48</v>
      </c>
      <c r="Q95" s="33" t="n">
        <f>5630</f>
        <v>5630.0</v>
      </c>
      <c r="R95" s="34" t="s">
        <v>49</v>
      </c>
      <c r="S95" s="35" t="n">
        <f>5607.14</f>
        <v>5607.14</v>
      </c>
      <c r="T95" s="32" t="n">
        <f>3009454</f>
        <v>3009454.0</v>
      </c>
      <c r="U95" s="32" t="n">
        <f>132227</f>
        <v>132227.0</v>
      </c>
      <c r="V95" s="32" t="n">
        <f>16946019529</f>
        <v>1.6946019529E10</v>
      </c>
      <c r="W95" s="32" t="n">
        <f>735963729</f>
        <v>7.35963729E8</v>
      </c>
      <c r="X95" s="36" t="n">
        <f>21</f>
        <v>21.0</v>
      </c>
    </row>
    <row r="96">
      <c r="A96" s="27" t="s">
        <v>42</v>
      </c>
      <c r="B96" s="27" t="s">
        <v>333</v>
      </c>
      <c r="C96" s="27" t="s">
        <v>334</v>
      </c>
      <c r="D96" s="27" t="s">
        <v>335</v>
      </c>
      <c r="E96" s="28" t="s">
        <v>46</v>
      </c>
      <c r="F96" s="29" t="s">
        <v>46</v>
      </c>
      <c r="G96" s="30" t="s">
        <v>46</v>
      </c>
      <c r="H96" s="31"/>
      <c r="I96" s="31" t="s">
        <v>47</v>
      </c>
      <c r="J96" s="32" t="n">
        <v>1.0</v>
      </c>
      <c r="K96" s="33" t="n">
        <f>2475</f>
        <v>2475.0</v>
      </c>
      <c r="L96" s="34" t="s">
        <v>48</v>
      </c>
      <c r="M96" s="33" t="n">
        <f>2818</f>
        <v>2818.0</v>
      </c>
      <c r="N96" s="34" t="s">
        <v>65</v>
      </c>
      <c r="O96" s="33" t="n">
        <f>2400</f>
        <v>2400.0</v>
      </c>
      <c r="P96" s="34" t="s">
        <v>61</v>
      </c>
      <c r="Q96" s="33" t="n">
        <f>2557</f>
        <v>2557.0</v>
      </c>
      <c r="R96" s="34" t="s">
        <v>49</v>
      </c>
      <c r="S96" s="35" t="n">
        <f>2585.48</f>
        <v>2585.48</v>
      </c>
      <c r="T96" s="32" t="n">
        <f>427625</f>
        <v>427625.0</v>
      </c>
      <c r="U96" s="32" t="str">
        <f>"－"</f>
        <v>－</v>
      </c>
      <c r="V96" s="32" t="n">
        <f>1122516515</f>
        <v>1.122516515E9</v>
      </c>
      <c r="W96" s="32" t="str">
        <f>"－"</f>
        <v>－</v>
      </c>
      <c r="X96" s="36" t="n">
        <f>21</f>
        <v>21.0</v>
      </c>
    </row>
    <row r="97">
      <c r="A97" s="27" t="s">
        <v>42</v>
      </c>
      <c r="B97" s="27" t="s">
        <v>336</v>
      </c>
      <c r="C97" s="27" t="s">
        <v>337</v>
      </c>
      <c r="D97" s="27" t="s">
        <v>338</v>
      </c>
      <c r="E97" s="28" t="s">
        <v>46</v>
      </c>
      <c r="F97" s="29" t="s">
        <v>46</v>
      </c>
      <c r="G97" s="30" t="s">
        <v>46</v>
      </c>
      <c r="H97" s="31"/>
      <c r="I97" s="31" t="s">
        <v>47</v>
      </c>
      <c r="J97" s="32" t="n">
        <v>1.0</v>
      </c>
      <c r="K97" s="33" t="n">
        <f>4765</f>
        <v>4765.0</v>
      </c>
      <c r="L97" s="34" t="s">
        <v>48</v>
      </c>
      <c r="M97" s="33" t="n">
        <f>5620</f>
        <v>5620.0</v>
      </c>
      <c r="N97" s="34" t="s">
        <v>171</v>
      </c>
      <c r="O97" s="33" t="n">
        <f>4550</f>
        <v>4550.0</v>
      </c>
      <c r="P97" s="34" t="s">
        <v>61</v>
      </c>
      <c r="Q97" s="33" t="n">
        <f>5000</f>
        <v>5000.0</v>
      </c>
      <c r="R97" s="34" t="s">
        <v>49</v>
      </c>
      <c r="S97" s="35" t="n">
        <f>5087.14</f>
        <v>5087.14</v>
      </c>
      <c r="T97" s="32" t="n">
        <f>106927</f>
        <v>106927.0</v>
      </c>
      <c r="U97" s="32" t="n">
        <f>9</f>
        <v>9.0</v>
      </c>
      <c r="V97" s="32" t="n">
        <f>556051965</f>
        <v>5.56051965E8</v>
      </c>
      <c r="W97" s="32" t="n">
        <f>49410</f>
        <v>49410.0</v>
      </c>
      <c r="X97" s="36" t="n">
        <f>21</f>
        <v>21.0</v>
      </c>
    </row>
    <row r="98">
      <c r="A98" s="27" t="s">
        <v>42</v>
      </c>
      <c r="B98" s="27" t="s">
        <v>339</v>
      </c>
      <c r="C98" s="27" t="s">
        <v>340</v>
      </c>
      <c r="D98" s="27" t="s">
        <v>341</v>
      </c>
      <c r="E98" s="28" t="s">
        <v>46</v>
      </c>
      <c r="F98" s="29" t="s">
        <v>46</v>
      </c>
      <c r="G98" s="30" t="s">
        <v>46</v>
      </c>
      <c r="H98" s="31"/>
      <c r="I98" s="31" t="s">
        <v>47</v>
      </c>
      <c r="J98" s="32" t="n">
        <v>1.0</v>
      </c>
      <c r="K98" s="33" t="n">
        <f>75000</f>
        <v>75000.0</v>
      </c>
      <c r="L98" s="34" t="s">
        <v>48</v>
      </c>
      <c r="M98" s="33" t="n">
        <f>75000</f>
        <v>75000.0</v>
      </c>
      <c r="N98" s="34" t="s">
        <v>48</v>
      </c>
      <c r="O98" s="33" t="n">
        <f>61300</f>
        <v>61300.0</v>
      </c>
      <c r="P98" s="34" t="s">
        <v>181</v>
      </c>
      <c r="Q98" s="33" t="n">
        <f>64200</f>
        <v>64200.0</v>
      </c>
      <c r="R98" s="34" t="s">
        <v>49</v>
      </c>
      <c r="S98" s="35" t="n">
        <f>69442.86</f>
        <v>69442.86</v>
      </c>
      <c r="T98" s="32" t="n">
        <f>4104</f>
        <v>4104.0</v>
      </c>
      <c r="U98" s="32" t="n">
        <f>5</f>
        <v>5.0</v>
      </c>
      <c r="V98" s="32" t="n">
        <f>280668400</f>
        <v>2.806684E8</v>
      </c>
      <c r="W98" s="32" t="n">
        <f>365000</f>
        <v>365000.0</v>
      </c>
      <c r="X98" s="36" t="n">
        <f>21</f>
        <v>21.0</v>
      </c>
    </row>
    <row r="99">
      <c r="A99" s="27" t="s">
        <v>42</v>
      </c>
      <c r="B99" s="27" t="s">
        <v>342</v>
      </c>
      <c r="C99" s="27" t="s">
        <v>343</v>
      </c>
      <c r="D99" s="27" t="s">
        <v>344</v>
      </c>
      <c r="E99" s="28" t="s">
        <v>46</v>
      </c>
      <c r="F99" s="29" t="s">
        <v>46</v>
      </c>
      <c r="G99" s="30" t="s">
        <v>46</v>
      </c>
      <c r="H99" s="31"/>
      <c r="I99" s="31" t="s">
        <v>47</v>
      </c>
      <c r="J99" s="32" t="n">
        <v>10.0</v>
      </c>
      <c r="K99" s="33" t="n">
        <f>8420</f>
        <v>8420.0</v>
      </c>
      <c r="L99" s="34" t="s">
        <v>48</v>
      </c>
      <c r="M99" s="33" t="n">
        <f>9890</f>
        <v>9890.0</v>
      </c>
      <c r="N99" s="34" t="s">
        <v>49</v>
      </c>
      <c r="O99" s="33" t="n">
        <f>8140</f>
        <v>8140.0</v>
      </c>
      <c r="P99" s="34" t="s">
        <v>61</v>
      </c>
      <c r="Q99" s="33" t="n">
        <f>9860</f>
        <v>9860.0</v>
      </c>
      <c r="R99" s="34" t="s">
        <v>49</v>
      </c>
      <c r="S99" s="35" t="n">
        <f>9164.76</f>
        <v>9164.76</v>
      </c>
      <c r="T99" s="32" t="n">
        <f>946490</f>
        <v>946490.0</v>
      </c>
      <c r="U99" s="32" t="n">
        <f>460</f>
        <v>460.0</v>
      </c>
      <c r="V99" s="32" t="n">
        <f>8800731231</f>
        <v>8.800731231E9</v>
      </c>
      <c r="W99" s="32" t="n">
        <f>4191931</f>
        <v>4191931.0</v>
      </c>
      <c r="X99" s="36" t="n">
        <f>21</f>
        <v>21.0</v>
      </c>
    </row>
    <row r="100">
      <c r="A100" s="27" t="s">
        <v>42</v>
      </c>
      <c r="B100" s="27" t="s">
        <v>345</v>
      </c>
      <c r="C100" s="27" t="s">
        <v>346</v>
      </c>
      <c r="D100" s="27" t="s">
        <v>347</v>
      </c>
      <c r="E100" s="28" t="s">
        <v>46</v>
      </c>
      <c r="F100" s="29" t="s">
        <v>46</v>
      </c>
      <c r="G100" s="30" t="s">
        <v>46</v>
      </c>
      <c r="H100" s="31"/>
      <c r="I100" s="31" t="s">
        <v>47</v>
      </c>
      <c r="J100" s="32" t="n">
        <v>1.0</v>
      </c>
      <c r="K100" s="33" t="n">
        <f>22660</f>
        <v>22660.0</v>
      </c>
      <c r="L100" s="34" t="s">
        <v>48</v>
      </c>
      <c r="M100" s="33" t="n">
        <f>25840</f>
        <v>25840.0</v>
      </c>
      <c r="N100" s="34" t="s">
        <v>49</v>
      </c>
      <c r="O100" s="33" t="n">
        <f>21930</f>
        <v>21930.0</v>
      </c>
      <c r="P100" s="34" t="s">
        <v>61</v>
      </c>
      <c r="Q100" s="33" t="n">
        <f>25750</f>
        <v>25750.0</v>
      </c>
      <c r="R100" s="34" t="s">
        <v>49</v>
      </c>
      <c r="S100" s="35" t="n">
        <f>24417.62</f>
        <v>24417.62</v>
      </c>
      <c r="T100" s="32" t="n">
        <f>333669</f>
        <v>333669.0</v>
      </c>
      <c r="U100" s="32" t="n">
        <f>77</f>
        <v>77.0</v>
      </c>
      <c r="V100" s="32" t="n">
        <f>8140226974</f>
        <v>8.140226974E9</v>
      </c>
      <c r="W100" s="32" t="n">
        <f>1891084</f>
        <v>1891084.0</v>
      </c>
      <c r="X100" s="36" t="n">
        <f>21</f>
        <v>21.0</v>
      </c>
    </row>
    <row r="101">
      <c r="A101" s="27" t="s">
        <v>42</v>
      </c>
      <c r="B101" s="27" t="s">
        <v>348</v>
      </c>
      <c r="C101" s="27" t="s">
        <v>349</v>
      </c>
      <c r="D101" s="27" t="s">
        <v>350</v>
      </c>
      <c r="E101" s="28" t="s">
        <v>46</v>
      </c>
      <c r="F101" s="29" t="s">
        <v>46</v>
      </c>
      <c r="G101" s="30" t="s">
        <v>46</v>
      </c>
      <c r="H101" s="31"/>
      <c r="I101" s="31" t="s">
        <v>47</v>
      </c>
      <c r="J101" s="32" t="n">
        <v>10.0</v>
      </c>
      <c r="K101" s="33" t="n">
        <f>2968</f>
        <v>2968.0</v>
      </c>
      <c r="L101" s="34" t="s">
        <v>48</v>
      </c>
      <c r="M101" s="33" t="n">
        <f>3425</f>
        <v>3425.0</v>
      </c>
      <c r="N101" s="34" t="s">
        <v>49</v>
      </c>
      <c r="O101" s="33" t="n">
        <f>2875</f>
        <v>2875.0</v>
      </c>
      <c r="P101" s="34" t="s">
        <v>61</v>
      </c>
      <c r="Q101" s="33" t="n">
        <f>3415</f>
        <v>3415.0</v>
      </c>
      <c r="R101" s="34" t="s">
        <v>49</v>
      </c>
      <c r="S101" s="35" t="n">
        <f>3210.52</f>
        <v>3210.52</v>
      </c>
      <c r="T101" s="32" t="n">
        <f>1200670</f>
        <v>1200670.0</v>
      </c>
      <c r="U101" s="32" t="n">
        <f>350</f>
        <v>350.0</v>
      </c>
      <c r="V101" s="32" t="n">
        <f>3898825085</f>
        <v>3.898825085E9</v>
      </c>
      <c r="W101" s="32" t="n">
        <f>1167005</f>
        <v>1167005.0</v>
      </c>
      <c r="X101" s="36" t="n">
        <f>21</f>
        <v>21.0</v>
      </c>
    </row>
    <row r="102">
      <c r="A102" s="27" t="s">
        <v>42</v>
      </c>
      <c r="B102" s="27" t="s">
        <v>351</v>
      </c>
      <c r="C102" s="27" t="s">
        <v>352</v>
      </c>
      <c r="D102" s="27" t="s">
        <v>353</v>
      </c>
      <c r="E102" s="28" t="s">
        <v>46</v>
      </c>
      <c r="F102" s="29" t="s">
        <v>46</v>
      </c>
      <c r="G102" s="30" t="s">
        <v>46</v>
      </c>
      <c r="H102" s="31"/>
      <c r="I102" s="31" t="s">
        <v>47</v>
      </c>
      <c r="J102" s="32" t="n">
        <v>10.0</v>
      </c>
      <c r="K102" s="33" t="n">
        <f>2004</f>
        <v>2004.0</v>
      </c>
      <c r="L102" s="34" t="s">
        <v>48</v>
      </c>
      <c r="M102" s="33" t="n">
        <f>2274</f>
        <v>2274.0</v>
      </c>
      <c r="N102" s="34" t="s">
        <v>49</v>
      </c>
      <c r="O102" s="33" t="n">
        <f>1937</f>
        <v>1937.0</v>
      </c>
      <c r="P102" s="34" t="s">
        <v>61</v>
      </c>
      <c r="Q102" s="33" t="n">
        <f>2268</f>
        <v>2268.0</v>
      </c>
      <c r="R102" s="34" t="s">
        <v>49</v>
      </c>
      <c r="S102" s="35" t="n">
        <f>2125.29</f>
        <v>2125.29</v>
      </c>
      <c r="T102" s="32" t="n">
        <f>261690</f>
        <v>261690.0</v>
      </c>
      <c r="U102" s="32" t="n">
        <f>23020</f>
        <v>23020.0</v>
      </c>
      <c r="V102" s="32" t="n">
        <f>559530491</f>
        <v>5.59530491E8</v>
      </c>
      <c r="W102" s="32" t="n">
        <f>49872441</f>
        <v>4.9872441E7</v>
      </c>
      <c r="X102" s="36" t="n">
        <f>21</f>
        <v>21.0</v>
      </c>
    </row>
    <row r="103">
      <c r="A103" s="27" t="s">
        <v>42</v>
      </c>
      <c r="B103" s="27" t="s">
        <v>354</v>
      </c>
      <c r="C103" s="27" t="s">
        <v>355</v>
      </c>
      <c r="D103" s="27" t="s">
        <v>356</v>
      </c>
      <c r="E103" s="28" t="s">
        <v>46</v>
      </c>
      <c r="F103" s="29" t="s">
        <v>46</v>
      </c>
      <c r="G103" s="30" t="s">
        <v>46</v>
      </c>
      <c r="H103" s="31"/>
      <c r="I103" s="31" t="s">
        <v>47</v>
      </c>
      <c r="J103" s="32" t="n">
        <v>10.0</v>
      </c>
      <c r="K103" s="33" t="n">
        <f>3270</f>
        <v>3270.0</v>
      </c>
      <c r="L103" s="34" t="s">
        <v>48</v>
      </c>
      <c r="M103" s="33" t="n">
        <f>3700</f>
        <v>3700.0</v>
      </c>
      <c r="N103" s="34" t="s">
        <v>49</v>
      </c>
      <c r="O103" s="33" t="n">
        <f>3080</f>
        <v>3080.0</v>
      </c>
      <c r="P103" s="34" t="s">
        <v>92</v>
      </c>
      <c r="Q103" s="33" t="n">
        <f>3665</f>
        <v>3665.0</v>
      </c>
      <c r="R103" s="34" t="s">
        <v>49</v>
      </c>
      <c r="S103" s="35" t="n">
        <f>3433.57</f>
        <v>3433.57</v>
      </c>
      <c r="T103" s="32" t="n">
        <f>36170</f>
        <v>36170.0</v>
      </c>
      <c r="U103" s="32" t="str">
        <f>"－"</f>
        <v>－</v>
      </c>
      <c r="V103" s="32" t="n">
        <f>124310300</f>
        <v>1.243103E8</v>
      </c>
      <c r="W103" s="32" t="str">
        <f>"－"</f>
        <v>－</v>
      </c>
      <c r="X103" s="36" t="n">
        <f>21</f>
        <v>21.0</v>
      </c>
    </row>
    <row r="104">
      <c r="A104" s="27" t="s">
        <v>42</v>
      </c>
      <c r="B104" s="27" t="s">
        <v>357</v>
      </c>
      <c r="C104" s="27" t="s">
        <v>358</v>
      </c>
      <c r="D104" s="27" t="s">
        <v>359</v>
      </c>
      <c r="E104" s="28" t="s">
        <v>46</v>
      </c>
      <c r="F104" s="29" t="s">
        <v>46</v>
      </c>
      <c r="G104" s="30" t="s">
        <v>46</v>
      </c>
      <c r="H104" s="31"/>
      <c r="I104" s="31" t="s">
        <v>47</v>
      </c>
      <c r="J104" s="32" t="n">
        <v>1.0</v>
      </c>
      <c r="K104" s="33" t="n">
        <f>16340</f>
        <v>16340.0</v>
      </c>
      <c r="L104" s="34" t="s">
        <v>48</v>
      </c>
      <c r="M104" s="33" t="n">
        <f>16940</f>
        <v>16940.0</v>
      </c>
      <c r="N104" s="34" t="s">
        <v>61</v>
      </c>
      <c r="O104" s="33" t="n">
        <f>12120</f>
        <v>12120.0</v>
      </c>
      <c r="P104" s="34" t="s">
        <v>49</v>
      </c>
      <c r="Q104" s="33" t="n">
        <f>12220</f>
        <v>12220.0</v>
      </c>
      <c r="R104" s="34" t="s">
        <v>49</v>
      </c>
      <c r="S104" s="35" t="n">
        <f>14497.62</f>
        <v>14497.62</v>
      </c>
      <c r="T104" s="32" t="n">
        <f>5554853</f>
        <v>5554853.0</v>
      </c>
      <c r="U104" s="32" t="n">
        <f>6001</f>
        <v>6001.0</v>
      </c>
      <c r="V104" s="32" t="n">
        <f>83032591684</f>
        <v>8.3032591684E10</v>
      </c>
      <c r="W104" s="32" t="n">
        <f>85661604</f>
        <v>8.5661604E7</v>
      </c>
      <c r="X104" s="36" t="n">
        <f>21</f>
        <v>21.0</v>
      </c>
    </row>
    <row r="105">
      <c r="A105" s="27" t="s">
        <v>42</v>
      </c>
      <c r="B105" s="27" t="s">
        <v>360</v>
      </c>
      <c r="C105" s="27" t="s">
        <v>361</v>
      </c>
      <c r="D105" s="27" t="s">
        <v>362</v>
      </c>
      <c r="E105" s="28" t="s">
        <v>46</v>
      </c>
      <c r="F105" s="29" t="s">
        <v>46</v>
      </c>
      <c r="G105" s="30" t="s">
        <v>46</v>
      </c>
      <c r="H105" s="31"/>
      <c r="I105" s="31" t="s">
        <v>47</v>
      </c>
      <c r="J105" s="32" t="n">
        <v>10.0</v>
      </c>
      <c r="K105" s="33" t="n">
        <f>1728</f>
        <v>1728.0</v>
      </c>
      <c r="L105" s="34" t="s">
        <v>48</v>
      </c>
      <c r="M105" s="33" t="n">
        <f>1967</f>
        <v>1967.0</v>
      </c>
      <c r="N105" s="34" t="s">
        <v>49</v>
      </c>
      <c r="O105" s="33" t="n">
        <f>1650</f>
        <v>1650.0</v>
      </c>
      <c r="P105" s="34" t="s">
        <v>61</v>
      </c>
      <c r="Q105" s="33" t="n">
        <f>1964</f>
        <v>1964.0</v>
      </c>
      <c r="R105" s="34" t="s">
        <v>49</v>
      </c>
      <c r="S105" s="35" t="n">
        <f>1838</f>
        <v>1838.0</v>
      </c>
      <c r="T105" s="32" t="n">
        <f>124730</f>
        <v>124730.0</v>
      </c>
      <c r="U105" s="32" t="n">
        <f>380</f>
        <v>380.0</v>
      </c>
      <c r="V105" s="32" t="n">
        <f>229142950</f>
        <v>2.2914295E8</v>
      </c>
      <c r="W105" s="32" t="n">
        <f>674120</f>
        <v>674120.0</v>
      </c>
      <c r="X105" s="36" t="n">
        <f>21</f>
        <v>21.0</v>
      </c>
    </row>
    <row r="106">
      <c r="A106" s="27" t="s">
        <v>42</v>
      </c>
      <c r="B106" s="27" t="s">
        <v>363</v>
      </c>
      <c r="C106" s="27" t="s">
        <v>364</v>
      </c>
      <c r="D106" s="27" t="s">
        <v>365</v>
      </c>
      <c r="E106" s="28" t="s">
        <v>46</v>
      </c>
      <c r="F106" s="29" t="s">
        <v>46</v>
      </c>
      <c r="G106" s="30" t="s">
        <v>46</v>
      </c>
      <c r="H106" s="31"/>
      <c r="I106" s="31" t="s">
        <v>47</v>
      </c>
      <c r="J106" s="32" t="n">
        <v>10.0</v>
      </c>
      <c r="K106" s="33" t="n">
        <f>980</f>
        <v>980.0</v>
      </c>
      <c r="L106" s="34" t="s">
        <v>48</v>
      </c>
      <c r="M106" s="33" t="n">
        <f>1157</f>
        <v>1157.0</v>
      </c>
      <c r="N106" s="34" t="s">
        <v>171</v>
      </c>
      <c r="O106" s="33" t="n">
        <f>900</f>
        <v>900.0</v>
      </c>
      <c r="P106" s="34" t="s">
        <v>61</v>
      </c>
      <c r="Q106" s="33" t="n">
        <f>1094</f>
        <v>1094.0</v>
      </c>
      <c r="R106" s="34" t="s">
        <v>49</v>
      </c>
      <c r="S106" s="35" t="n">
        <f>1041.52</f>
        <v>1041.52</v>
      </c>
      <c r="T106" s="32" t="n">
        <f>690470</f>
        <v>690470.0</v>
      </c>
      <c r="U106" s="32" t="str">
        <f>"－"</f>
        <v>－</v>
      </c>
      <c r="V106" s="32" t="n">
        <f>717786420</f>
        <v>7.1778642E8</v>
      </c>
      <c r="W106" s="32" t="str">
        <f>"－"</f>
        <v>－</v>
      </c>
      <c r="X106" s="36" t="n">
        <f>21</f>
        <v>21.0</v>
      </c>
    </row>
    <row r="107">
      <c r="A107" s="27" t="s">
        <v>42</v>
      </c>
      <c r="B107" s="27" t="s">
        <v>366</v>
      </c>
      <c r="C107" s="27" t="s">
        <v>367</v>
      </c>
      <c r="D107" s="27" t="s">
        <v>368</v>
      </c>
      <c r="E107" s="28" t="s">
        <v>46</v>
      </c>
      <c r="F107" s="29" t="s">
        <v>46</v>
      </c>
      <c r="G107" s="30" t="s">
        <v>46</v>
      </c>
      <c r="H107" s="31"/>
      <c r="I107" s="31" t="s">
        <v>47</v>
      </c>
      <c r="J107" s="32" t="n">
        <v>1.0</v>
      </c>
      <c r="K107" s="33" t="n">
        <f>27340</f>
        <v>27340.0</v>
      </c>
      <c r="L107" s="34" t="s">
        <v>48</v>
      </c>
      <c r="M107" s="33" t="n">
        <f>31600</f>
        <v>31600.0</v>
      </c>
      <c r="N107" s="34" t="s">
        <v>49</v>
      </c>
      <c r="O107" s="33" t="n">
        <f>26400</f>
        <v>26400.0</v>
      </c>
      <c r="P107" s="34" t="s">
        <v>61</v>
      </c>
      <c r="Q107" s="33" t="n">
        <f>31500</f>
        <v>31500.0</v>
      </c>
      <c r="R107" s="34" t="s">
        <v>49</v>
      </c>
      <c r="S107" s="35" t="n">
        <f>29585.71</f>
        <v>29585.71</v>
      </c>
      <c r="T107" s="32" t="n">
        <f>233969</f>
        <v>233969.0</v>
      </c>
      <c r="U107" s="32" t="n">
        <f>29</f>
        <v>29.0</v>
      </c>
      <c r="V107" s="32" t="n">
        <f>6923851430</f>
        <v>6.92385143E9</v>
      </c>
      <c r="W107" s="32" t="n">
        <f>774880</f>
        <v>774880.0</v>
      </c>
      <c r="X107" s="36" t="n">
        <f>21</f>
        <v>21.0</v>
      </c>
    </row>
    <row r="108">
      <c r="A108" s="27" t="s">
        <v>42</v>
      </c>
      <c r="B108" s="27" t="s">
        <v>369</v>
      </c>
      <c r="C108" s="27" t="s">
        <v>370</v>
      </c>
      <c r="D108" s="27" t="s">
        <v>371</v>
      </c>
      <c r="E108" s="28" t="s">
        <v>46</v>
      </c>
      <c r="F108" s="29" t="s">
        <v>46</v>
      </c>
      <c r="G108" s="30" t="s">
        <v>46</v>
      </c>
      <c r="H108" s="31"/>
      <c r="I108" s="31" t="s">
        <v>47</v>
      </c>
      <c r="J108" s="32" t="n">
        <v>1.0</v>
      </c>
      <c r="K108" s="33" t="n">
        <f>2488</f>
        <v>2488.0</v>
      </c>
      <c r="L108" s="34" t="s">
        <v>48</v>
      </c>
      <c r="M108" s="33" t="n">
        <f>2675</f>
        <v>2675.0</v>
      </c>
      <c r="N108" s="34" t="s">
        <v>188</v>
      </c>
      <c r="O108" s="33" t="n">
        <f>2250</f>
        <v>2250.0</v>
      </c>
      <c r="P108" s="34" t="s">
        <v>61</v>
      </c>
      <c r="Q108" s="33" t="n">
        <f>2643</f>
        <v>2643.0</v>
      </c>
      <c r="R108" s="34" t="s">
        <v>49</v>
      </c>
      <c r="S108" s="35" t="n">
        <f>2545.48</f>
        <v>2545.48</v>
      </c>
      <c r="T108" s="32" t="n">
        <f>10405</f>
        <v>10405.0</v>
      </c>
      <c r="U108" s="32" t="n">
        <f>6</f>
        <v>6.0</v>
      </c>
      <c r="V108" s="32" t="n">
        <f>25993489</f>
        <v>2.5993489E7</v>
      </c>
      <c r="W108" s="32" t="n">
        <f>15109</f>
        <v>15109.0</v>
      </c>
      <c r="X108" s="36" t="n">
        <f>21</f>
        <v>21.0</v>
      </c>
    </row>
    <row r="109">
      <c r="A109" s="27" t="s">
        <v>42</v>
      </c>
      <c r="B109" s="27" t="s">
        <v>372</v>
      </c>
      <c r="C109" s="27" t="s">
        <v>373</v>
      </c>
      <c r="D109" s="27" t="s">
        <v>374</v>
      </c>
      <c r="E109" s="28" t="s">
        <v>46</v>
      </c>
      <c r="F109" s="29" t="s">
        <v>46</v>
      </c>
      <c r="G109" s="30" t="s">
        <v>46</v>
      </c>
      <c r="H109" s="31"/>
      <c r="I109" s="31" t="s">
        <v>47</v>
      </c>
      <c r="J109" s="32" t="n">
        <v>1.0</v>
      </c>
      <c r="K109" s="33" t="n">
        <f>3250</f>
        <v>3250.0</v>
      </c>
      <c r="L109" s="34" t="s">
        <v>48</v>
      </c>
      <c r="M109" s="33" t="n">
        <f>3490</f>
        <v>3490.0</v>
      </c>
      <c r="N109" s="34" t="s">
        <v>171</v>
      </c>
      <c r="O109" s="33" t="n">
        <f>3110</f>
        <v>3110.0</v>
      </c>
      <c r="P109" s="34" t="s">
        <v>61</v>
      </c>
      <c r="Q109" s="33" t="n">
        <f>3380</f>
        <v>3380.0</v>
      </c>
      <c r="R109" s="34" t="s">
        <v>49</v>
      </c>
      <c r="S109" s="35" t="n">
        <f>3304.52</f>
        <v>3304.52</v>
      </c>
      <c r="T109" s="32" t="n">
        <f>3893</f>
        <v>3893.0</v>
      </c>
      <c r="U109" s="32" t="str">
        <f>"－"</f>
        <v>－</v>
      </c>
      <c r="V109" s="32" t="n">
        <f>12879195</f>
        <v>1.2879195E7</v>
      </c>
      <c r="W109" s="32" t="str">
        <f>"－"</f>
        <v>－</v>
      </c>
      <c r="X109" s="36" t="n">
        <f>21</f>
        <v>21.0</v>
      </c>
    </row>
    <row r="110">
      <c r="A110" s="27" t="s">
        <v>42</v>
      </c>
      <c r="B110" s="27" t="s">
        <v>375</v>
      </c>
      <c r="C110" s="27" t="s">
        <v>376</v>
      </c>
      <c r="D110" s="27" t="s">
        <v>377</v>
      </c>
      <c r="E110" s="28" t="s">
        <v>46</v>
      </c>
      <c r="F110" s="29" t="s">
        <v>46</v>
      </c>
      <c r="G110" s="30" t="s">
        <v>46</v>
      </c>
      <c r="H110" s="31"/>
      <c r="I110" s="31" t="s">
        <v>47</v>
      </c>
      <c r="J110" s="32" t="n">
        <v>1.0</v>
      </c>
      <c r="K110" s="33" t="n">
        <f>1963</f>
        <v>1963.0</v>
      </c>
      <c r="L110" s="34" t="s">
        <v>48</v>
      </c>
      <c r="M110" s="33" t="n">
        <f>2280</f>
        <v>2280.0</v>
      </c>
      <c r="N110" s="34" t="s">
        <v>73</v>
      </c>
      <c r="O110" s="33" t="n">
        <f>1830</f>
        <v>1830.0</v>
      </c>
      <c r="P110" s="34" t="s">
        <v>92</v>
      </c>
      <c r="Q110" s="33" t="n">
        <f>2237</f>
        <v>2237.0</v>
      </c>
      <c r="R110" s="34" t="s">
        <v>49</v>
      </c>
      <c r="S110" s="35" t="n">
        <f>2069.24</f>
        <v>2069.24</v>
      </c>
      <c r="T110" s="32" t="n">
        <f>141473</f>
        <v>141473.0</v>
      </c>
      <c r="U110" s="32" t="n">
        <f>10</f>
        <v>10.0</v>
      </c>
      <c r="V110" s="32" t="n">
        <f>298384916</f>
        <v>2.98384916E8</v>
      </c>
      <c r="W110" s="32" t="n">
        <f>20300</f>
        <v>20300.0</v>
      </c>
      <c r="X110" s="36" t="n">
        <f>21</f>
        <v>21.0</v>
      </c>
    </row>
    <row r="111">
      <c r="A111" s="27" t="s">
        <v>42</v>
      </c>
      <c r="B111" s="27" t="s">
        <v>378</v>
      </c>
      <c r="C111" s="27" t="s">
        <v>379</v>
      </c>
      <c r="D111" s="27" t="s">
        <v>380</v>
      </c>
      <c r="E111" s="28" t="s">
        <v>46</v>
      </c>
      <c r="F111" s="29" t="s">
        <v>46</v>
      </c>
      <c r="G111" s="30" t="s">
        <v>46</v>
      </c>
      <c r="H111" s="31"/>
      <c r="I111" s="31" t="s">
        <v>47</v>
      </c>
      <c r="J111" s="32" t="n">
        <v>1.0</v>
      </c>
      <c r="K111" s="33" t="n">
        <f>41000</f>
        <v>41000.0</v>
      </c>
      <c r="L111" s="34" t="s">
        <v>48</v>
      </c>
      <c r="M111" s="33" t="n">
        <f>42300</f>
        <v>42300.0</v>
      </c>
      <c r="N111" s="34" t="s">
        <v>60</v>
      </c>
      <c r="O111" s="33" t="n">
        <f>41000</f>
        <v>41000.0</v>
      </c>
      <c r="P111" s="34" t="s">
        <v>48</v>
      </c>
      <c r="Q111" s="33" t="n">
        <f>42100</f>
        <v>42100.0</v>
      </c>
      <c r="R111" s="34" t="s">
        <v>49</v>
      </c>
      <c r="S111" s="35" t="n">
        <f>41857.14</f>
        <v>41857.14</v>
      </c>
      <c r="T111" s="32" t="n">
        <f>21233</f>
        <v>21233.0</v>
      </c>
      <c r="U111" s="32" t="n">
        <f>6113</f>
        <v>6113.0</v>
      </c>
      <c r="V111" s="32" t="n">
        <f>886604994</f>
        <v>8.86604994E8</v>
      </c>
      <c r="W111" s="32" t="n">
        <f>256031544</f>
        <v>2.56031544E8</v>
      </c>
      <c r="X111" s="36" t="n">
        <f>21</f>
        <v>21.0</v>
      </c>
    </row>
    <row r="112">
      <c r="A112" s="27" t="s">
        <v>42</v>
      </c>
      <c r="B112" s="27" t="s">
        <v>381</v>
      </c>
      <c r="C112" s="27" t="s">
        <v>382</v>
      </c>
      <c r="D112" s="27" t="s">
        <v>383</v>
      </c>
      <c r="E112" s="28" t="s">
        <v>46</v>
      </c>
      <c r="F112" s="29" t="s">
        <v>46</v>
      </c>
      <c r="G112" s="30" t="s">
        <v>46</v>
      </c>
      <c r="H112" s="31"/>
      <c r="I112" s="31" t="s">
        <v>47</v>
      </c>
      <c r="J112" s="32" t="n">
        <v>10.0</v>
      </c>
      <c r="K112" s="33" t="n">
        <f>984</f>
        <v>984.0</v>
      </c>
      <c r="L112" s="34" t="s">
        <v>61</v>
      </c>
      <c r="M112" s="33" t="n">
        <f>1116</f>
        <v>1116.0</v>
      </c>
      <c r="N112" s="34" t="s">
        <v>96</v>
      </c>
      <c r="O112" s="33" t="n">
        <f>984</f>
        <v>984.0</v>
      </c>
      <c r="P112" s="34" t="s">
        <v>61</v>
      </c>
      <c r="Q112" s="33" t="n">
        <f>1092</f>
        <v>1092.0</v>
      </c>
      <c r="R112" s="34" t="s">
        <v>49</v>
      </c>
      <c r="S112" s="35" t="n">
        <f>1083.25</f>
        <v>1083.25</v>
      </c>
      <c r="T112" s="32" t="n">
        <f>620</f>
        <v>620.0</v>
      </c>
      <c r="U112" s="32" t="str">
        <f>"－"</f>
        <v>－</v>
      </c>
      <c r="V112" s="32" t="n">
        <f>647960</f>
        <v>647960.0</v>
      </c>
      <c r="W112" s="32" t="str">
        <f>"－"</f>
        <v>－</v>
      </c>
      <c r="X112" s="36" t="n">
        <f>8</f>
        <v>8.0</v>
      </c>
    </row>
    <row r="113">
      <c r="A113" s="27" t="s">
        <v>42</v>
      </c>
      <c r="B113" s="27" t="s">
        <v>384</v>
      </c>
      <c r="C113" s="27" t="s">
        <v>385</v>
      </c>
      <c r="D113" s="27" t="s">
        <v>386</v>
      </c>
      <c r="E113" s="28" t="s">
        <v>46</v>
      </c>
      <c r="F113" s="29" t="s">
        <v>46</v>
      </c>
      <c r="G113" s="30" t="s">
        <v>46</v>
      </c>
      <c r="H113" s="31"/>
      <c r="I113" s="31" t="s">
        <v>47</v>
      </c>
      <c r="J113" s="32" t="n">
        <v>10.0</v>
      </c>
      <c r="K113" s="33" t="n">
        <f>12230</f>
        <v>12230.0</v>
      </c>
      <c r="L113" s="34" t="s">
        <v>48</v>
      </c>
      <c r="M113" s="33" t="n">
        <f>13790</f>
        <v>13790.0</v>
      </c>
      <c r="N113" s="34" t="s">
        <v>49</v>
      </c>
      <c r="O113" s="33" t="n">
        <f>10900</f>
        <v>10900.0</v>
      </c>
      <c r="P113" s="34" t="s">
        <v>50</v>
      </c>
      <c r="Q113" s="33" t="n">
        <f>13470</f>
        <v>13470.0</v>
      </c>
      <c r="R113" s="34" t="s">
        <v>49</v>
      </c>
      <c r="S113" s="35" t="n">
        <f>12564.76</f>
        <v>12564.76</v>
      </c>
      <c r="T113" s="32" t="n">
        <f>5114840</f>
        <v>5114840.0</v>
      </c>
      <c r="U113" s="32" t="n">
        <f>14010</f>
        <v>14010.0</v>
      </c>
      <c r="V113" s="32" t="n">
        <f>64115359723</f>
        <v>6.4115359723E10</v>
      </c>
      <c r="W113" s="32" t="n">
        <f>174053923</f>
        <v>1.74053923E8</v>
      </c>
      <c r="X113" s="36" t="n">
        <f>21</f>
        <v>21.0</v>
      </c>
    </row>
    <row r="114">
      <c r="A114" s="27" t="s">
        <v>42</v>
      </c>
      <c r="B114" s="27" t="s">
        <v>387</v>
      </c>
      <c r="C114" s="27" t="s">
        <v>388</v>
      </c>
      <c r="D114" s="27" t="s">
        <v>389</v>
      </c>
      <c r="E114" s="28" t="s">
        <v>46</v>
      </c>
      <c r="F114" s="29" t="s">
        <v>46</v>
      </c>
      <c r="G114" s="30" t="s">
        <v>46</v>
      </c>
      <c r="H114" s="31"/>
      <c r="I114" s="31" t="s">
        <v>47</v>
      </c>
      <c r="J114" s="32" t="n">
        <v>10.0</v>
      </c>
      <c r="K114" s="33" t="n">
        <f>3395</f>
        <v>3395.0</v>
      </c>
      <c r="L114" s="34" t="s">
        <v>48</v>
      </c>
      <c r="M114" s="33" t="n">
        <f>3565</f>
        <v>3565.0</v>
      </c>
      <c r="N114" s="34" t="s">
        <v>50</v>
      </c>
      <c r="O114" s="33" t="n">
        <f>3140</f>
        <v>3140.0</v>
      </c>
      <c r="P114" s="34" t="s">
        <v>49</v>
      </c>
      <c r="Q114" s="33" t="n">
        <f>3190</f>
        <v>3190.0</v>
      </c>
      <c r="R114" s="34" t="s">
        <v>49</v>
      </c>
      <c r="S114" s="35" t="n">
        <f>3306.9</f>
        <v>3306.9</v>
      </c>
      <c r="T114" s="32" t="n">
        <f>462280</f>
        <v>462280.0</v>
      </c>
      <c r="U114" s="32" t="n">
        <f>2690</f>
        <v>2690.0</v>
      </c>
      <c r="V114" s="32" t="n">
        <f>1545219543</f>
        <v>1.545219543E9</v>
      </c>
      <c r="W114" s="32" t="n">
        <f>8918193</f>
        <v>8918193.0</v>
      </c>
      <c r="X114" s="36" t="n">
        <f>21</f>
        <v>21.0</v>
      </c>
    </row>
    <row r="115">
      <c r="A115" s="27" t="s">
        <v>42</v>
      </c>
      <c r="B115" s="27" t="s">
        <v>390</v>
      </c>
      <c r="C115" s="27" t="s">
        <v>391</v>
      </c>
      <c r="D115" s="27" t="s">
        <v>392</v>
      </c>
      <c r="E115" s="28" t="s">
        <v>46</v>
      </c>
      <c r="F115" s="29" t="s">
        <v>46</v>
      </c>
      <c r="G115" s="30" t="s">
        <v>46</v>
      </c>
      <c r="H115" s="31"/>
      <c r="I115" s="31" t="s">
        <v>47</v>
      </c>
      <c r="J115" s="32" t="n">
        <v>1.0</v>
      </c>
      <c r="K115" s="33" t="n">
        <f>13500</f>
        <v>13500.0</v>
      </c>
      <c r="L115" s="34" t="s">
        <v>48</v>
      </c>
      <c r="M115" s="33" t="n">
        <f>15990</f>
        <v>15990.0</v>
      </c>
      <c r="N115" s="34" t="s">
        <v>49</v>
      </c>
      <c r="O115" s="33" t="n">
        <f>12090</f>
        <v>12090.0</v>
      </c>
      <c r="P115" s="34" t="s">
        <v>50</v>
      </c>
      <c r="Q115" s="33" t="n">
        <f>15730</f>
        <v>15730.0</v>
      </c>
      <c r="R115" s="34" t="s">
        <v>49</v>
      </c>
      <c r="S115" s="35" t="n">
        <f>14288.1</f>
        <v>14288.1</v>
      </c>
      <c r="T115" s="32" t="n">
        <f>300762754</f>
        <v>3.00762754E8</v>
      </c>
      <c r="U115" s="32" t="n">
        <f>273186</f>
        <v>273186.0</v>
      </c>
      <c r="V115" s="32" t="n">
        <f>4248312460954</f>
        <v>4.248312460954E12</v>
      </c>
      <c r="W115" s="32" t="n">
        <f>3805417594</f>
        <v>3.805417594E9</v>
      </c>
      <c r="X115" s="36" t="n">
        <f>21</f>
        <v>21.0</v>
      </c>
    </row>
    <row r="116">
      <c r="A116" s="27" t="s">
        <v>42</v>
      </c>
      <c r="B116" s="27" t="s">
        <v>393</v>
      </c>
      <c r="C116" s="27" t="s">
        <v>394</v>
      </c>
      <c r="D116" s="27" t="s">
        <v>395</v>
      </c>
      <c r="E116" s="28" t="s">
        <v>46</v>
      </c>
      <c r="F116" s="29" t="s">
        <v>46</v>
      </c>
      <c r="G116" s="30" t="s">
        <v>46</v>
      </c>
      <c r="H116" s="31"/>
      <c r="I116" s="31" t="s">
        <v>47</v>
      </c>
      <c r="J116" s="32" t="n">
        <v>1.0</v>
      </c>
      <c r="K116" s="33" t="n">
        <f>1709</f>
        <v>1709.0</v>
      </c>
      <c r="L116" s="34" t="s">
        <v>48</v>
      </c>
      <c r="M116" s="33" t="n">
        <f>1799</f>
        <v>1799.0</v>
      </c>
      <c r="N116" s="34" t="s">
        <v>50</v>
      </c>
      <c r="O116" s="33" t="n">
        <f>1540</f>
        <v>1540.0</v>
      </c>
      <c r="P116" s="34" t="s">
        <v>49</v>
      </c>
      <c r="Q116" s="33" t="n">
        <f>1552</f>
        <v>1552.0</v>
      </c>
      <c r="R116" s="34" t="s">
        <v>49</v>
      </c>
      <c r="S116" s="35" t="n">
        <f>1643.62</f>
        <v>1643.62</v>
      </c>
      <c r="T116" s="32" t="n">
        <f>23608263</f>
        <v>2.3608263E7</v>
      </c>
      <c r="U116" s="32" t="n">
        <f>124694</f>
        <v>124694.0</v>
      </c>
      <c r="V116" s="32" t="n">
        <f>39018379291</f>
        <v>3.9018379291E10</v>
      </c>
      <c r="W116" s="32" t="n">
        <f>207439944</f>
        <v>2.07439944E8</v>
      </c>
      <c r="X116" s="36" t="n">
        <f>21</f>
        <v>21.0</v>
      </c>
    </row>
    <row r="117">
      <c r="A117" s="27" t="s">
        <v>42</v>
      </c>
      <c r="B117" s="27" t="s">
        <v>396</v>
      </c>
      <c r="C117" s="27" t="s">
        <v>397</v>
      </c>
      <c r="D117" s="27" t="s">
        <v>398</v>
      </c>
      <c r="E117" s="28" t="s">
        <v>46</v>
      </c>
      <c r="F117" s="29" t="s">
        <v>46</v>
      </c>
      <c r="G117" s="30" t="s">
        <v>46</v>
      </c>
      <c r="H117" s="31"/>
      <c r="I117" s="31" t="s">
        <v>47</v>
      </c>
      <c r="J117" s="32" t="n">
        <v>10.0</v>
      </c>
      <c r="K117" s="33" t="n">
        <f>9760</f>
        <v>9760.0</v>
      </c>
      <c r="L117" s="34" t="s">
        <v>48</v>
      </c>
      <c r="M117" s="33" t="n">
        <f>9920</f>
        <v>9920.0</v>
      </c>
      <c r="N117" s="34" t="s">
        <v>96</v>
      </c>
      <c r="O117" s="33" t="n">
        <f>8800</f>
        <v>8800.0</v>
      </c>
      <c r="P117" s="34" t="s">
        <v>181</v>
      </c>
      <c r="Q117" s="33" t="n">
        <f>9670</f>
        <v>9670.0</v>
      </c>
      <c r="R117" s="34" t="s">
        <v>49</v>
      </c>
      <c r="S117" s="35" t="n">
        <f>9390</f>
        <v>9390.0</v>
      </c>
      <c r="T117" s="32" t="n">
        <f>13340</f>
        <v>13340.0</v>
      </c>
      <c r="U117" s="32" t="str">
        <f>"－"</f>
        <v>－</v>
      </c>
      <c r="V117" s="32" t="n">
        <f>125520200</f>
        <v>1.255202E8</v>
      </c>
      <c r="W117" s="32" t="str">
        <f>"－"</f>
        <v>－</v>
      </c>
      <c r="X117" s="36" t="n">
        <f>21</f>
        <v>21.0</v>
      </c>
    </row>
    <row r="118">
      <c r="A118" s="27" t="s">
        <v>42</v>
      </c>
      <c r="B118" s="27" t="s">
        <v>399</v>
      </c>
      <c r="C118" s="27" t="s">
        <v>400</v>
      </c>
      <c r="D118" s="27" t="s">
        <v>401</v>
      </c>
      <c r="E118" s="28" t="s">
        <v>46</v>
      </c>
      <c r="F118" s="29" t="s">
        <v>46</v>
      </c>
      <c r="G118" s="30" t="s">
        <v>46</v>
      </c>
      <c r="H118" s="31"/>
      <c r="I118" s="31" t="s">
        <v>47</v>
      </c>
      <c r="J118" s="32" t="n">
        <v>10.0</v>
      </c>
      <c r="K118" s="33" t="n">
        <f>8170</f>
        <v>8170.0</v>
      </c>
      <c r="L118" s="34" t="s">
        <v>48</v>
      </c>
      <c r="M118" s="33" t="n">
        <f>8350</f>
        <v>8350.0</v>
      </c>
      <c r="N118" s="34" t="s">
        <v>61</v>
      </c>
      <c r="O118" s="33" t="n">
        <f>7550</f>
        <v>7550.0</v>
      </c>
      <c r="P118" s="34" t="s">
        <v>49</v>
      </c>
      <c r="Q118" s="33" t="n">
        <f>7550</f>
        <v>7550.0</v>
      </c>
      <c r="R118" s="34" t="s">
        <v>49</v>
      </c>
      <c r="S118" s="35" t="n">
        <f>7952.86</f>
        <v>7952.86</v>
      </c>
      <c r="T118" s="32" t="n">
        <f>12480</f>
        <v>12480.0</v>
      </c>
      <c r="U118" s="32" t="str">
        <f>"－"</f>
        <v>－</v>
      </c>
      <c r="V118" s="32" t="n">
        <f>99681000</f>
        <v>9.9681E7</v>
      </c>
      <c r="W118" s="32" t="str">
        <f>"－"</f>
        <v>－</v>
      </c>
      <c r="X118" s="36" t="n">
        <f>21</f>
        <v>21.0</v>
      </c>
    </row>
    <row r="119">
      <c r="A119" s="27" t="s">
        <v>42</v>
      </c>
      <c r="B119" s="27" t="s">
        <v>402</v>
      </c>
      <c r="C119" s="27" t="s">
        <v>403</v>
      </c>
      <c r="D119" s="27" t="s">
        <v>404</v>
      </c>
      <c r="E119" s="28" t="s">
        <v>46</v>
      </c>
      <c r="F119" s="29" t="s">
        <v>46</v>
      </c>
      <c r="G119" s="30" t="s">
        <v>46</v>
      </c>
      <c r="H119" s="31"/>
      <c r="I119" s="31" t="s">
        <v>47</v>
      </c>
      <c r="J119" s="32" t="n">
        <v>10.0</v>
      </c>
      <c r="K119" s="33" t="n">
        <f>1421</f>
        <v>1421.0</v>
      </c>
      <c r="L119" s="34" t="s">
        <v>65</v>
      </c>
      <c r="M119" s="33" t="n">
        <f>1448</f>
        <v>1448.0</v>
      </c>
      <c r="N119" s="34" t="s">
        <v>65</v>
      </c>
      <c r="O119" s="33" t="n">
        <f>1418</f>
        <v>1418.0</v>
      </c>
      <c r="P119" s="34" t="s">
        <v>69</v>
      </c>
      <c r="Q119" s="33" t="n">
        <f>1418</f>
        <v>1418.0</v>
      </c>
      <c r="R119" s="34" t="s">
        <v>73</v>
      </c>
      <c r="S119" s="35" t="n">
        <f>1428</f>
        <v>1428.0</v>
      </c>
      <c r="T119" s="32" t="n">
        <f>48570</f>
        <v>48570.0</v>
      </c>
      <c r="U119" s="32" t="n">
        <f>48300</f>
        <v>48300.0</v>
      </c>
      <c r="V119" s="32" t="n">
        <f>71744765</f>
        <v>7.1744765E7</v>
      </c>
      <c r="W119" s="32" t="n">
        <f>71360835</f>
        <v>7.1360835E7</v>
      </c>
      <c r="X119" s="36" t="n">
        <f>3</f>
        <v>3.0</v>
      </c>
    </row>
    <row r="120">
      <c r="A120" s="27" t="s">
        <v>42</v>
      </c>
      <c r="B120" s="27" t="s">
        <v>405</v>
      </c>
      <c r="C120" s="27" t="s">
        <v>406</v>
      </c>
      <c r="D120" s="27" t="s">
        <v>407</v>
      </c>
      <c r="E120" s="28" t="s">
        <v>46</v>
      </c>
      <c r="F120" s="29" t="s">
        <v>46</v>
      </c>
      <c r="G120" s="30" t="s">
        <v>46</v>
      </c>
      <c r="H120" s="31"/>
      <c r="I120" s="31" t="s">
        <v>47</v>
      </c>
      <c r="J120" s="32" t="n">
        <v>10.0</v>
      </c>
      <c r="K120" s="33" t="n">
        <f>571</f>
        <v>571.0</v>
      </c>
      <c r="L120" s="34" t="s">
        <v>48</v>
      </c>
      <c r="M120" s="33" t="n">
        <f>645</f>
        <v>645.0</v>
      </c>
      <c r="N120" s="34" t="s">
        <v>188</v>
      </c>
      <c r="O120" s="33" t="n">
        <f>566</f>
        <v>566.0</v>
      </c>
      <c r="P120" s="34" t="s">
        <v>73</v>
      </c>
      <c r="Q120" s="33" t="n">
        <f>593</f>
        <v>593.0</v>
      </c>
      <c r="R120" s="34" t="s">
        <v>49</v>
      </c>
      <c r="S120" s="35" t="n">
        <f>587.33</f>
        <v>587.33</v>
      </c>
      <c r="T120" s="32" t="n">
        <f>15800</f>
        <v>15800.0</v>
      </c>
      <c r="U120" s="32" t="str">
        <f>"－"</f>
        <v>－</v>
      </c>
      <c r="V120" s="32" t="n">
        <f>9328150</f>
        <v>9328150.0</v>
      </c>
      <c r="W120" s="32" t="str">
        <f>"－"</f>
        <v>－</v>
      </c>
      <c r="X120" s="36" t="n">
        <f>21</f>
        <v>21.0</v>
      </c>
    </row>
    <row r="121">
      <c r="A121" s="27" t="s">
        <v>42</v>
      </c>
      <c r="B121" s="27" t="s">
        <v>408</v>
      </c>
      <c r="C121" s="27" t="s">
        <v>409</v>
      </c>
      <c r="D121" s="27" t="s">
        <v>410</v>
      </c>
      <c r="E121" s="28" t="s">
        <v>46</v>
      </c>
      <c r="F121" s="29" t="s">
        <v>46</v>
      </c>
      <c r="G121" s="30" t="s">
        <v>46</v>
      </c>
      <c r="H121" s="31"/>
      <c r="I121" s="31" t="s">
        <v>47</v>
      </c>
      <c r="J121" s="32" t="n">
        <v>10.0</v>
      </c>
      <c r="K121" s="33" t="n">
        <f>560</f>
        <v>560.0</v>
      </c>
      <c r="L121" s="34" t="s">
        <v>48</v>
      </c>
      <c r="M121" s="33" t="n">
        <f>577</f>
        <v>577.0</v>
      </c>
      <c r="N121" s="34" t="s">
        <v>188</v>
      </c>
      <c r="O121" s="33" t="n">
        <f>527</f>
        <v>527.0</v>
      </c>
      <c r="P121" s="34" t="s">
        <v>61</v>
      </c>
      <c r="Q121" s="33" t="n">
        <f>577</f>
        <v>577.0</v>
      </c>
      <c r="R121" s="34" t="s">
        <v>49</v>
      </c>
      <c r="S121" s="35" t="n">
        <f>561.12</f>
        <v>561.12</v>
      </c>
      <c r="T121" s="32" t="n">
        <f>1260</f>
        <v>1260.0</v>
      </c>
      <c r="U121" s="32" t="str">
        <f>"－"</f>
        <v>－</v>
      </c>
      <c r="V121" s="32" t="n">
        <f>706050</f>
        <v>706050.0</v>
      </c>
      <c r="W121" s="32" t="str">
        <f>"－"</f>
        <v>－</v>
      </c>
      <c r="X121" s="36" t="n">
        <f>17</f>
        <v>17.0</v>
      </c>
    </row>
    <row r="122">
      <c r="A122" s="27" t="s">
        <v>42</v>
      </c>
      <c r="B122" s="27" t="s">
        <v>411</v>
      </c>
      <c r="C122" s="27" t="s">
        <v>412</v>
      </c>
      <c r="D122" s="27" t="s">
        <v>413</v>
      </c>
      <c r="E122" s="28" t="s">
        <v>46</v>
      </c>
      <c r="F122" s="29" t="s">
        <v>46</v>
      </c>
      <c r="G122" s="30" t="s">
        <v>46</v>
      </c>
      <c r="H122" s="31"/>
      <c r="I122" s="31" t="s">
        <v>47</v>
      </c>
      <c r="J122" s="32" t="n">
        <v>1.0</v>
      </c>
      <c r="K122" s="33" t="n">
        <f>17820</f>
        <v>17820.0</v>
      </c>
      <c r="L122" s="34" t="s">
        <v>48</v>
      </c>
      <c r="M122" s="33" t="n">
        <f>18100</f>
        <v>18100.0</v>
      </c>
      <c r="N122" s="34" t="s">
        <v>49</v>
      </c>
      <c r="O122" s="33" t="n">
        <f>16390</f>
        <v>16390.0</v>
      </c>
      <c r="P122" s="34" t="s">
        <v>92</v>
      </c>
      <c r="Q122" s="33" t="n">
        <f>17970</f>
        <v>17970.0</v>
      </c>
      <c r="R122" s="34" t="s">
        <v>49</v>
      </c>
      <c r="S122" s="35" t="n">
        <f>17341.43</f>
        <v>17341.43</v>
      </c>
      <c r="T122" s="32" t="n">
        <f>44444</f>
        <v>44444.0</v>
      </c>
      <c r="U122" s="32" t="n">
        <f>49</f>
        <v>49.0</v>
      </c>
      <c r="V122" s="32" t="n">
        <f>764512874</f>
        <v>7.64512874E8</v>
      </c>
      <c r="W122" s="32" t="n">
        <f>847544</f>
        <v>847544.0</v>
      </c>
      <c r="X122" s="36" t="n">
        <f>21</f>
        <v>21.0</v>
      </c>
    </row>
    <row r="123">
      <c r="A123" s="27" t="s">
        <v>42</v>
      </c>
      <c r="B123" s="27" t="s">
        <v>414</v>
      </c>
      <c r="C123" s="27" t="s">
        <v>415</v>
      </c>
      <c r="D123" s="27" t="s">
        <v>416</v>
      </c>
      <c r="E123" s="28" t="s">
        <v>46</v>
      </c>
      <c r="F123" s="29" t="s">
        <v>46</v>
      </c>
      <c r="G123" s="30" t="s">
        <v>46</v>
      </c>
      <c r="H123" s="31"/>
      <c r="I123" s="31" t="s">
        <v>47</v>
      </c>
      <c r="J123" s="32" t="n">
        <v>1.0</v>
      </c>
      <c r="K123" s="33" t="n">
        <f>1500</f>
        <v>1500.0</v>
      </c>
      <c r="L123" s="34" t="s">
        <v>48</v>
      </c>
      <c r="M123" s="33" t="n">
        <f>1640</f>
        <v>1640.0</v>
      </c>
      <c r="N123" s="34" t="s">
        <v>49</v>
      </c>
      <c r="O123" s="33" t="n">
        <f>1421</f>
        <v>1421.0</v>
      </c>
      <c r="P123" s="34" t="s">
        <v>50</v>
      </c>
      <c r="Q123" s="33" t="n">
        <f>1625</f>
        <v>1625.0</v>
      </c>
      <c r="R123" s="34" t="s">
        <v>49</v>
      </c>
      <c r="S123" s="35" t="n">
        <f>1546.33</f>
        <v>1546.33</v>
      </c>
      <c r="T123" s="32" t="n">
        <f>275885</f>
        <v>275885.0</v>
      </c>
      <c r="U123" s="32" t="str">
        <f>"－"</f>
        <v>－</v>
      </c>
      <c r="V123" s="32" t="n">
        <f>424547397</f>
        <v>4.24547397E8</v>
      </c>
      <c r="W123" s="32" t="str">
        <f>"－"</f>
        <v>－</v>
      </c>
      <c r="X123" s="36" t="n">
        <f>21</f>
        <v>21.0</v>
      </c>
    </row>
    <row r="124">
      <c r="A124" s="27" t="s">
        <v>42</v>
      </c>
      <c r="B124" s="27" t="s">
        <v>417</v>
      </c>
      <c r="C124" s="27" t="s">
        <v>418</v>
      </c>
      <c r="D124" s="27" t="s">
        <v>419</v>
      </c>
      <c r="E124" s="28" t="s">
        <v>46</v>
      </c>
      <c r="F124" s="29" t="s">
        <v>46</v>
      </c>
      <c r="G124" s="30" t="s">
        <v>46</v>
      </c>
      <c r="H124" s="31"/>
      <c r="I124" s="31" t="s">
        <v>47</v>
      </c>
      <c r="J124" s="32" t="n">
        <v>10.0</v>
      </c>
      <c r="K124" s="33" t="n">
        <f>14430</f>
        <v>14430.0</v>
      </c>
      <c r="L124" s="34" t="s">
        <v>48</v>
      </c>
      <c r="M124" s="33" t="n">
        <f>17020</f>
        <v>17020.0</v>
      </c>
      <c r="N124" s="34" t="s">
        <v>49</v>
      </c>
      <c r="O124" s="33" t="n">
        <f>12870</f>
        <v>12870.0</v>
      </c>
      <c r="P124" s="34" t="s">
        <v>50</v>
      </c>
      <c r="Q124" s="33" t="n">
        <f>16740</f>
        <v>16740.0</v>
      </c>
      <c r="R124" s="34" t="s">
        <v>49</v>
      </c>
      <c r="S124" s="35" t="n">
        <f>15189.05</f>
        <v>15189.05</v>
      </c>
      <c r="T124" s="32" t="n">
        <f>19143740</f>
        <v>1.914374E7</v>
      </c>
      <c r="U124" s="32" t="n">
        <f>5320</f>
        <v>5320.0</v>
      </c>
      <c r="V124" s="32" t="n">
        <f>287808033734</f>
        <v>2.87808033734E11</v>
      </c>
      <c r="W124" s="32" t="n">
        <f>78684534</f>
        <v>7.8684534E7</v>
      </c>
      <c r="X124" s="36" t="n">
        <f>21</f>
        <v>21.0</v>
      </c>
    </row>
    <row r="125">
      <c r="A125" s="27" t="s">
        <v>42</v>
      </c>
      <c r="B125" s="27" t="s">
        <v>420</v>
      </c>
      <c r="C125" s="27" t="s">
        <v>421</v>
      </c>
      <c r="D125" s="27" t="s">
        <v>422</v>
      </c>
      <c r="E125" s="28" t="s">
        <v>46</v>
      </c>
      <c r="F125" s="29" t="s">
        <v>46</v>
      </c>
      <c r="G125" s="30" t="s">
        <v>46</v>
      </c>
      <c r="H125" s="31"/>
      <c r="I125" s="31" t="s">
        <v>47</v>
      </c>
      <c r="J125" s="32" t="n">
        <v>10.0</v>
      </c>
      <c r="K125" s="33" t="n">
        <f>4560</f>
        <v>4560.0</v>
      </c>
      <c r="L125" s="34" t="s">
        <v>48</v>
      </c>
      <c r="M125" s="33" t="n">
        <f>4785</f>
        <v>4785.0</v>
      </c>
      <c r="N125" s="34" t="s">
        <v>50</v>
      </c>
      <c r="O125" s="33" t="n">
        <f>4100</f>
        <v>4100.0</v>
      </c>
      <c r="P125" s="34" t="s">
        <v>49</v>
      </c>
      <c r="Q125" s="33" t="n">
        <f>4135</f>
        <v>4135.0</v>
      </c>
      <c r="R125" s="34" t="s">
        <v>49</v>
      </c>
      <c r="S125" s="35" t="n">
        <f>4377.14</f>
        <v>4377.14</v>
      </c>
      <c r="T125" s="32" t="n">
        <f>1321780</f>
        <v>1321780.0</v>
      </c>
      <c r="U125" s="32" t="n">
        <f>250</f>
        <v>250.0</v>
      </c>
      <c r="V125" s="32" t="n">
        <f>5853095491</f>
        <v>5.853095491E9</v>
      </c>
      <c r="W125" s="32" t="n">
        <f>1120641</f>
        <v>1120641.0</v>
      </c>
      <c r="X125" s="36" t="n">
        <f>21</f>
        <v>21.0</v>
      </c>
    </row>
    <row r="126">
      <c r="A126" s="27" t="s">
        <v>42</v>
      </c>
      <c r="B126" s="27" t="s">
        <v>423</v>
      </c>
      <c r="C126" s="27" t="s">
        <v>424</v>
      </c>
      <c r="D126" s="27" t="s">
        <v>425</v>
      </c>
      <c r="E126" s="28" t="s">
        <v>46</v>
      </c>
      <c r="F126" s="29" t="s">
        <v>46</v>
      </c>
      <c r="G126" s="30" t="s">
        <v>46</v>
      </c>
      <c r="H126" s="31"/>
      <c r="I126" s="31" t="s">
        <v>47</v>
      </c>
      <c r="J126" s="32" t="n">
        <v>10.0</v>
      </c>
      <c r="K126" s="33" t="n">
        <f>513</f>
        <v>513.0</v>
      </c>
      <c r="L126" s="34" t="s">
        <v>48</v>
      </c>
      <c r="M126" s="33" t="n">
        <f>590</f>
        <v>590.0</v>
      </c>
      <c r="N126" s="34" t="s">
        <v>188</v>
      </c>
      <c r="O126" s="33" t="n">
        <f>500</f>
        <v>500.0</v>
      </c>
      <c r="P126" s="34" t="s">
        <v>61</v>
      </c>
      <c r="Q126" s="33" t="n">
        <f>561</f>
        <v>561.0</v>
      </c>
      <c r="R126" s="34" t="s">
        <v>49</v>
      </c>
      <c r="S126" s="35" t="n">
        <f>537.31</f>
        <v>537.31</v>
      </c>
      <c r="T126" s="32" t="n">
        <f>1800</f>
        <v>1800.0</v>
      </c>
      <c r="U126" s="32" t="str">
        <f>"－"</f>
        <v>－</v>
      </c>
      <c r="V126" s="32" t="n">
        <f>961650</f>
        <v>961650.0</v>
      </c>
      <c r="W126" s="32" t="str">
        <f>"－"</f>
        <v>－</v>
      </c>
      <c r="X126" s="36" t="n">
        <f>13</f>
        <v>13.0</v>
      </c>
    </row>
    <row r="127">
      <c r="A127" s="27" t="s">
        <v>42</v>
      </c>
      <c r="B127" s="27" t="s">
        <v>426</v>
      </c>
      <c r="C127" s="27" t="s">
        <v>427</v>
      </c>
      <c r="D127" s="27" t="s">
        <v>428</v>
      </c>
      <c r="E127" s="28" t="s">
        <v>46</v>
      </c>
      <c r="F127" s="29" t="s">
        <v>46</v>
      </c>
      <c r="G127" s="30" t="s">
        <v>46</v>
      </c>
      <c r="H127" s="31"/>
      <c r="I127" s="31" t="s">
        <v>47</v>
      </c>
      <c r="J127" s="32" t="n">
        <v>10.0</v>
      </c>
      <c r="K127" s="33" t="n">
        <f>1064</f>
        <v>1064.0</v>
      </c>
      <c r="L127" s="34" t="s">
        <v>48</v>
      </c>
      <c r="M127" s="33" t="n">
        <f>1170</f>
        <v>1170.0</v>
      </c>
      <c r="N127" s="34" t="s">
        <v>49</v>
      </c>
      <c r="O127" s="33" t="n">
        <f>1046</f>
        <v>1046.0</v>
      </c>
      <c r="P127" s="34" t="s">
        <v>92</v>
      </c>
      <c r="Q127" s="33" t="n">
        <f>1153</f>
        <v>1153.0</v>
      </c>
      <c r="R127" s="34" t="s">
        <v>49</v>
      </c>
      <c r="S127" s="35" t="n">
        <f>1108.43</f>
        <v>1108.43</v>
      </c>
      <c r="T127" s="32" t="n">
        <f>159710</f>
        <v>159710.0</v>
      </c>
      <c r="U127" s="32" t="str">
        <f>"－"</f>
        <v>－</v>
      </c>
      <c r="V127" s="32" t="n">
        <f>176308310</f>
        <v>1.7630831E8</v>
      </c>
      <c r="W127" s="32" t="str">
        <f>"－"</f>
        <v>－</v>
      </c>
      <c r="X127" s="36" t="n">
        <f>14</f>
        <v>14.0</v>
      </c>
    </row>
    <row r="128">
      <c r="A128" s="27" t="s">
        <v>42</v>
      </c>
      <c r="B128" s="27" t="s">
        <v>429</v>
      </c>
      <c r="C128" s="27" t="s">
        <v>430</v>
      </c>
      <c r="D128" s="27" t="s">
        <v>431</v>
      </c>
      <c r="E128" s="28" t="s">
        <v>46</v>
      </c>
      <c r="F128" s="29" t="s">
        <v>46</v>
      </c>
      <c r="G128" s="30" t="s">
        <v>46</v>
      </c>
      <c r="H128" s="31"/>
      <c r="I128" s="31" t="s">
        <v>47</v>
      </c>
      <c r="J128" s="32" t="n">
        <v>1.0</v>
      </c>
      <c r="K128" s="33" t="n">
        <f>1268</f>
        <v>1268.0</v>
      </c>
      <c r="L128" s="34" t="s">
        <v>48</v>
      </c>
      <c r="M128" s="33" t="n">
        <f>1430</f>
        <v>1430.0</v>
      </c>
      <c r="N128" s="34" t="s">
        <v>192</v>
      </c>
      <c r="O128" s="33" t="n">
        <f>1210</f>
        <v>1210.0</v>
      </c>
      <c r="P128" s="34" t="s">
        <v>50</v>
      </c>
      <c r="Q128" s="33" t="n">
        <f>1348</f>
        <v>1348.0</v>
      </c>
      <c r="R128" s="34" t="s">
        <v>49</v>
      </c>
      <c r="S128" s="35" t="n">
        <f>1324.26</f>
        <v>1324.26</v>
      </c>
      <c r="T128" s="32" t="n">
        <f>2416</f>
        <v>2416.0</v>
      </c>
      <c r="U128" s="32" t="str">
        <f>"－"</f>
        <v>－</v>
      </c>
      <c r="V128" s="32" t="n">
        <f>3255232</f>
        <v>3255232.0</v>
      </c>
      <c r="W128" s="32" t="str">
        <f>"－"</f>
        <v>－</v>
      </c>
      <c r="X128" s="36" t="n">
        <f>19</f>
        <v>19.0</v>
      </c>
    </row>
    <row r="129">
      <c r="A129" s="27" t="s">
        <v>42</v>
      </c>
      <c r="B129" s="27" t="s">
        <v>432</v>
      </c>
      <c r="C129" s="27" t="s">
        <v>433</v>
      </c>
      <c r="D129" s="27" t="s">
        <v>434</v>
      </c>
      <c r="E129" s="28" t="s">
        <v>46</v>
      </c>
      <c r="F129" s="29" t="s">
        <v>46</v>
      </c>
      <c r="G129" s="30" t="s">
        <v>46</v>
      </c>
      <c r="H129" s="31"/>
      <c r="I129" s="31" t="s">
        <v>47</v>
      </c>
      <c r="J129" s="32" t="n">
        <v>1.0</v>
      </c>
      <c r="K129" s="33" t="n">
        <f>12650</f>
        <v>12650.0</v>
      </c>
      <c r="L129" s="34" t="s">
        <v>48</v>
      </c>
      <c r="M129" s="33" t="n">
        <f>13290</f>
        <v>13290.0</v>
      </c>
      <c r="N129" s="34" t="s">
        <v>49</v>
      </c>
      <c r="O129" s="33" t="n">
        <f>11940</f>
        <v>11940.0</v>
      </c>
      <c r="P129" s="34" t="s">
        <v>92</v>
      </c>
      <c r="Q129" s="33" t="n">
        <f>13110</f>
        <v>13110.0</v>
      </c>
      <c r="R129" s="34" t="s">
        <v>49</v>
      </c>
      <c r="S129" s="35" t="n">
        <f>12747.62</f>
        <v>12747.62</v>
      </c>
      <c r="T129" s="32" t="n">
        <f>481698</f>
        <v>481698.0</v>
      </c>
      <c r="U129" s="32" t="n">
        <f>431521</f>
        <v>431521.0</v>
      </c>
      <c r="V129" s="32" t="n">
        <f>6150927249</f>
        <v>6.150927249E9</v>
      </c>
      <c r="W129" s="32" t="n">
        <f>5519475589</f>
        <v>5.519475589E9</v>
      </c>
      <c r="X129" s="36" t="n">
        <f>21</f>
        <v>21.0</v>
      </c>
    </row>
    <row r="130">
      <c r="A130" s="27" t="s">
        <v>42</v>
      </c>
      <c r="B130" s="27" t="s">
        <v>435</v>
      </c>
      <c r="C130" s="27" t="s">
        <v>436</v>
      </c>
      <c r="D130" s="27" t="s">
        <v>437</v>
      </c>
      <c r="E130" s="28" t="s">
        <v>46</v>
      </c>
      <c r="F130" s="29" t="s">
        <v>46</v>
      </c>
      <c r="G130" s="30" t="s">
        <v>46</v>
      </c>
      <c r="H130" s="31"/>
      <c r="I130" s="31" t="s">
        <v>47</v>
      </c>
      <c r="J130" s="32" t="n">
        <v>1.0</v>
      </c>
      <c r="K130" s="33" t="n">
        <f>1152</f>
        <v>1152.0</v>
      </c>
      <c r="L130" s="34" t="s">
        <v>48</v>
      </c>
      <c r="M130" s="33" t="n">
        <f>1226</f>
        <v>1226.0</v>
      </c>
      <c r="N130" s="34" t="s">
        <v>49</v>
      </c>
      <c r="O130" s="33" t="n">
        <f>1093</f>
        <v>1093.0</v>
      </c>
      <c r="P130" s="34" t="s">
        <v>50</v>
      </c>
      <c r="Q130" s="33" t="n">
        <f>1211</f>
        <v>1211.0</v>
      </c>
      <c r="R130" s="34" t="s">
        <v>49</v>
      </c>
      <c r="S130" s="35" t="n">
        <f>1174.62</f>
        <v>1174.62</v>
      </c>
      <c r="T130" s="32" t="n">
        <f>540100</f>
        <v>540100.0</v>
      </c>
      <c r="U130" s="32" t="n">
        <f>132475</f>
        <v>132475.0</v>
      </c>
      <c r="V130" s="32" t="n">
        <f>638623873</f>
        <v>6.38623873E8</v>
      </c>
      <c r="W130" s="32" t="n">
        <f>157141845</f>
        <v>1.57141845E8</v>
      </c>
      <c r="X130" s="36" t="n">
        <f>21</f>
        <v>21.0</v>
      </c>
    </row>
    <row r="131">
      <c r="A131" s="27" t="s">
        <v>42</v>
      </c>
      <c r="B131" s="27" t="s">
        <v>438</v>
      </c>
      <c r="C131" s="27" t="s">
        <v>439</v>
      </c>
      <c r="D131" s="27" t="s">
        <v>440</v>
      </c>
      <c r="E131" s="28" t="s">
        <v>46</v>
      </c>
      <c r="F131" s="29" t="s">
        <v>46</v>
      </c>
      <c r="G131" s="30" t="s">
        <v>46</v>
      </c>
      <c r="H131" s="31"/>
      <c r="I131" s="31" t="s">
        <v>47</v>
      </c>
      <c r="J131" s="32" t="n">
        <v>1.0</v>
      </c>
      <c r="K131" s="33" t="n">
        <f>12910</f>
        <v>12910.0</v>
      </c>
      <c r="L131" s="34" t="s">
        <v>48</v>
      </c>
      <c r="M131" s="33" t="n">
        <f>13690</f>
        <v>13690.0</v>
      </c>
      <c r="N131" s="34" t="s">
        <v>49</v>
      </c>
      <c r="O131" s="33" t="n">
        <f>12250</f>
        <v>12250.0</v>
      </c>
      <c r="P131" s="34" t="s">
        <v>50</v>
      </c>
      <c r="Q131" s="33" t="n">
        <f>13550</f>
        <v>13550.0</v>
      </c>
      <c r="R131" s="34" t="s">
        <v>49</v>
      </c>
      <c r="S131" s="35" t="n">
        <f>13091.43</f>
        <v>13091.43</v>
      </c>
      <c r="T131" s="32" t="n">
        <f>20899</f>
        <v>20899.0</v>
      </c>
      <c r="U131" s="32" t="n">
        <f>22</f>
        <v>22.0</v>
      </c>
      <c r="V131" s="32" t="n">
        <f>274105160</f>
        <v>2.7410516E8</v>
      </c>
      <c r="W131" s="32" t="n">
        <f>288640</f>
        <v>288640.0</v>
      </c>
      <c r="X131" s="36" t="n">
        <f>21</f>
        <v>21.0</v>
      </c>
    </row>
    <row r="132">
      <c r="A132" s="27" t="s">
        <v>42</v>
      </c>
      <c r="B132" s="27" t="s">
        <v>441</v>
      </c>
      <c r="C132" s="27" t="s">
        <v>442</v>
      </c>
      <c r="D132" s="27" t="s">
        <v>443</v>
      </c>
      <c r="E132" s="28" t="s">
        <v>46</v>
      </c>
      <c r="F132" s="29" t="s">
        <v>46</v>
      </c>
      <c r="G132" s="30" t="s">
        <v>46</v>
      </c>
      <c r="H132" s="31"/>
      <c r="I132" s="31" t="s">
        <v>47</v>
      </c>
      <c r="J132" s="32" t="n">
        <v>10.0</v>
      </c>
      <c r="K132" s="33" t="n">
        <f>1614</f>
        <v>1614.0</v>
      </c>
      <c r="L132" s="34" t="s">
        <v>48</v>
      </c>
      <c r="M132" s="33" t="n">
        <f>1661</f>
        <v>1661.0</v>
      </c>
      <c r="N132" s="34" t="s">
        <v>86</v>
      </c>
      <c r="O132" s="33" t="n">
        <f>1447</f>
        <v>1447.0</v>
      </c>
      <c r="P132" s="34" t="s">
        <v>61</v>
      </c>
      <c r="Q132" s="33" t="n">
        <f>1598</f>
        <v>1598.0</v>
      </c>
      <c r="R132" s="34" t="s">
        <v>49</v>
      </c>
      <c r="S132" s="35" t="n">
        <f>1558.19</f>
        <v>1558.19</v>
      </c>
      <c r="T132" s="32" t="n">
        <f>462270</f>
        <v>462270.0</v>
      </c>
      <c r="U132" s="32" t="n">
        <f>40</f>
        <v>40.0</v>
      </c>
      <c r="V132" s="32" t="n">
        <f>730679320</f>
        <v>7.3067932E8</v>
      </c>
      <c r="W132" s="32" t="n">
        <f>63280</f>
        <v>63280.0</v>
      </c>
      <c r="X132" s="36" t="n">
        <f>21</f>
        <v>21.0</v>
      </c>
    </row>
    <row r="133">
      <c r="A133" s="27" t="s">
        <v>42</v>
      </c>
      <c r="B133" s="27" t="s">
        <v>444</v>
      </c>
      <c r="C133" s="27" t="s">
        <v>445</v>
      </c>
      <c r="D133" s="27" t="s">
        <v>446</v>
      </c>
      <c r="E133" s="28" t="s">
        <v>46</v>
      </c>
      <c r="F133" s="29" t="s">
        <v>46</v>
      </c>
      <c r="G133" s="30" t="s">
        <v>46</v>
      </c>
      <c r="H133" s="31"/>
      <c r="I133" s="31" t="s">
        <v>47</v>
      </c>
      <c r="J133" s="32" t="n">
        <v>10.0</v>
      </c>
      <c r="K133" s="33" t="n">
        <f>1180</f>
        <v>1180.0</v>
      </c>
      <c r="L133" s="34" t="s">
        <v>61</v>
      </c>
      <c r="M133" s="33" t="n">
        <f>1291</f>
        <v>1291.0</v>
      </c>
      <c r="N133" s="34" t="s">
        <v>107</v>
      </c>
      <c r="O133" s="33" t="n">
        <f>1175</f>
        <v>1175.0</v>
      </c>
      <c r="P133" s="34" t="s">
        <v>50</v>
      </c>
      <c r="Q133" s="33" t="n">
        <f>1291</f>
        <v>1291.0</v>
      </c>
      <c r="R133" s="34" t="s">
        <v>107</v>
      </c>
      <c r="S133" s="35" t="n">
        <f>1228.4</f>
        <v>1228.4</v>
      </c>
      <c r="T133" s="32" t="n">
        <f>720</f>
        <v>720.0</v>
      </c>
      <c r="U133" s="32" t="str">
        <f>"－"</f>
        <v>－</v>
      </c>
      <c r="V133" s="32" t="n">
        <f>894740</f>
        <v>894740.0</v>
      </c>
      <c r="W133" s="32" t="str">
        <f>"－"</f>
        <v>－</v>
      </c>
      <c r="X133" s="36" t="n">
        <f>5</f>
        <v>5.0</v>
      </c>
    </row>
    <row r="134">
      <c r="A134" s="27" t="s">
        <v>42</v>
      </c>
      <c r="B134" s="27" t="s">
        <v>447</v>
      </c>
      <c r="C134" s="27" t="s">
        <v>448</v>
      </c>
      <c r="D134" s="27" t="s">
        <v>449</v>
      </c>
      <c r="E134" s="28" t="s">
        <v>46</v>
      </c>
      <c r="F134" s="29" t="s">
        <v>46</v>
      </c>
      <c r="G134" s="30" t="s">
        <v>46</v>
      </c>
      <c r="H134" s="31"/>
      <c r="I134" s="31" t="s">
        <v>47</v>
      </c>
      <c r="J134" s="32" t="n">
        <v>10.0</v>
      </c>
      <c r="K134" s="33" t="n">
        <f>1628</f>
        <v>1628.0</v>
      </c>
      <c r="L134" s="34" t="s">
        <v>48</v>
      </c>
      <c r="M134" s="33" t="n">
        <f>1739</f>
        <v>1739.0</v>
      </c>
      <c r="N134" s="34" t="s">
        <v>107</v>
      </c>
      <c r="O134" s="33" t="n">
        <f>1437</f>
        <v>1437.0</v>
      </c>
      <c r="P134" s="34" t="s">
        <v>61</v>
      </c>
      <c r="Q134" s="33" t="n">
        <f>1625</f>
        <v>1625.0</v>
      </c>
      <c r="R134" s="34" t="s">
        <v>49</v>
      </c>
      <c r="S134" s="35" t="n">
        <f>1563.29</f>
        <v>1563.29</v>
      </c>
      <c r="T134" s="32" t="n">
        <f>793860</f>
        <v>793860.0</v>
      </c>
      <c r="U134" s="32" t="n">
        <f>133010</f>
        <v>133010.0</v>
      </c>
      <c r="V134" s="32" t="n">
        <f>1241163180</f>
        <v>1.24116318E9</v>
      </c>
      <c r="W134" s="32" t="n">
        <f>200199710</f>
        <v>2.0019971E8</v>
      </c>
      <c r="X134" s="36" t="n">
        <f>21</f>
        <v>21.0</v>
      </c>
    </row>
    <row r="135">
      <c r="A135" s="27" t="s">
        <v>42</v>
      </c>
      <c r="B135" s="27" t="s">
        <v>450</v>
      </c>
      <c r="C135" s="27" t="s">
        <v>451</v>
      </c>
      <c r="D135" s="27" t="s">
        <v>452</v>
      </c>
      <c r="E135" s="28" t="s">
        <v>46</v>
      </c>
      <c r="F135" s="29" t="s">
        <v>46</v>
      </c>
      <c r="G135" s="30" t="s">
        <v>46</v>
      </c>
      <c r="H135" s="31"/>
      <c r="I135" s="31" t="s">
        <v>47</v>
      </c>
      <c r="J135" s="32" t="n">
        <v>1.0</v>
      </c>
      <c r="K135" s="33" t="n">
        <f>14490</f>
        <v>14490.0</v>
      </c>
      <c r="L135" s="34" t="s">
        <v>317</v>
      </c>
      <c r="M135" s="33" t="n">
        <f>14490</f>
        <v>14490.0</v>
      </c>
      <c r="N135" s="34" t="s">
        <v>317</v>
      </c>
      <c r="O135" s="33" t="n">
        <f>14390</f>
        <v>14390.0</v>
      </c>
      <c r="P135" s="34" t="s">
        <v>317</v>
      </c>
      <c r="Q135" s="33" t="n">
        <f>14390</f>
        <v>14390.0</v>
      </c>
      <c r="R135" s="34" t="s">
        <v>317</v>
      </c>
      <c r="S135" s="35" t="n">
        <f>14390</f>
        <v>14390.0</v>
      </c>
      <c r="T135" s="32" t="n">
        <f>12</f>
        <v>12.0</v>
      </c>
      <c r="U135" s="32" t="str">
        <f>"－"</f>
        <v>－</v>
      </c>
      <c r="V135" s="32" t="n">
        <f>173180</f>
        <v>173180.0</v>
      </c>
      <c r="W135" s="32" t="str">
        <f>"－"</f>
        <v>－</v>
      </c>
      <c r="X135" s="36" t="n">
        <f>1</f>
        <v>1.0</v>
      </c>
    </row>
    <row r="136">
      <c r="A136" s="27" t="s">
        <v>42</v>
      </c>
      <c r="B136" s="27" t="s">
        <v>453</v>
      </c>
      <c r="C136" s="27" t="s">
        <v>454</v>
      </c>
      <c r="D136" s="27" t="s">
        <v>455</v>
      </c>
      <c r="E136" s="28" t="s">
        <v>46</v>
      </c>
      <c r="F136" s="29" t="s">
        <v>46</v>
      </c>
      <c r="G136" s="30" t="s">
        <v>46</v>
      </c>
      <c r="H136" s="31"/>
      <c r="I136" s="31" t="s">
        <v>47</v>
      </c>
      <c r="J136" s="32" t="n">
        <v>1.0</v>
      </c>
      <c r="K136" s="33" t="n">
        <f>12480</f>
        <v>12480.0</v>
      </c>
      <c r="L136" s="34" t="s">
        <v>48</v>
      </c>
      <c r="M136" s="33" t="n">
        <f>13560</f>
        <v>13560.0</v>
      </c>
      <c r="N136" s="34" t="s">
        <v>49</v>
      </c>
      <c r="O136" s="33" t="n">
        <f>12190</f>
        <v>12190.0</v>
      </c>
      <c r="P136" s="34" t="s">
        <v>92</v>
      </c>
      <c r="Q136" s="33" t="n">
        <f>13530</f>
        <v>13530.0</v>
      </c>
      <c r="R136" s="34" t="s">
        <v>49</v>
      </c>
      <c r="S136" s="35" t="n">
        <f>12928.1</f>
        <v>12928.1</v>
      </c>
      <c r="T136" s="32" t="n">
        <f>3624</f>
        <v>3624.0</v>
      </c>
      <c r="U136" s="32" t="str">
        <f>"－"</f>
        <v>－</v>
      </c>
      <c r="V136" s="32" t="n">
        <f>46997700</f>
        <v>4.69977E7</v>
      </c>
      <c r="W136" s="32" t="str">
        <f>"－"</f>
        <v>－</v>
      </c>
      <c r="X136" s="36" t="n">
        <f>21</f>
        <v>21.0</v>
      </c>
    </row>
    <row r="137">
      <c r="A137" s="27" t="s">
        <v>42</v>
      </c>
      <c r="B137" s="27" t="s">
        <v>456</v>
      </c>
      <c r="C137" s="27" t="s">
        <v>457</v>
      </c>
      <c r="D137" s="27" t="s">
        <v>458</v>
      </c>
      <c r="E137" s="28" t="s">
        <v>46</v>
      </c>
      <c r="F137" s="29" t="s">
        <v>46</v>
      </c>
      <c r="G137" s="30" t="s">
        <v>46</v>
      </c>
      <c r="H137" s="31" t="s">
        <v>459</v>
      </c>
      <c r="I137" s="31" t="s">
        <v>47</v>
      </c>
      <c r="J137" s="32" t="n">
        <v>10.0</v>
      </c>
      <c r="K137" s="33" t="n">
        <f>2043</f>
        <v>2043.0</v>
      </c>
      <c r="L137" s="34" t="s">
        <v>48</v>
      </c>
      <c r="M137" s="33" t="n">
        <f>2233</f>
        <v>2233.0</v>
      </c>
      <c r="N137" s="34" t="s">
        <v>49</v>
      </c>
      <c r="O137" s="33" t="n">
        <f>1955</f>
        <v>1955.0</v>
      </c>
      <c r="P137" s="34" t="s">
        <v>92</v>
      </c>
      <c r="Q137" s="33" t="n">
        <f>2233</f>
        <v>2233.0</v>
      </c>
      <c r="R137" s="34" t="s">
        <v>49</v>
      </c>
      <c r="S137" s="35" t="n">
        <f>2106.39</f>
        <v>2106.39</v>
      </c>
      <c r="T137" s="32" t="n">
        <f>12660</f>
        <v>12660.0</v>
      </c>
      <c r="U137" s="32" t="str">
        <f>"－"</f>
        <v>－</v>
      </c>
      <c r="V137" s="32" t="n">
        <f>25988110</f>
        <v>2.598811E7</v>
      </c>
      <c r="W137" s="32" t="str">
        <f>"－"</f>
        <v>－</v>
      </c>
      <c r="X137" s="36" t="n">
        <f>18</f>
        <v>18.0</v>
      </c>
    </row>
    <row r="138">
      <c r="A138" s="27" t="s">
        <v>42</v>
      </c>
      <c r="B138" s="27" t="s">
        <v>460</v>
      </c>
      <c r="C138" s="27" t="s">
        <v>461</v>
      </c>
      <c r="D138" s="27" t="s">
        <v>462</v>
      </c>
      <c r="E138" s="28" t="s">
        <v>46</v>
      </c>
      <c r="F138" s="29" t="s">
        <v>46</v>
      </c>
      <c r="G138" s="30" t="s">
        <v>46</v>
      </c>
      <c r="H138" s="31"/>
      <c r="I138" s="31" t="s">
        <v>47</v>
      </c>
      <c r="J138" s="32" t="n">
        <v>100.0</v>
      </c>
      <c r="K138" s="33" t="n">
        <f>115</f>
        <v>115.0</v>
      </c>
      <c r="L138" s="34" t="s">
        <v>48</v>
      </c>
      <c r="M138" s="33" t="n">
        <f>124</f>
        <v>124.0</v>
      </c>
      <c r="N138" s="34" t="s">
        <v>49</v>
      </c>
      <c r="O138" s="33" t="n">
        <f>109</f>
        <v>109.0</v>
      </c>
      <c r="P138" s="34" t="s">
        <v>50</v>
      </c>
      <c r="Q138" s="33" t="n">
        <f>123</f>
        <v>123.0</v>
      </c>
      <c r="R138" s="34" t="s">
        <v>49</v>
      </c>
      <c r="S138" s="35" t="n">
        <f>116.76</f>
        <v>116.76</v>
      </c>
      <c r="T138" s="32" t="n">
        <f>12913800</f>
        <v>1.29138E7</v>
      </c>
      <c r="U138" s="32" t="n">
        <f>100</f>
        <v>100.0</v>
      </c>
      <c r="V138" s="32" t="n">
        <f>1525315860</f>
        <v>1.52531586E9</v>
      </c>
      <c r="W138" s="32" t="n">
        <f>11760</f>
        <v>11760.0</v>
      </c>
      <c r="X138" s="36" t="n">
        <f>21</f>
        <v>21.0</v>
      </c>
    </row>
    <row r="139">
      <c r="A139" s="27" t="s">
        <v>42</v>
      </c>
      <c r="B139" s="27" t="s">
        <v>463</v>
      </c>
      <c r="C139" s="27" t="s">
        <v>464</v>
      </c>
      <c r="D139" s="27" t="s">
        <v>465</v>
      </c>
      <c r="E139" s="28" t="s">
        <v>46</v>
      </c>
      <c r="F139" s="29" t="s">
        <v>46</v>
      </c>
      <c r="G139" s="30" t="s">
        <v>46</v>
      </c>
      <c r="H139" s="31"/>
      <c r="I139" s="31" t="s">
        <v>47</v>
      </c>
      <c r="J139" s="32" t="n">
        <v>1.0</v>
      </c>
      <c r="K139" s="33" t="n">
        <f>25810</f>
        <v>25810.0</v>
      </c>
      <c r="L139" s="34" t="s">
        <v>48</v>
      </c>
      <c r="M139" s="33" t="n">
        <f>26360</f>
        <v>26360.0</v>
      </c>
      <c r="N139" s="34" t="s">
        <v>49</v>
      </c>
      <c r="O139" s="33" t="n">
        <f>24720</f>
        <v>24720.0</v>
      </c>
      <c r="P139" s="34" t="s">
        <v>61</v>
      </c>
      <c r="Q139" s="33" t="n">
        <f>25600</f>
        <v>25600.0</v>
      </c>
      <c r="R139" s="34" t="s">
        <v>49</v>
      </c>
      <c r="S139" s="35" t="n">
        <f>25671.67</f>
        <v>25671.67</v>
      </c>
      <c r="T139" s="32" t="n">
        <f>629</f>
        <v>629.0</v>
      </c>
      <c r="U139" s="32" t="str">
        <f>"－"</f>
        <v>－</v>
      </c>
      <c r="V139" s="32" t="n">
        <f>16127590</f>
        <v>1.612759E7</v>
      </c>
      <c r="W139" s="32" t="str">
        <f>"－"</f>
        <v>－</v>
      </c>
      <c r="X139" s="36" t="n">
        <f>18</f>
        <v>18.0</v>
      </c>
    </row>
    <row r="140">
      <c r="A140" s="27" t="s">
        <v>42</v>
      </c>
      <c r="B140" s="27" t="s">
        <v>466</v>
      </c>
      <c r="C140" s="27" t="s">
        <v>467</v>
      </c>
      <c r="D140" s="27" t="s">
        <v>468</v>
      </c>
      <c r="E140" s="28" t="s">
        <v>46</v>
      </c>
      <c r="F140" s="29" t="s">
        <v>46</v>
      </c>
      <c r="G140" s="30" t="s">
        <v>46</v>
      </c>
      <c r="H140" s="31"/>
      <c r="I140" s="31" t="s">
        <v>47</v>
      </c>
      <c r="J140" s="32" t="n">
        <v>1.0</v>
      </c>
      <c r="K140" s="33" t="n">
        <f>8200</f>
        <v>8200.0</v>
      </c>
      <c r="L140" s="34" t="s">
        <v>48</v>
      </c>
      <c r="M140" s="33" t="n">
        <f>8660</f>
        <v>8660.0</v>
      </c>
      <c r="N140" s="34" t="s">
        <v>192</v>
      </c>
      <c r="O140" s="33" t="n">
        <f>7830</f>
        <v>7830.0</v>
      </c>
      <c r="P140" s="34" t="s">
        <v>181</v>
      </c>
      <c r="Q140" s="33" t="n">
        <f>8630</f>
        <v>8630.0</v>
      </c>
      <c r="R140" s="34" t="s">
        <v>49</v>
      </c>
      <c r="S140" s="35" t="n">
        <f>8286.67</f>
        <v>8286.67</v>
      </c>
      <c r="T140" s="32" t="n">
        <f>4570</f>
        <v>4570.0</v>
      </c>
      <c r="U140" s="32" t="str">
        <f>"－"</f>
        <v>－</v>
      </c>
      <c r="V140" s="32" t="n">
        <f>37608490</f>
        <v>3.760849E7</v>
      </c>
      <c r="W140" s="32" t="str">
        <f>"－"</f>
        <v>－</v>
      </c>
      <c r="X140" s="36" t="n">
        <f>21</f>
        <v>21.0</v>
      </c>
    </row>
    <row r="141">
      <c r="A141" s="27" t="s">
        <v>42</v>
      </c>
      <c r="B141" s="27" t="s">
        <v>469</v>
      </c>
      <c r="C141" s="27" t="s">
        <v>470</v>
      </c>
      <c r="D141" s="27" t="s">
        <v>471</v>
      </c>
      <c r="E141" s="28" t="s">
        <v>46</v>
      </c>
      <c r="F141" s="29" t="s">
        <v>46</v>
      </c>
      <c r="G141" s="30" t="s">
        <v>46</v>
      </c>
      <c r="H141" s="31"/>
      <c r="I141" s="31" t="s">
        <v>47</v>
      </c>
      <c r="J141" s="32" t="n">
        <v>1.0</v>
      </c>
      <c r="K141" s="33" t="n">
        <f>17600</f>
        <v>17600.0</v>
      </c>
      <c r="L141" s="34" t="s">
        <v>48</v>
      </c>
      <c r="M141" s="33" t="n">
        <f>18000</f>
        <v>18000.0</v>
      </c>
      <c r="N141" s="34" t="s">
        <v>49</v>
      </c>
      <c r="O141" s="33" t="n">
        <f>15990</f>
        <v>15990.0</v>
      </c>
      <c r="P141" s="34" t="s">
        <v>50</v>
      </c>
      <c r="Q141" s="33" t="n">
        <f>18000</f>
        <v>18000.0</v>
      </c>
      <c r="R141" s="34" t="s">
        <v>49</v>
      </c>
      <c r="S141" s="35" t="n">
        <f>17097.78</f>
        <v>17097.78</v>
      </c>
      <c r="T141" s="32" t="n">
        <f>767</f>
        <v>767.0</v>
      </c>
      <c r="U141" s="32" t="str">
        <f>"－"</f>
        <v>－</v>
      </c>
      <c r="V141" s="32" t="n">
        <f>13002320</f>
        <v>1.300232E7</v>
      </c>
      <c r="W141" s="32" t="str">
        <f>"－"</f>
        <v>－</v>
      </c>
      <c r="X141" s="36" t="n">
        <f>18</f>
        <v>18.0</v>
      </c>
    </row>
    <row r="142">
      <c r="A142" s="27" t="s">
        <v>42</v>
      </c>
      <c r="B142" s="27" t="s">
        <v>472</v>
      </c>
      <c r="C142" s="27" t="s">
        <v>473</v>
      </c>
      <c r="D142" s="27" t="s">
        <v>474</v>
      </c>
      <c r="E142" s="28" t="s">
        <v>46</v>
      </c>
      <c r="F142" s="29" t="s">
        <v>46</v>
      </c>
      <c r="G142" s="30" t="s">
        <v>46</v>
      </c>
      <c r="H142" s="31"/>
      <c r="I142" s="31" t="s">
        <v>47</v>
      </c>
      <c r="J142" s="32" t="n">
        <v>1.0</v>
      </c>
      <c r="K142" s="33" t="n">
        <f>21070</f>
        <v>21070.0</v>
      </c>
      <c r="L142" s="34" t="s">
        <v>48</v>
      </c>
      <c r="M142" s="33" t="n">
        <f>22160</f>
        <v>22160.0</v>
      </c>
      <c r="N142" s="34" t="s">
        <v>188</v>
      </c>
      <c r="O142" s="33" t="n">
        <f>20180</f>
        <v>20180.0</v>
      </c>
      <c r="P142" s="34" t="s">
        <v>50</v>
      </c>
      <c r="Q142" s="33" t="n">
        <f>22140</f>
        <v>22140.0</v>
      </c>
      <c r="R142" s="34" t="s">
        <v>49</v>
      </c>
      <c r="S142" s="35" t="n">
        <f>21482.22</f>
        <v>21482.22</v>
      </c>
      <c r="T142" s="32" t="n">
        <f>159</f>
        <v>159.0</v>
      </c>
      <c r="U142" s="32" t="str">
        <f>"－"</f>
        <v>－</v>
      </c>
      <c r="V142" s="32" t="n">
        <f>3406130</f>
        <v>3406130.0</v>
      </c>
      <c r="W142" s="32" t="str">
        <f>"－"</f>
        <v>－</v>
      </c>
      <c r="X142" s="36" t="n">
        <f>18</f>
        <v>18.0</v>
      </c>
    </row>
    <row r="143">
      <c r="A143" s="27" t="s">
        <v>42</v>
      </c>
      <c r="B143" s="27" t="s">
        <v>475</v>
      </c>
      <c r="C143" s="27" t="s">
        <v>476</v>
      </c>
      <c r="D143" s="27" t="s">
        <v>477</v>
      </c>
      <c r="E143" s="28" t="s">
        <v>46</v>
      </c>
      <c r="F143" s="29" t="s">
        <v>46</v>
      </c>
      <c r="G143" s="30" t="s">
        <v>46</v>
      </c>
      <c r="H143" s="31"/>
      <c r="I143" s="31" t="s">
        <v>47</v>
      </c>
      <c r="J143" s="32" t="n">
        <v>1.0</v>
      </c>
      <c r="K143" s="33" t="n">
        <f>22690</f>
        <v>22690.0</v>
      </c>
      <c r="L143" s="34" t="s">
        <v>48</v>
      </c>
      <c r="M143" s="33" t="n">
        <f>24010</f>
        <v>24010.0</v>
      </c>
      <c r="N143" s="34" t="s">
        <v>49</v>
      </c>
      <c r="O143" s="33" t="n">
        <f>21130</f>
        <v>21130.0</v>
      </c>
      <c r="P143" s="34" t="s">
        <v>61</v>
      </c>
      <c r="Q143" s="33" t="n">
        <f>23700</f>
        <v>23700.0</v>
      </c>
      <c r="R143" s="34" t="s">
        <v>49</v>
      </c>
      <c r="S143" s="35" t="n">
        <f>22921.9</f>
        <v>22921.9</v>
      </c>
      <c r="T143" s="32" t="n">
        <f>6397</f>
        <v>6397.0</v>
      </c>
      <c r="U143" s="32" t="n">
        <f>1</f>
        <v>1.0</v>
      </c>
      <c r="V143" s="32" t="n">
        <f>147775130</f>
        <v>1.4777513E8</v>
      </c>
      <c r="W143" s="32" t="n">
        <f>21890</f>
        <v>21890.0</v>
      </c>
      <c r="X143" s="36" t="n">
        <f>21</f>
        <v>21.0</v>
      </c>
    </row>
    <row r="144">
      <c r="A144" s="27" t="s">
        <v>42</v>
      </c>
      <c r="B144" s="27" t="s">
        <v>478</v>
      </c>
      <c r="C144" s="27" t="s">
        <v>479</v>
      </c>
      <c r="D144" s="27" t="s">
        <v>480</v>
      </c>
      <c r="E144" s="28" t="s">
        <v>46</v>
      </c>
      <c r="F144" s="29" t="s">
        <v>46</v>
      </c>
      <c r="G144" s="30" t="s">
        <v>46</v>
      </c>
      <c r="H144" s="31"/>
      <c r="I144" s="31" t="s">
        <v>47</v>
      </c>
      <c r="J144" s="32" t="n">
        <v>1.0</v>
      </c>
      <c r="K144" s="33" t="n">
        <f>16170</f>
        <v>16170.0</v>
      </c>
      <c r="L144" s="34" t="s">
        <v>48</v>
      </c>
      <c r="M144" s="33" t="n">
        <f>17050</f>
        <v>17050.0</v>
      </c>
      <c r="N144" s="34" t="s">
        <v>49</v>
      </c>
      <c r="O144" s="33" t="n">
        <f>14870</f>
        <v>14870.0</v>
      </c>
      <c r="P144" s="34" t="s">
        <v>50</v>
      </c>
      <c r="Q144" s="33" t="n">
        <f>17050</f>
        <v>17050.0</v>
      </c>
      <c r="R144" s="34" t="s">
        <v>49</v>
      </c>
      <c r="S144" s="35" t="n">
        <f>16125.71</f>
        <v>16125.71</v>
      </c>
      <c r="T144" s="32" t="n">
        <f>1430</f>
        <v>1430.0</v>
      </c>
      <c r="U144" s="32" t="str">
        <f>"－"</f>
        <v>－</v>
      </c>
      <c r="V144" s="32" t="n">
        <f>22912220</f>
        <v>2.291222E7</v>
      </c>
      <c r="W144" s="32" t="str">
        <f>"－"</f>
        <v>－</v>
      </c>
      <c r="X144" s="36" t="n">
        <f>21</f>
        <v>21.0</v>
      </c>
    </row>
    <row r="145">
      <c r="A145" s="27" t="s">
        <v>42</v>
      </c>
      <c r="B145" s="27" t="s">
        <v>481</v>
      </c>
      <c r="C145" s="27" t="s">
        <v>482</v>
      </c>
      <c r="D145" s="27" t="s">
        <v>483</v>
      </c>
      <c r="E145" s="28" t="s">
        <v>46</v>
      </c>
      <c r="F145" s="29" t="s">
        <v>46</v>
      </c>
      <c r="G145" s="30" t="s">
        <v>46</v>
      </c>
      <c r="H145" s="31"/>
      <c r="I145" s="31" t="s">
        <v>47</v>
      </c>
      <c r="J145" s="32" t="n">
        <v>1.0</v>
      </c>
      <c r="K145" s="33" t="n">
        <f>9660</f>
        <v>9660.0</v>
      </c>
      <c r="L145" s="34" t="s">
        <v>48</v>
      </c>
      <c r="M145" s="33" t="n">
        <f>9890</f>
        <v>9890.0</v>
      </c>
      <c r="N145" s="34" t="s">
        <v>49</v>
      </c>
      <c r="O145" s="33" t="n">
        <f>8760</f>
        <v>8760.0</v>
      </c>
      <c r="P145" s="34" t="s">
        <v>92</v>
      </c>
      <c r="Q145" s="33" t="n">
        <f>9840</f>
        <v>9840.0</v>
      </c>
      <c r="R145" s="34" t="s">
        <v>49</v>
      </c>
      <c r="S145" s="35" t="n">
        <f>9334.29</f>
        <v>9334.29</v>
      </c>
      <c r="T145" s="32" t="n">
        <f>2429</f>
        <v>2429.0</v>
      </c>
      <c r="U145" s="32" t="n">
        <f>3</f>
        <v>3.0</v>
      </c>
      <c r="V145" s="32" t="n">
        <f>22596290</f>
        <v>2.259629E7</v>
      </c>
      <c r="W145" s="32" t="n">
        <f>29340</f>
        <v>29340.0</v>
      </c>
      <c r="X145" s="36" t="n">
        <f>21</f>
        <v>21.0</v>
      </c>
    </row>
    <row r="146">
      <c r="A146" s="27" t="s">
        <v>42</v>
      </c>
      <c r="B146" s="27" t="s">
        <v>484</v>
      </c>
      <c r="C146" s="27" t="s">
        <v>485</v>
      </c>
      <c r="D146" s="27" t="s">
        <v>486</v>
      </c>
      <c r="E146" s="28" t="s">
        <v>46</v>
      </c>
      <c r="F146" s="29" t="s">
        <v>46</v>
      </c>
      <c r="G146" s="30" t="s">
        <v>46</v>
      </c>
      <c r="H146" s="31"/>
      <c r="I146" s="31" t="s">
        <v>47</v>
      </c>
      <c r="J146" s="32" t="n">
        <v>1.0</v>
      </c>
      <c r="K146" s="33" t="n">
        <f>26450</f>
        <v>26450.0</v>
      </c>
      <c r="L146" s="34" t="s">
        <v>48</v>
      </c>
      <c r="M146" s="33" t="n">
        <f>28890</f>
        <v>28890.0</v>
      </c>
      <c r="N146" s="34" t="s">
        <v>49</v>
      </c>
      <c r="O146" s="33" t="n">
        <f>26000</f>
        <v>26000.0</v>
      </c>
      <c r="P146" s="34" t="s">
        <v>61</v>
      </c>
      <c r="Q146" s="33" t="n">
        <f>28890</f>
        <v>28890.0</v>
      </c>
      <c r="R146" s="34" t="s">
        <v>49</v>
      </c>
      <c r="S146" s="35" t="n">
        <f>27392.67</f>
        <v>27392.67</v>
      </c>
      <c r="T146" s="32" t="n">
        <f>198</f>
        <v>198.0</v>
      </c>
      <c r="U146" s="32" t="str">
        <f>"－"</f>
        <v>－</v>
      </c>
      <c r="V146" s="32" t="n">
        <f>5385360</f>
        <v>5385360.0</v>
      </c>
      <c r="W146" s="32" t="str">
        <f>"－"</f>
        <v>－</v>
      </c>
      <c r="X146" s="36" t="n">
        <f>15</f>
        <v>15.0</v>
      </c>
    </row>
    <row r="147">
      <c r="A147" s="27" t="s">
        <v>42</v>
      </c>
      <c r="B147" s="27" t="s">
        <v>487</v>
      </c>
      <c r="C147" s="27" t="s">
        <v>488</v>
      </c>
      <c r="D147" s="27" t="s">
        <v>489</v>
      </c>
      <c r="E147" s="28" t="s">
        <v>46</v>
      </c>
      <c r="F147" s="29" t="s">
        <v>46</v>
      </c>
      <c r="G147" s="30" t="s">
        <v>46</v>
      </c>
      <c r="H147" s="31"/>
      <c r="I147" s="31" t="s">
        <v>47</v>
      </c>
      <c r="J147" s="32" t="n">
        <v>1.0</v>
      </c>
      <c r="K147" s="33" t="n">
        <f>17560</f>
        <v>17560.0</v>
      </c>
      <c r="L147" s="34" t="s">
        <v>48</v>
      </c>
      <c r="M147" s="33" t="n">
        <f>18800</f>
        <v>18800.0</v>
      </c>
      <c r="N147" s="34" t="s">
        <v>49</v>
      </c>
      <c r="O147" s="33" t="n">
        <f>16610</f>
        <v>16610.0</v>
      </c>
      <c r="P147" s="34" t="s">
        <v>61</v>
      </c>
      <c r="Q147" s="33" t="n">
        <f>18800</f>
        <v>18800.0</v>
      </c>
      <c r="R147" s="34" t="s">
        <v>49</v>
      </c>
      <c r="S147" s="35" t="n">
        <f>17796.67</f>
        <v>17796.67</v>
      </c>
      <c r="T147" s="32" t="n">
        <f>265</f>
        <v>265.0</v>
      </c>
      <c r="U147" s="32" t="str">
        <f>"－"</f>
        <v>－</v>
      </c>
      <c r="V147" s="32" t="n">
        <f>4725270</f>
        <v>4725270.0</v>
      </c>
      <c r="W147" s="32" t="str">
        <f>"－"</f>
        <v>－</v>
      </c>
      <c r="X147" s="36" t="n">
        <f>18</f>
        <v>18.0</v>
      </c>
    </row>
    <row r="148">
      <c r="A148" s="27" t="s">
        <v>42</v>
      </c>
      <c r="B148" s="27" t="s">
        <v>490</v>
      </c>
      <c r="C148" s="27" t="s">
        <v>491</v>
      </c>
      <c r="D148" s="27" t="s">
        <v>492</v>
      </c>
      <c r="E148" s="28" t="s">
        <v>46</v>
      </c>
      <c r="F148" s="29" t="s">
        <v>46</v>
      </c>
      <c r="G148" s="30" t="s">
        <v>46</v>
      </c>
      <c r="H148" s="31"/>
      <c r="I148" s="31" t="s">
        <v>47</v>
      </c>
      <c r="J148" s="32" t="n">
        <v>1.0</v>
      </c>
      <c r="K148" s="33" t="n">
        <f>20960</f>
        <v>20960.0</v>
      </c>
      <c r="L148" s="34" t="s">
        <v>48</v>
      </c>
      <c r="M148" s="33" t="n">
        <f>22560</f>
        <v>22560.0</v>
      </c>
      <c r="N148" s="34" t="s">
        <v>49</v>
      </c>
      <c r="O148" s="33" t="n">
        <f>19850</f>
        <v>19850.0</v>
      </c>
      <c r="P148" s="34" t="s">
        <v>92</v>
      </c>
      <c r="Q148" s="33" t="n">
        <f>22390</f>
        <v>22390.0</v>
      </c>
      <c r="R148" s="34" t="s">
        <v>49</v>
      </c>
      <c r="S148" s="35" t="n">
        <f>21529.05</f>
        <v>21529.05</v>
      </c>
      <c r="T148" s="32" t="n">
        <f>1666</f>
        <v>1666.0</v>
      </c>
      <c r="U148" s="32" t="str">
        <f>"－"</f>
        <v>－</v>
      </c>
      <c r="V148" s="32" t="n">
        <f>36493770</f>
        <v>3.649377E7</v>
      </c>
      <c r="W148" s="32" t="str">
        <f>"－"</f>
        <v>－</v>
      </c>
      <c r="X148" s="36" t="n">
        <f>21</f>
        <v>21.0</v>
      </c>
    </row>
    <row r="149">
      <c r="A149" s="27" t="s">
        <v>42</v>
      </c>
      <c r="B149" s="27" t="s">
        <v>493</v>
      </c>
      <c r="C149" s="27" t="s">
        <v>494</v>
      </c>
      <c r="D149" s="27" t="s">
        <v>495</v>
      </c>
      <c r="E149" s="28" t="s">
        <v>46</v>
      </c>
      <c r="F149" s="29" t="s">
        <v>46</v>
      </c>
      <c r="G149" s="30" t="s">
        <v>46</v>
      </c>
      <c r="H149" s="31"/>
      <c r="I149" s="31" t="s">
        <v>47</v>
      </c>
      <c r="J149" s="32" t="n">
        <v>1.0</v>
      </c>
      <c r="K149" s="33" t="n">
        <f>6610</f>
        <v>6610.0</v>
      </c>
      <c r="L149" s="34" t="s">
        <v>48</v>
      </c>
      <c r="M149" s="33" t="n">
        <f>6890</f>
        <v>6890.0</v>
      </c>
      <c r="N149" s="34" t="s">
        <v>317</v>
      </c>
      <c r="O149" s="33" t="n">
        <f>6250</f>
        <v>6250.0</v>
      </c>
      <c r="P149" s="34" t="s">
        <v>50</v>
      </c>
      <c r="Q149" s="33" t="n">
        <f>6450</f>
        <v>6450.0</v>
      </c>
      <c r="R149" s="34" t="s">
        <v>49</v>
      </c>
      <c r="S149" s="35" t="n">
        <f>6609.47</f>
        <v>6609.47</v>
      </c>
      <c r="T149" s="32" t="n">
        <f>1818</f>
        <v>1818.0</v>
      </c>
      <c r="U149" s="32" t="str">
        <f>"－"</f>
        <v>－</v>
      </c>
      <c r="V149" s="32" t="n">
        <f>12136830</f>
        <v>1.213683E7</v>
      </c>
      <c r="W149" s="32" t="str">
        <f>"－"</f>
        <v>－</v>
      </c>
      <c r="X149" s="36" t="n">
        <f>19</f>
        <v>19.0</v>
      </c>
    </row>
    <row r="150">
      <c r="A150" s="27" t="s">
        <v>42</v>
      </c>
      <c r="B150" s="27" t="s">
        <v>496</v>
      </c>
      <c r="C150" s="27" t="s">
        <v>497</v>
      </c>
      <c r="D150" s="27" t="s">
        <v>498</v>
      </c>
      <c r="E150" s="28" t="s">
        <v>46</v>
      </c>
      <c r="F150" s="29" t="s">
        <v>46</v>
      </c>
      <c r="G150" s="30" t="s">
        <v>46</v>
      </c>
      <c r="H150" s="31"/>
      <c r="I150" s="31" t="s">
        <v>47</v>
      </c>
      <c r="J150" s="32" t="n">
        <v>1.0</v>
      </c>
      <c r="K150" s="33" t="n">
        <f>14610</f>
        <v>14610.0</v>
      </c>
      <c r="L150" s="34" t="s">
        <v>48</v>
      </c>
      <c r="M150" s="33" t="n">
        <f>15700</f>
        <v>15700.0</v>
      </c>
      <c r="N150" s="34" t="s">
        <v>96</v>
      </c>
      <c r="O150" s="33" t="n">
        <f>14140</f>
        <v>14140.0</v>
      </c>
      <c r="P150" s="34" t="s">
        <v>92</v>
      </c>
      <c r="Q150" s="33" t="n">
        <f>14800</f>
        <v>14800.0</v>
      </c>
      <c r="R150" s="34" t="s">
        <v>49</v>
      </c>
      <c r="S150" s="35" t="n">
        <f>14910.5</f>
        <v>14910.5</v>
      </c>
      <c r="T150" s="32" t="n">
        <f>1051</f>
        <v>1051.0</v>
      </c>
      <c r="U150" s="32" t="str">
        <f>"－"</f>
        <v>－</v>
      </c>
      <c r="V150" s="32" t="n">
        <f>15832310</f>
        <v>1.583231E7</v>
      </c>
      <c r="W150" s="32" t="str">
        <f>"－"</f>
        <v>－</v>
      </c>
      <c r="X150" s="36" t="n">
        <f>20</f>
        <v>20.0</v>
      </c>
    </row>
    <row r="151">
      <c r="A151" s="27" t="s">
        <v>42</v>
      </c>
      <c r="B151" s="27" t="s">
        <v>499</v>
      </c>
      <c r="C151" s="27" t="s">
        <v>500</v>
      </c>
      <c r="D151" s="27" t="s">
        <v>501</v>
      </c>
      <c r="E151" s="28" t="s">
        <v>46</v>
      </c>
      <c r="F151" s="29" t="s">
        <v>46</v>
      </c>
      <c r="G151" s="30" t="s">
        <v>46</v>
      </c>
      <c r="H151" s="31"/>
      <c r="I151" s="31" t="s">
        <v>47</v>
      </c>
      <c r="J151" s="32" t="n">
        <v>1.0</v>
      </c>
      <c r="K151" s="33" t="n">
        <f>29010</f>
        <v>29010.0</v>
      </c>
      <c r="L151" s="34" t="s">
        <v>48</v>
      </c>
      <c r="M151" s="33" t="n">
        <f>29010</f>
        <v>29010.0</v>
      </c>
      <c r="N151" s="34" t="s">
        <v>48</v>
      </c>
      <c r="O151" s="33" t="n">
        <f>26930</f>
        <v>26930.0</v>
      </c>
      <c r="P151" s="34" t="s">
        <v>50</v>
      </c>
      <c r="Q151" s="33" t="n">
        <f>28960</f>
        <v>28960.0</v>
      </c>
      <c r="R151" s="34" t="s">
        <v>49</v>
      </c>
      <c r="S151" s="35" t="n">
        <f>28062.5</f>
        <v>28062.5</v>
      </c>
      <c r="T151" s="32" t="n">
        <f>184</f>
        <v>184.0</v>
      </c>
      <c r="U151" s="32" t="str">
        <f>"－"</f>
        <v>－</v>
      </c>
      <c r="V151" s="32" t="n">
        <f>5147120</f>
        <v>5147120.0</v>
      </c>
      <c r="W151" s="32" t="str">
        <f>"－"</f>
        <v>－</v>
      </c>
      <c r="X151" s="36" t="n">
        <f>16</f>
        <v>16.0</v>
      </c>
    </row>
    <row r="152">
      <c r="A152" s="27" t="s">
        <v>42</v>
      </c>
      <c r="B152" s="27" t="s">
        <v>502</v>
      </c>
      <c r="C152" s="27" t="s">
        <v>503</v>
      </c>
      <c r="D152" s="27" t="s">
        <v>504</v>
      </c>
      <c r="E152" s="28" t="s">
        <v>46</v>
      </c>
      <c r="F152" s="29" t="s">
        <v>46</v>
      </c>
      <c r="G152" s="30" t="s">
        <v>46</v>
      </c>
      <c r="H152" s="31"/>
      <c r="I152" s="31" t="s">
        <v>47</v>
      </c>
      <c r="J152" s="32" t="n">
        <v>1.0</v>
      </c>
      <c r="K152" s="33" t="n">
        <f>16870</f>
        <v>16870.0</v>
      </c>
      <c r="L152" s="34" t="s">
        <v>92</v>
      </c>
      <c r="M152" s="33" t="n">
        <f>18700</f>
        <v>18700.0</v>
      </c>
      <c r="N152" s="34" t="s">
        <v>49</v>
      </c>
      <c r="O152" s="33" t="n">
        <f>16770</f>
        <v>16770.0</v>
      </c>
      <c r="P152" s="34" t="s">
        <v>92</v>
      </c>
      <c r="Q152" s="33" t="n">
        <f>18630</f>
        <v>18630.0</v>
      </c>
      <c r="R152" s="34" t="s">
        <v>49</v>
      </c>
      <c r="S152" s="35" t="n">
        <f>17691.67</f>
        <v>17691.67</v>
      </c>
      <c r="T152" s="32" t="n">
        <f>154</f>
        <v>154.0</v>
      </c>
      <c r="U152" s="32" t="str">
        <f>"－"</f>
        <v>－</v>
      </c>
      <c r="V152" s="32" t="n">
        <f>2757820</f>
        <v>2757820.0</v>
      </c>
      <c r="W152" s="32" t="str">
        <f>"－"</f>
        <v>－</v>
      </c>
      <c r="X152" s="36" t="n">
        <f>12</f>
        <v>12.0</v>
      </c>
    </row>
    <row r="153">
      <c r="A153" s="27" t="s">
        <v>42</v>
      </c>
      <c r="B153" s="27" t="s">
        <v>505</v>
      </c>
      <c r="C153" s="27" t="s">
        <v>506</v>
      </c>
      <c r="D153" s="27" t="s">
        <v>507</v>
      </c>
      <c r="E153" s="28" t="s">
        <v>46</v>
      </c>
      <c r="F153" s="29" t="s">
        <v>46</v>
      </c>
      <c r="G153" s="30" t="s">
        <v>46</v>
      </c>
      <c r="H153" s="31"/>
      <c r="I153" s="31" t="s">
        <v>47</v>
      </c>
      <c r="J153" s="32" t="n">
        <v>1.0</v>
      </c>
      <c r="K153" s="33" t="n">
        <f>6580</f>
        <v>6580.0</v>
      </c>
      <c r="L153" s="34" t="s">
        <v>48</v>
      </c>
      <c r="M153" s="33" t="n">
        <f>7020</f>
        <v>7020.0</v>
      </c>
      <c r="N153" s="34" t="s">
        <v>49</v>
      </c>
      <c r="O153" s="33" t="n">
        <f>6170</f>
        <v>6170.0</v>
      </c>
      <c r="P153" s="34" t="s">
        <v>61</v>
      </c>
      <c r="Q153" s="33" t="n">
        <f>6960</f>
        <v>6960.0</v>
      </c>
      <c r="R153" s="34" t="s">
        <v>49</v>
      </c>
      <c r="S153" s="35" t="n">
        <f>6634.76</f>
        <v>6634.76</v>
      </c>
      <c r="T153" s="32" t="n">
        <f>4935</f>
        <v>4935.0</v>
      </c>
      <c r="U153" s="32" t="n">
        <f>2</f>
        <v>2.0</v>
      </c>
      <c r="V153" s="32" t="n">
        <f>32912100</f>
        <v>3.29121E7</v>
      </c>
      <c r="W153" s="32" t="n">
        <f>13020</f>
        <v>13020.0</v>
      </c>
      <c r="X153" s="36" t="n">
        <f>21</f>
        <v>21.0</v>
      </c>
    </row>
    <row r="154">
      <c r="A154" s="27" t="s">
        <v>42</v>
      </c>
      <c r="B154" s="27" t="s">
        <v>508</v>
      </c>
      <c r="C154" s="27" t="s">
        <v>509</v>
      </c>
      <c r="D154" s="27" t="s">
        <v>510</v>
      </c>
      <c r="E154" s="28" t="s">
        <v>46</v>
      </c>
      <c r="F154" s="29" t="s">
        <v>46</v>
      </c>
      <c r="G154" s="30" t="s">
        <v>46</v>
      </c>
      <c r="H154" s="31"/>
      <c r="I154" s="31" t="s">
        <v>47</v>
      </c>
      <c r="J154" s="32" t="n">
        <v>1.0</v>
      </c>
      <c r="K154" s="33" t="n">
        <f>10240</f>
        <v>10240.0</v>
      </c>
      <c r="L154" s="34" t="s">
        <v>48</v>
      </c>
      <c r="M154" s="33" t="n">
        <f>10600</f>
        <v>10600.0</v>
      </c>
      <c r="N154" s="34" t="s">
        <v>49</v>
      </c>
      <c r="O154" s="33" t="n">
        <f>9520</f>
        <v>9520.0</v>
      </c>
      <c r="P154" s="34" t="s">
        <v>61</v>
      </c>
      <c r="Q154" s="33" t="n">
        <f>10600</f>
        <v>10600.0</v>
      </c>
      <c r="R154" s="34" t="s">
        <v>49</v>
      </c>
      <c r="S154" s="35" t="n">
        <f>10073.68</f>
        <v>10073.68</v>
      </c>
      <c r="T154" s="32" t="n">
        <f>665</f>
        <v>665.0</v>
      </c>
      <c r="U154" s="32" t="str">
        <f>"－"</f>
        <v>－</v>
      </c>
      <c r="V154" s="32" t="n">
        <f>6691830</f>
        <v>6691830.0</v>
      </c>
      <c r="W154" s="32" t="str">
        <f>"－"</f>
        <v>－</v>
      </c>
      <c r="X154" s="36" t="n">
        <f>19</f>
        <v>19.0</v>
      </c>
    </row>
    <row r="155">
      <c r="A155" s="27" t="s">
        <v>42</v>
      </c>
      <c r="B155" s="27" t="s">
        <v>511</v>
      </c>
      <c r="C155" s="27" t="s">
        <v>512</v>
      </c>
      <c r="D155" s="27" t="s">
        <v>513</v>
      </c>
      <c r="E155" s="28" t="s">
        <v>46</v>
      </c>
      <c r="F155" s="29" t="s">
        <v>46</v>
      </c>
      <c r="G155" s="30" t="s">
        <v>46</v>
      </c>
      <c r="H155" s="31"/>
      <c r="I155" s="31" t="s">
        <v>47</v>
      </c>
      <c r="J155" s="32" t="n">
        <v>1.0</v>
      </c>
      <c r="K155" s="33" t="n">
        <f>22400</f>
        <v>22400.0</v>
      </c>
      <c r="L155" s="34" t="s">
        <v>48</v>
      </c>
      <c r="M155" s="33" t="n">
        <f>24050</f>
        <v>24050.0</v>
      </c>
      <c r="N155" s="34" t="s">
        <v>49</v>
      </c>
      <c r="O155" s="33" t="n">
        <f>21150</f>
        <v>21150.0</v>
      </c>
      <c r="P155" s="34" t="s">
        <v>50</v>
      </c>
      <c r="Q155" s="33" t="n">
        <f>23980</f>
        <v>23980.0</v>
      </c>
      <c r="R155" s="34" t="s">
        <v>49</v>
      </c>
      <c r="S155" s="35" t="n">
        <f>22729.5</f>
        <v>22729.5</v>
      </c>
      <c r="T155" s="32" t="n">
        <f>802</f>
        <v>802.0</v>
      </c>
      <c r="U155" s="32" t="str">
        <f>"－"</f>
        <v>－</v>
      </c>
      <c r="V155" s="32" t="n">
        <f>18063140</f>
        <v>1.806314E7</v>
      </c>
      <c r="W155" s="32" t="str">
        <f>"－"</f>
        <v>－</v>
      </c>
      <c r="X155" s="36" t="n">
        <f>20</f>
        <v>20.0</v>
      </c>
    </row>
    <row r="156">
      <c r="A156" s="27" t="s">
        <v>42</v>
      </c>
      <c r="B156" s="27" t="s">
        <v>514</v>
      </c>
      <c r="C156" s="27" t="s">
        <v>515</v>
      </c>
      <c r="D156" s="27" t="s">
        <v>516</v>
      </c>
      <c r="E156" s="28" t="s">
        <v>46</v>
      </c>
      <c r="F156" s="29" t="s">
        <v>46</v>
      </c>
      <c r="G156" s="30" t="s">
        <v>46</v>
      </c>
      <c r="H156" s="31"/>
      <c r="I156" s="31" t="s">
        <v>47</v>
      </c>
      <c r="J156" s="32" t="n">
        <v>10.0</v>
      </c>
      <c r="K156" s="33" t="n">
        <f>785</f>
        <v>785.0</v>
      </c>
      <c r="L156" s="34" t="s">
        <v>48</v>
      </c>
      <c r="M156" s="33" t="n">
        <f>838</f>
        <v>838.0</v>
      </c>
      <c r="N156" s="34" t="s">
        <v>49</v>
      </c>
      <c r="O156" s="33" t="n">
        <f>742</f>
        <v>742.0</v>
      </c>
      <c r="P156" s="34" t="s">
        <v>50</v>
      </c>
      <c r="Q156" s="33" t="n">
        <f>817</f>
        <v>817.0</v>
      </c>
      <c r="R156" s="34" t="s">
        <v>49</v>
      </c>
      <c r="S156" s="35" t="n">
        <f>787.67</f>
        <v>787.67</v>
      </c>
      <c r="T156" s="32" t="n">
        <f>125770</f>
        <v>125770.0</v>
      </c>
      <c r="U156" s="32" t="str">
        <f>"－"</f>
        <v>－</v>
      </c>
      <c r="V156" s="32" t="n">
        <f>99444220</f>
        <v>9.944422E7</v>
      </c>
      <c r="W156" s="32" t="str">
        <f>"－"</f>
        <v>－</v>
      </c>
      <c r="X156" s="36" t="n">
        <f>21</f>
        <v>21.0</v>
      </c>
    </row>
    <row r="157">
      <c r="A157" s="27" t="s">
        <v>42</v>
      </c>
      <c r="B157" s="27" t="s">
        <v>517</v>
      </c>
      <c r="C157" s="27" t="s">
        <v>518</v>
      </c>
      <c r="D157" s="27" t="s">
        <v>519</v>
      </c>
      <c r="E157" s="28" t="s">
        <v>46</v>
      </c>
      <c r="F157" s="29" t="s">
        <v>46</v>
      </c>
      <c r="G157" s="30" t="s">
        <v>46</v>
      </c>
      <c r="H157" s="31"/>
      <c r="I157" s="31" t="s">
        <v>47</v>
      </c>
      <c r="J157" s="32" t="n">
        <v>10.0</v>
      </c>
      <c r="K157" s="33" t="n">
        <f>1714</f>
        <v>1714.0</v>
      </c>
      <c r="L157" s="34" t="s">
        <v>61</v>
      </c>
      <c r="M157" s="33" t="n">
        <f>1835</f>
        <v>1835.0</v>
      </c>
      <c r="N157" s="34" t="s">
        <v>188</v>
      </c>
      <c r="O157" s="33" t="n">
        <f>1714</f>
        <v>1714.0</v>
      </c>
      <c r="P157" s="34" t="s">
        <v>61</v>
      </c>
      <c r="Q157" s="33" t="n">
        <f>1817</f>
        <v>1817.0</v>
      </c>
      <c r="R157" s="34" t="s">
        <v>87</v>
      </c>
      <c r="S157" s="35" t="n">
        <f>1804.17</f>
        <v>1804.17</v>
      </c>
      <c r="T157" s="32" t="n">
        <f>100</f>
        <v>100.0</v>
      </c>
      <c r="U157" s="32" t="str">
        <f>"－"</f>
        <v>－</v>
      </c>
      <c r="V157" s="32" t="n">
        <f>181530</f>
        <v>181530.0</v>
      </c>
      <c r="W157" s="32" t="str">
        <f>"－"</f>
        <v>－</v>
      </c>
      <c r="X157" s="36" t="n">
        <f>6</f>
        <v>6.0</v>
      </c>
    </row>
    <row r="158">
      <c r="A158" s="27" t="s">
        <v>42</v>
      </c>
      <c r="B158" s="27" t="s">
        <v>520</v>
      </c>
      <c r="C158" s="27" t="s">
        <v>521</v>
      </c>
      <c r="D158" s="27" t="s">
        <v>522</v>
      </c>
      <c r="E158" s="28" t="s">
        <v>46</v>
      </c>
      <c r="F158" s="29" t="s">
        <v>46</v>
      </c>
      <c r="G158" s="30" t="s">
        <v>46</v>
      </c>
      <c r="H158" s="31"/>
      <c r="I158" s="31" t="s">
        <v>47</v>
      </c>
      <c r="J158" s="32" t="n">
        <v>10.0</v>
      </c>
      <c r="K158" s="33" t="n">
        <f>1799</f>
        <v>1799.0</v>
      </c>
      <c r="L158" s="34" t="s">
        <v>48</v>
      </c>
      <c r="M158" s="33" t="n">
        <f>1891</f>
        <v>1891.0</v>
      </c>
      <c r="N158" s="34" t="s">
        <v>49</v>
      </c>
      <c r="O158" s="33" t="n">
        <f>1739</f>
        <v>1739.0</v>
      </c>
      <c r="P158" s="34" t="s">
        <v>61</v>
      </c>
      <c r="Q158" s="33" t="n">
        <f>1891</f>
        <v>1891.0</v>
      </c>
      <c r="R158" s="34" t="s">
        <v>49</v>
      </c>
      <c r="S158" s="35" t="n">
        <f>1834.63</f>
        <v>1834.63</v>
      </c>
      <c r="T158" s="32" t="n">
        <f>3310</f>
        <v>3310.0</v>
      </c>
      <c r="U158" s="32" t="str">
        <f>"－"</f>
        <v>－</v>
      </c>
      <c r="V158" s="32" t="n">
        <f>6109530</f>
        <v>6109530.0</v>
      </c>
      <c r="W158" s="32" t="str">
        <f>"－"</f>
        <v>－</v>
      </c>
      <c r="X158" s="36" t="n">
        <f>16</f>
        <v>16.0</v>
      </c>
    </row>
    <row r="159">
      <c r="A159" s="27" t="s">
        <v>42</v>
      </c>
      <c r="B159" s="27" t="s">
        <v>523</v>
      </c>
      <c r="C159" s="27" t="s">
        <v>524</v>
      </c>
      <c r="D159" s="27" t="s">
        <v>525</v>
      </c>
      <c r="E159" s="28" t="s">
        <v>46</v>
      </c>
      <c r="F159" s="29" t="s">
        <v>46</v>
      </c>
      <c r="G159" s="30" t="s">
        <v>46</v>
      </c>
      <c r="H159" s="31"/>
      <c r="I159" s="31" t="s">
        <v>47</v>
      </c>
      <c r="J159" s="32" t="n">
        <v>10.0</v>
      </c>
      <c r="K159" s="33" t="n">
        <f>1057</f>
        <v>1057.0</v>
      </c>
      <c r="L159" s="34" t="s">
        <v>48</v>
      </c>
      <c r="M159" s="33" t="n">
        <f>1115</f>
        <v>1115.0</v>
      </c>
      <c r="N159" s="34" t="s">
        <v>49</v>
      </c>
      <c r="O159" s="33" t="n">
        <f>1011</f>
        <v>1011.0</v>
      </c>
      <c r="P159" s="34" t="s">
        <v>50</v>
      </c>
      <c r="Q159" s="33" t="n">
        <f>1115</f>
        <v>1115.0</v>
      </c>
      <c r="R159" s="34" t="s">
        <v>49</v>
      </c>
      <c r="S159" s="35" t="n">
        <f>1074.4</f>
        <v>1074.4</v>
      </c>
      <c r="T159" s="32" t="n">
        <f>24050</f>
        <v>24050.0</v>
      </c>
      <c r="U159" s="32" t="str">
        <f>"－"</f>
        <v>－</v>
      </c>
      <c r="V159" s="32" t="n">
        <f>26046420</f>
        <v>2.604642E7</v>
      </c>
      <c r="W159" s="32" t="str">
        <f>"－"</f>
        <v>－</v>
      </c>
      <c r="X159" s="36" t="n">
        <f>15</f>
        <v>15.0</v>
      </c>
    </row>
    <row r="160">
      <c r="A160" s="27" t="s">
        <v>42</v>
      </c>
      <c r="B160" s="27" t="s">
        <v>526</v>
      </c>
      <c r="C160" s="27" t="s">
        <v>527</v>
      </c>
      <c r="D160" s="27" t="s">
        <v>528</v>
      </c>
      <c r="E160" s="28" t="s">
        <v>46</v>
      </c>
      <c r="F160" s="29" t="s">
        <v>46</v>
      </c>
      <c r="G160" s="30" t="s">
        <v>46</v>
      </c>
      <c r="H160" s="31"/>
      <c r="I160" s="31" t="s">
        <v>47</v>
      </c>
      <c r="J160" s="32" t="n">
        <v>1.0</v>
      </c>
      <c r="K160" s="33" t="n">
        <f>1953</f>
        <v>1953.0</v>
      </c>
      <c r="L160" s="34" t="s">
        <v>48</v>
      </c>
      <c r="M160" s="33" t="n">
        <f>2263</f>
        <v>2263.0</v>
      </c>
      <c r="N160" s="34" t="s">
        <v>49</v>
      </c>
      <c r="O160" s="33" t="n">
        <f>1891</f>
        <v>1891.0</v>
      </c>
      <c r="P160" s="34" t="s">
        <v>61</v>
      </c>
      <c r="Q160" s="33" t="n">
        <f>2256</f>
        <v>2256.0</v>
      </c>
      <c r="R160" s="34" t="s">
        <v>49</v>
      </c>
      <c r="S160" s="35" t="n">
        <f>2118.48</f>
        <v>2118.48</v>
      </c>
      <c r="T160" s="32" t="n">
        <f>1868124</f>
        <v>1868124.0</v>
      </c>
      <c r="U160" s="32" t="str">
        <f>"－"</f>
        <v>－</v>
      </c>
      <c r="V160" s="32" t="n">
        <f>3971499884</f>
        <v>3.971499884E9</v>
      </c>
      <c r="W160" s="32" t="str">
        <f>"－"</f>
        <v>－</v>
      </c>
      <c r="X160" s="36" t="n">
        <f>21</f>
        <v>21.0</v>
      </c>
    </row>
    <row r="161">
      <c r="A161" s="27" t="s">
        <v>42</v>
      </c>
      <c r="B161" s="27" t="s">
        <v>529</v>
      </c>
      <c r="C161" s="27" t="s">
        <v>530</v>
      </c>
      <c r="D161" s="27" t="s">
        <v>531</v>
      </c>
      <c r="E161" s="28" t="s">
        <v>46</v>
      </c>
      <c r="F161" s="29" t="s">
        <v>46</v>
      </c>
      <c r="G161" s="30" t="s">
        <v>46</v>
      </c>
      <c r="H161" s="31"/>
      <c r="I161" s="31" t="s">
        <v>47</v>
      </c>
      <c r="J161" s="32" t="n">
        <v>1.0</v>
      </c>
      <c r="K161" s="33" t="n">
        <f>2732</f>
        <v>2732.0</v>
      </c>
      <c r="L161" s="34" t="s">
        <v>48</v>
      </c>
      <c r="M161" s="33" t="n">
        <f>2785</f>
        <v>2785.0</v>
      </c>
      <c r="N161" s="34" t="s">
        <v>92</v>
      </c>
      <c r="O161" s="33" t="n">
        <f>2678</f>
        <v>2678.0</v>
      </c>
      <c r="P161" s="34" t="s">
        <v>91</v>
      </c>
      <c r="Q161" s="33" t="n">
        <f>2700</f>
        <v>2700.0</v>
      </c>
      <c r="R161" s="34" t="s">
        <v>49</v>
      </c>
      <c r="S161" s="35" t="n">
        <f>2726.62</f>
        <v>2726.62</v>
      </c>
      <c r="T161" s="32" t="n">
        <f>59465</f>
        <v>59465.0</v>
      </c>
      <c r="U161" s="32" t="n">
        <f>37000</f>
        <v>37000.0</v>
      </c>
      <c r="V161" s="32" t="n">
        <f>163829148</f>
        <v>1.63829148E8</v>
      </c>
      <c r="W161" s="32" t="n">
        <f>102615800</f>
        <v>1.026158E8</v>
      </c>
      <c r="X161" s="36" t="n">
        <f>21</f>
        <v>21.0</v>
      </c>
    </row>
    <row r="162">
      <c r="A162" s="27" t="s">
        <v>42</v>
      </c>
      <c r="B162" s="27" t="s">
        <v>532</v>
      </c>
      <c r="C162" s="27" t="s">
        <v>533</v>
      </c>
      <c r="D162" s="27" t="s">
        <v>534</v>
      </c>
      <c r="E162" s="28" t="s">
        <v>46</v>
      </c>
      <c r="F162" s="29" t="s">
        <v>46</v>
      </c>
      <c r="G162" s="30" t="s">
        <v>46</v>
      </c>
      <c r="H162" s="31"/>
      <c r="I162" s="31" t="s">
        <v>47</v>
      </c>
      <c r="J162" s="32" t="n">
        <v>1.0</v>
      </c>
      <c r="K162" s="33" t="n">
        <f>1796</f>
        <v>1796.0</v>
      </c>
      <c r="L162" s="34" t="s">
        <v>48</v>
      </c>
      <c r="M162" s="33" t="n">
        <f>2046</f>
        <v>2046.0</v>
      </c>
      <c r="N162" s="34" t="s">
        <v>49</v>
      </c>
      <c r="O162" s="33" t="n">
        <f>1696</f>
        <v>1696.0</v>
      </c>
      <c r="P162" s="34" t="s">
        <v>61</v>
      </c>
      <c r="Q162" s="33" t="n">
        <f>2041</f>
        <v>2041.0</v>
      </c>
      <c r="R162" s="34" t="s">
        <v>49</v>
      </c>
      <c r="S162" s="35" t="n">
        <f>1908.76</f>
        <v>1908.76</v>
      </c>
      <c r="T162" s="32" t="n">
        <f>91352</f>
        <v>91352.0</v>
      </c>
      <c r="U162" s="32" t="str">
        <f>"－"</f>
        <v>－</v>
      </c>
      <c r="V162" s="32" t="n">
        <f>175009995</f>
        <v>1.75009995E8</v>
      </c>
      <c r="W162" s="32" t="str">
        <f>"－"</f>
        <v>－</v>
      </c>
      <c r="X162" s="36" t="n">
        <f>21</f>
        <v>21.0</v>
      </c>
    </row>
    <row r="163">
      <c r="A163" s="27" t="s">
        <v>42</v>
      </c>
      <c r="B163" s="27" t="s">
        <v>535</v>
      </c>
      <c r="C163" s="27" t="s">
        <v>536</v>
      </c>
      <c r="D163" s="27" t="s">
        <v>537</v>
      </c>
      <c r="E163" s="28" t="s">
        <v>46</v>
      </c>
      <c r="F163" s="29" t="s">
        <v>46</v>
      </c>
      <c r="G163" s="30" t="s">
        <v>46</v>
      </c>
      <c r="H163" s="31"/>
      <c r="I163" s="31" t="s">
        <v>47</v>
      </c>
      <c r="J163" s="32" t="n">
        <v>1.0</v>
      </c>
      <c r="K163" s="33" t="n">
        <f>1468</f>
        <v>1468.0</v>
      </c>
      <c r="L163" s="34" t="s">
        <v>48</v>
      </c>
      <c r="M163" s="33" t="n">
        <f>1609</f>
        <v>1609.0</v>
      </c>
      <c r="N163" s="34" t="s">
        <v>49</v>
      </c>
      <c r="O163" s="33" t="n">
        <f>1392</f>
        <v>1392.0</v>
      </c>
      <c r="P163" s="34" t="s">
        <v>61</v>
      </c>
      <c r="Q163" s="33" t="n">
        <f>1608</f>
        <v>1608.0</v>
      </c>
      <c r="R163" s="34" t="s">
        <v>49</v>
      </c>
      <c r="S163" s="35" t="n">
        <f>1520.81</f>
        <v>1520.81</v>
      </c>
      <c r="T163" s="32" t="n">
        <f>82946</f>
        <v>82946.0</v>
      </c>
      <c r="U163" s="32" t="n">
        <f>5</f>
        <v>5.0</v>
      </c>
      <c r="V163" s="32" t="n">
        <f>125713000</f>
        <v>1.25713E8</v>
      </c>
      <c r="W163" s="32" t="n">
        <f>7585</f>
        <v>7585.0</v>
      </c>
      <c r="X163" s="36" t="n">
        <f>21</f>
        <v>21.0</v>
      </c>
    </row>
    <row r="164">
      <c r="A164" s="27" t="s">
        <v>42</v>
      </c>
      <c r="B164" s="27" t="s">
        <v>538</v>
      </c>
      <c r="C164" s="27" t="s">
        <v>539</v>
      </c>
      <c r="D164" s="27" t="s">
        <v>540</v>
      </c>
      <c r="E164" s="28" t="s">
        <v>46</v>
      </c>
      <c r="F164" s="29" t="s">
        <v>46</v>
      </c>
      <c r="G164" s="30" t="s">
        <v>46</v>
      </c>
      <c r="H164" s="31"/>
      <c r="I164" s="31" t="s">
        <v>47</v>
      </c>
      <c r="J164" s="32" t="n">
        <v>1.0</v>
      </c>
      <c r="K164" s="33" t="n">
        <f>1620</f>
        <v>1620.0</v>
      </c>
      <c r="L164" s="34" t="s">
        <v>48</v>
      </c>
      <c r="M164" s="33" t="n">
        <f>1809</f>
        <v>1809.0</v>
      </c>
      <c r="N164" s="34" t="s">
        <v>60</v>
      </c>
      <c r="O164" s="33" t="n">
        <f>1501</f>
        <v>1501.0</v>
      </c>
      <c r="P164" s="34" t="s">
        <v>92</v>
      </c>
      <c r="Q164" s="33" t="n">
        <f>1756</f>
        <v>1756.0</v>
      </c>
      <c r="R164" s="34" t="s">
        <v>49</v>
      </c>
      <c r="S164" s="35" t="n">
        <f>1664.33</f>
        <v>1664.33</v>
      </c>
      <c r="T164" s="32" t="n">
        <f>252566</f>
        <v>252566.0</v>
      </c>
      <c r="U164" s="32" t="n">
        <f>81</f>
        <v>81.0</v>
      </c>
      <c r="V164" s="32" t="n">
        <f>422152506</f>
        <v>4.22152506E8</v>
      </c>
      <c r="W164" s="32" t="n">
        <f>122715</f>
        <v>122715.0</v>
      </c>
      <c r="X164" s="36" t="n">
        <f>21</f>
        <v>21.0</v>
      </c>
    </row>
    <row r="165">
      <c r="A165" s="27" t="s">
        <v>42</v>
      </c>
      <c r="B165" s="27" t="s">
        <v>541</v>
      </c>
      <c r="C165" s="27" t="s">
        <v>542</v>
      </c>
      <c r="D165" s="27" t="s">
        <v>543</v>
      </c>
      <c r="E165" s="28" t="s">
        <v>46</v>
      </c>
      <c r="F165" s="29" t="s">
        <v>46</v>
      </c>
      <c r="G165" s="30" t="s">
        <v>46</v>
      </c>
      <c r="H165" s="31"/>
      <c r="I165" s="31" t="s">
        <v>47</v>
      </c>
      <c r="J165" s="32" t="n">
        <v>1.0</v>
      </c>
      <c r="K165" s="33" t="n">
        <f>8180</f>
        <v>8180.0</v>
      </c>
      <c r="L165" s="34" t="s">
        <v>48</v>
      </c>
      <c r="M165" s="33" t="n">
        <f>8500</f>
        <v>8500.0</v>
      </c>
      <c r="N165" s="34" t="s">
        <v>96</v>
      </c>
      <c r="O165" s="33" t="n">
        <f>7340</f>
        <v>7340.0</v>
      </c>
      <c r="P165" s="34" t="s">
        <v>61</v>
      </c>
      <c r="Q165" s="33" t="n">
        <f>8150</f>
        <v>8150.0</v>
      </c>
      <c r="R165" s="34" t="s">
        <v>49</v>
      </c>
      <c r="S165" s="35" t="n">
        <f>7923.81</f>
        <v>7923.81</v>
      </c>
      <c r="T165" s="32" t="n">
        <f>37025</f>
        <v>37025.0</v>
      </c>
      <c r="U165" s="32" t="n">
        <f>7903</f>
        <v>7903.0</v>
      </c>
      <c r="V165" s="32" t="n">
        <f>290717475</f>
        <v>2.90717475E8</v>
      </c>
      <c r="W165" s="32" t="n">
        <f>61245795</f>
        <v>6.1245795E7</v>
      </c>
      <c r="X165" s="36" t="n">
        <f>21</f>
        <v>21.0</v>
      </c>
    </row>
    <row r="166">
      <c r="A166" s="27" t="s">
        <v>42</v>
      </c>
      <c r="B166" s="27" t="s">
        <v>544</v>
      </c>
      <c r="C166" s="27" t="s">
        <v>545</v>
      </c>
      <c r="D166" s="27" t="s">
        <v>546</v>
      </c>
      <c r="E166" s="28" t="s">
        <v>46</v>
      </c>
      <c r="F166" s="29" t="s">
        <v>46</v>
      </c>
      <c r="G166" s="30" t="s">
        <v>46</v>
      </c>
      <c r="H166" s="31"/>
      <c r="I166" s="31" t="s">
        <v>47</v>
      </c>
      <c r="J166" s="32" t="n">
        <v>100.0</v>
      </c>
      <c r="K166" s="33" t="n">
        <f>101</f>
        <v>101.0</v>
      </c>
      <c r="L166" s="34" t="s">
        <v>48</v>
      </c>
      <c r="M166" s="33" t="n">
        <f>113</f>
        <v>113.0</v>
      </c>
      <c r="N166" s="34" t="s">
        <v>65</v>
      </c>
      <c r="O166" s="33" t="n">
        <f>101</f>
        <v>101.0</v>
      </c>
      <c r="P166" s="34" t="s">
        <v>48</v>
      </c>
      <c r="Q166" s="33" t="n">
        <f>110</f>
        <v>110.0</v>
      </c>
      <c r="R166" s="34" t="s">
        <v>49</v>
      </c>
      <c r="S166" s="35" t="n">
        <f>106</f>
        <v>106.0</v>
      </c>
      <c r="T166" s="32" t="n">
        <f>37700</f>
        <v>37700.0</v>
      </c>
      <c r="U166" s="32" t="str">
        <f>"－"</f>
        <v>－</v>
      </c>
      <c r="V166" s="32" t="n">
        <f>4025000</f>
        <v>4025000.0</v>
      </c>
      <c r="W166" s="32" t="str">
        <f>"－"</f>
        <v>－</v>
      </c>
      <c r="X166" s="36" t="n">
        <f>20</f>
        <v>20.0</v>
      </c>
    </row>
    <row r="167">
      <c r="A167" s="27" t="s">
        <v>42</v>
      </c>
      <c r="B167" s="27" t="s">
        <v>547</v>
      </c>
      <c r="C167" s="27" t="s">
        <v>548</v>
      </c>
      <c r="D167" s="27" t="s">
        <v>549</v>
      </c>
      <c r="E167" s="28" t="s">
        <v>46</v>
      </c>
      <c r="F167" s="29" t="s">
        <v>46</v>
      </c>
      <c r="G167" s="30" t="s">
        <v>46</v>
      </c>
      <c r="H167" s="31"/>
      <c r="I167" s="31" t="s">
        <v>47</v>
      </c>
      <c r="J167" s="32" t="n">
        <v>1.0</v>
      </c>
      <c r="K167" s="33" t="n">
        <f>954</f>
        <v>954.0</v>
      </c>
      <c r="L167" s="34" t="s">
        <v>48</v>
      </c>
      <c r="M167" s="33" t="n">
        <f>1224</f>
        <v>1224.0</v>
      </c>
      <c r="N167" s="34" t="s">
        <v>92</v>
      </c>
      <c r="O167" s="33" t="n">
        <f>465</f>
        <v>465.0</v>
      </c>
      <c r="P167" s="34" t="s">
        <v>107</v>
      </c>
      <c r="Q167" s="33" t="n">
        <f>539</f>
        <v>539.0</v>
      </c>
      <c r="R167" s="34" t="s">
        <v>49</v>
      </c>
      <c r="S167" s="35" t="n">
        <f>926.95</f>
        <v>926.95</v>
      </c>
      <c r="T167" s="32" t="n">
        <f>232646785</f>
        <v>2.32646785E8</v>
      </c>
      <c r="U167" s="32" t="n">
        <f>795744</f>
        <v>795744.0</v>
      </c>
      <c r="V167" s="32" t="n">
        <f>191962806653</f>
        <v>1.91962806653E11</v>
      </c>
      <c r="W167" s="32" t="n">
        <f>807655768</f>
        <v>8.07655768E8</v>
      </c>
      <c r="X167" s="36" t="n">
        <f>21</f>
        <v>21.0</v>
      </c>
    </row>
    <row r="168">
      <c r="A168" s="27" t="s">
        <v>42</v>
      </c>
      <c r="B168" s="27" t="s">
        <v>550</v>
      </c>
      <c r="C168" s="27" t="s">
        <v>551</v>
      </c>
      <c r="D168" s="27" t="s">
        <v>552</v>
      </c>
      <c r="E168" s="28" t="s">
        <v>46</v>
      </c>
      <c r="F168" s="29" t="s">
        <v>46</v>
      </c>
      <c r="G168" s="30" t="s">
        <v>46</v>
      </c>
      <c r="H168" s="31"/>
      <c r="I168" s="31" t="s">
        <v>47</v>
      </c>
      <c r="J168" s="32" t="n">
        <v>1.0</v>
      </c>
      <c r="K168" s="33" t="n">
        <f>16690</f>
        <v>16690.0</v>
      </c>
      <c r="L168" s="34" t="s">
        <v>48</v>
      </c>
      <c r="M168" s="33" t="n">
        <f>17820</f>
        <v>17820.0</v>
      </c>
      <c r="N168" s="34" t="s">
        <v>307</v>
      </c>
      <c r="O168" s="33" t="n">
        <f>16050</f>
        <v>16050.0</v>
      </c>
      <c r="P168" s="34" t="s">
        <v>48</v>
      </c>
      <c r="Q168" s="33" t="n">
        <f>17600</f>
        <v>17600.0</v>
      </c>
      <c r="R168" s="34" t="s">
        <v>49</v>
      </c>
      <c r="S168" s="35" t="n">
        <f>17100</f>
        <v>17100.0</v>
      </c>
      <c r="T168" s="32" t="n">
        <f>3610</f>
        <v>3610.0</v>
      </c>
      <c r="U168" s="32" t="str">
        <f>"－"</f>
        <v>－</v>
      </c>
      <c r="V168" s="32" t="n">
        <f>62553690</f>
        <v>6.255369E7</v>
      </c>
      <c r="W168" s="32" t="str">
        <f>"－"</f>
        <v>－</v>
      </c>
      <c r="X168" s="36" t="n">
        <f>21</f>
        <v>21.0</v>
      </c>
    </row>
    <row r="169">
      <c r="A169" s="27" t="s">
        <v>42</v>
      </c>
      <c r="B169" s="27" t="s">
        <v>553</v>
      </c>
      <c r="C169" s="27" t="s">
        <v>554</v>
      </c>
      <c r="D169" s="27" t="s">
        <v>555</v>
      </c>
      <c r="E169" s="28" t="s">
        <v>46</v>
      </c>
      <c r="F169" s="29" t="s">
        <v>46</v>
      </c>
      <c r="G169" s="30" t="s">
        <v>46</v>
      </c>
      <c r="H169" s="31"/>
      <c r="I169" s="31" t="s">
        <v>47</v>
      </c>
      <c r="J169" s="32" t="n">
        <v>10.0</v>
      </c>
      <c r="K169" s="33" t="n">
        <f>1306</f>
        <v>1306.0</v>
      </c>
      <c r="L169" s="34" t="s">
        <v>61</v>
      </c>
      <c r="M169" s="33" t="n">
        <f>1600</f>
        <v>1600.0</v>
      </c>
      <c r="N169" s="34" t="s">
        <v>61</v>
      </c>
      <c r="O169" s="33" t="n">
        <f>1306</f>
        <v>1306.0</v>
      </c>
      <c r="P169" s="34" t="s">
        <v>61</v>
      </c>
      <c r="Q169" s="33" t="n">
        <f>1490</f>
        <v>1490.0</v>
      </c>
      <c r="R169" s="34" t="s">
        <v>49</v>
      </c>
      <c r="S169" s="35" t="n">
        <f>1488.42</f>
        <v>1488.42</v>
      </c>
      <c r="T169" s="32" t="n">
        <f>1310</f>
        <v>1310.0</v>
      </c>
      <c r="U169" s="32" t="str">
        <f>"－"</f>
        <v>－</v>
      </c>
      <c r="V169" s="32" t="n">
        <f>1961920</f>
        <v>1961920.0</v>
      </c>
      <c r="W169" s="32" t="str">
        <f>"－"</f>
        <v>－</v>
      </c>
      <c r="X169" s="36" t="n">
        <f>12</f>
        <v>12.0</v>
      </c>
    </row>
    <row r="170">
      <c r="A170" s="27" t="s">
        <v>42</v>
      </c>
      <c r="B170" s="27" t="s">
        <v>556</v>
      </c>
      <c r="C170" s="27" t="s">
        <v>557</v>
      </c>
      <c r="D170" s="27" t="s">
        <v>558</v>
      </c>
      <c r="E170" s="28" t="s">
        <v>46</v>
      </c>
      <c r="F170" s="29" t="s">
        <v>46</v>
      </c>
      <c r="G170" s="30" t="s">
        <v>46</v>
      </c>
      <c r="H170" s="31"/>
      <c r="I170" s="31" t="s">
        <v>47</v>
      </c>
      <c r="J170" s="32" t="n">
        <v>1.0</v>
      </c>
      <c r="K170" s="33" t="n">
        <f>7990</f>
        <v>7990.0</v>
      </c>
      <c r="L170" s="34" t="s">
        <v>48</v>
      </c>
      <c r="M170" s="33" t="n">
        <f>8890</f>
        <v>8890.0</v>
      </c>
      <c r="N170" s="34" t="s">
        <v>91</v>
      </c>
      <c r="O170" s="33" t="n">
        <f>7220</f>
        <v>7220.0</v>
      </c>
      <c r="P170" s="34" t="s">
        <v>48</v>
      </c>
      <c r="Q170" s="33" t="n">
        <f>7850</f>
        <v>7850.0</v>
      </c>
      <c r="R170" s="34" t="s">
        <v>49</v>
      </c>
      <c r="S170" s="35" t="n">
        <f>8141.43</f>
        <v>8141.43</v>
      </c>
      <c r="T170" s="32" t="n">
        <f>997</f>
        <v>997.0</v>
      </c>
      <c r="U170" s="32" t="str">
        <f>"－"</f>
        <v>－</v>
      </c>
      <c r="V170" s="32" t="n">
        <f>8375180</f>
        <v>8375180.0</v>
      </c>
      <c r="W170" s="32" t="str">
        <f>"－"</f>
        <v>－</v>
      </c>
      <c r="X170" s="36" t="n">
        <f>21</f>
        <v>21.0</v>
      </c>
    </row>
    <row r="171">
      <c r="A171" s="27" t="s">
        <v>42</v>
      </c>
      <c r="B171" s="27" t="s">
        <v>559</v>
      </c>
      <c r="C171" s="27" t="s">
        <v>560</v>
      </c>
      <c r="D171" s="27" t="s">
        <v>561</v>
      </c>
      <c r="E171" s="28" t="s">
        <v>46</v>
      </c>
      <c r="F171" s="29" t="s">
        <v>46</v>
      </c>
      <c r="G171" s="30" t="s">
        <v>46</v>
      </c>
      <c r="H171" s="31"/>
      <c r="I171" s="31" t="s">
        <v>47</v>
      </c>
      <c r="J171" s="32" t="n">
        <v>1.0</v>
      </c>
      <c r="K171" s="33" t="n">
        <f>25200</f>
        <v>25200.0</v>
      </c>
      <c r="L171" s="34" t="s">
        <v>48</v>
      </c>
      <c r="M171" s="33" t="n">
        <f>27500</f>
        <v>27500.0</v>
      </c>
      <c r="N171" s="34" t="s">
        <v>96</v>
      </c>
      <c r="O171" s="33" t="n">
        <f>21240</f>
        <v>21240.0</v>
      </c>
      <c r="P171" s="34" t="s">
        <v>92</v>
      </c>
      <c r="Q171" s="33" t="n">
        <f>22330</f>
        <v>22330.0</v>
      </c>
      <c r="R171" s="34" t="s">
        <v>49</v>
      </c>
      <c r="S171" s="35" t="n">
        <f>24163.33</f>
        <v>24163.33</v>
      </c>
      <c r="T171" s="32" t="n">
        <f>212</f>
        <v>212.0</v>
      </c>
      <c r="U171" s="32" t="str">
        <f>"－"</f>
        <v>－</v>
      </c>
      <c r="V171" s="32" t="n">
        <f>5038610</f>
        <v>5038610.0</v>
      </c>
      <c r="W171" s="32" t="str">
        <f>"－"</f>
        <v>－</v>
      </c>
      <c r="X171" s="36" t="n">
        <f>15</f>
        <v>15.0</v>
      </c>
    </row>
    <row r="172">
      <c r="A172" s="27" t="s">
        <v>42</v>
      </c>
      <c r="B172" s="27" t="s">
        <v>562</v>
      </c>
      <c r="C172" s="27" t="s">
        <v>563</v>
      </c>
      <c r="D172" s="27" t="s">
        <v>564</v>
      </c>
      <c r="E172" s="28" t="s">
        <v>46</v>
      </c>
      <c r="F172" s="29" t="s">
        <v>46</v>
      </c>
      <c r="G172" s="30" t="s">
        <v>46</v>
      </c>
      <c r="H172" s="31"/>
      <c r="I172" s="31" t="s">
        <v>47</v>
      </c>
      <c r="J172" s="32" t="n">
        <v>1.0</v>
      </c>
      <c r="K172" s="33" t="n">
        <f>11060</f>
        <v>11060.0</v>
      </c>
      <c r="L172" s="34" t="s">
        <v>50</v>
      </c>
      <c r="M172" s="33" t="n">
        <f>12350</f>
        <v>12350.0</v>
      </c>
      <c r="N172" s="34" t="s">
        <v>181</v>
      </c>
      <c r="O172" s="33" t="n">
        <f>11060</f>
        <v>11060.0</v>
      </c>
      <c r="P172" s="34" t="s">
        <v>50</v>
      </c>
      <c r="Q172" s="33" t="n">
        <f>12350</f>
        <v>12350.0</v>
      </c>
      <c r="R172" s="34" t="s">
        <v>181</v>
      </c>
      <c r="S172" s="35" t="n">
        <f>11752.5</f>
        <v>11752.5</v>
      </c>
      <c r="T172" s="32" t="n">
        <f>7</f>
        <v>7.0</v>
      </c>
      <c r="U172" s="32" t="str">
        <f>"－"</f>
        <v>－</v>
      </c>
      <c r="V172" s="32" t="n">
        <f>82960</f>
        <v>82960.0</v>
      </c>
      <c r="W172" s="32" t="str">
        <f>"－"</f>
        <v>－</v>
      </c>
      <c r="X172" s="36" t="n">
        <f>4</f>
        <v>4.0</v>
      </c>
    </row>
    <row r="173">
      <c r="A173" s="27" t="s">
        <v>42</v>
      </c>
      <c r="B173" s="27" t="s">
        <v>565</v>
      </c>
      <c r="C173" s="27" t="s">
        <v>566</v>
      </c>
      <c r="D173" s="27" t="s">
        <v>567</v>
      </c>
      <c r="E173" s="28" t="s">
        <v>46</v>
      </c>
      <c r="F173" s="29" t="s">
        <v>46</v>
      </c>
      <c r="G173" s="30" t="s">
        <v>46</v>
      </c>
      <c r="H173" s="31"/>
      <c r="I173" s="31" t="s">
        <v>47</v>
      </c>
      <c r="J173" s="32" t="n">
        <v>10.0</v>
      </c>
      <c r="K173" s="33" t="n">
        <f>50100</f>
        <v>50100.0</v>
      </c>
      <c r="L173" s="34" t="s">
        <v>48</v>
      </c>
      <c r="M173" s="33" t="n">
        <f>50500</f>
        <v>50500.0</v>
      </c>
      <c r="N173" s="34" t="s">
        <v>107</v>
      </c>
      <c r="O173" s="33" t="n">
        <f>49450</f>
        <v>49450.0</v>
      </c>
      <c r="P173" s="34" t="s">
        <v>61</v>
      </c>
      <c r="Q173" s="33" t="n">
        <f>49900</f>
        <v>49900.0</v>
      </c>
      <c r="R173" s="34" t="s">
        <v>49</v>
      </c>
      <c r="S173" s="35" t="n">
        <f>49964.29</f>
        <v>49964.29</v>
      </c>
      <c r="T173" s="32" t="n">
        <f>3830</f>
        <v>3830.0</v>
      </c>
      <c r="U173" s="32" t="n">
        <f>1000</f>
        <v>1000.0</v>
      </c>
      <c r="V173" s="32" t="n">
        <f>191382900</f>
        <v>1.913829E8</v>
      </c>
      <c r="W173" s="32" t="n">
        <f>50097900</f>
        <v>5.00979E7</v>
      </c>
      <c r="X173" s="36" t="n">
        <f>21</f>
        <v>21.0</v>
      </c>
    </row>
    <row r="174">
      <c r="A174" s="27" t="s">
        <v>42</v>
      </c>
      <c r="B174" s="27" t="s">
        <v>568</v>
      </c>
      <c r="C174" s="27" t="s">
        <v>569</v>
      </c>
      <c r="D174" s="27" t="s">
        <v>570</v>
      </c>
      <c r="E174" s="28" t="s">
        <v>46</v>
      </c>
      <c r="F174" s="29" t="s">
        <v>46</v>
      </c>
      <c r="G174" s="30" t="s">
        <v>46</v>
      </c>
      <c r="H174" s="31"/>
      <c r="I174" s="31" t="s">
        <v>47</v>
      </c>
      <c r="J174" s="32" t="n">
        <v>100.0</v>
      </c>
      <c r="K174" s="33" t="n">
        <f>118</f>
        <v>118.0</v>
      </c>
      <c r="L174" s="34" t="s">
        <v>48</v>
      </c>
      <c r="M174" s="33" t="n">
        <f>125</f>
        <v>125.0</v>
      </c>
      <c r="N174" s="34" t="s">
        <v>49</v>
      </c>
      <c r="O174" s="33" t="n">
        <f>104</f>
        <v>104.0</v>
      </c>
      <c r="P174" s="34" t="s">
        <v>92</v>
      </c>
      <c r="Q174" s="33" t="n">
        <f>125</f>
        <v>125.0</v>
      </c>
      <c r="R174" s="34" t="s">
        <v>49</v>
      </c>
      <c r="S174" s="35" t="n">
        <f>115.81</f>
        <v>115.81</v>
      </c>
      <c r="T174" s="32" t="n">
        <f>5565400</f>
        <v>5565400.0</v>
      </c>
      <c r="U174" s="32" t="n">
        <f>14500</f>
        <v>14500.0</v>
      </c>
      <c r="V174" s="32" t="n">
        <f>643223400</f>
        <v>6.432234E8</v>
      </c>
      <c r="W174" s="32" t="n">
        <f>1599000</f>
        <v>1599000.0</v>
      </c>
      <c r="X174" s="36" t="n">
        <f>21</f>
        <v>21.0</v>
      </c>
    </row>
    <row r="175">
      <c r="A175" s="27" t="s">
        <v>42</v>
      </c>
      <c r="B175" s="27" t="s">
        <v>571</v>
      </c>
      <c r="C175" s="27" t="s">
        <v>572</v>
      </c>
      <c r="D175" s="27" t="s">
        <v>573</v>
      </c>
      <c r="E175" s="28" t="s">
        <v>46</v>
      </c>
      <c r="F175" s="29" t="s">
        <v>46</v>
      </c>
      <c r="G175" s="30" t="s">
        <v>46</v>
      </c>
      <c r="H175" s="31"/>
      <c r="I175" s="31" t="s">
        <v>47</v>
      </c>
      <c r="J175" s="32" t="n">
        <v>10.0</v>
      </c>
      <c r="K175" s="33" t="n">
        <f>20910</f>
        <v>20910.0</v>
      </c>
      <c r="L175" s="34" t="s">
        <v>48</v>
      </c>
      <c r="M175" s="33" t="n">
        <f>23750</f>
        <v>23750.0</v>
      </c>
      <c r="N175" s="34" t="s">
        <v>49</v>
      </c>
      <c r="O175" s="33" t="n">
        <f>20180</f>
        <v>20180.0</v>
      </c>
      <c r="P175" s="34" t="s">
        <v>61</v>
      </c>
      <c r="Q175" s="33" t="n">
        <f>23710</f>
        <v>23710.0</v>
      </c>
      <c r="R175" s="34" t="s">
        <v>49</v>
      </c>
      <c r="S175" s="35" t="n">
        <f>22418.1</f>
        <v>22418.1</v>
      </c>
      <c r="T175" s="32" t="n">
        <f>19000</f>
        <v>19000.0</v>
      </c>
      <c r="U175" s="32" t="str">
        <f>"－"</f>
        <v>－</v>
      </c>
      <c r="V175" s="32" t="n">
        <f>426617100</f>
        <v>4.266171E8</v>
      </c>
      <c r="W175" s="32" t="str">
        <f>"－"</f>
        <v>－</v>
      </c>
      <c r="X175" s="36" t="n">
        <f>21</f>
        <v>21.0</v>
      </c>
    </row>
    <row r="176">
      <c r="A176" s="27" t="s">
        <v>42</v>
      </c>
      <c r="B176" s="27" t="s">
        <v>574</v>
      </c>
      <c r="C176" s="27" t="s">
        <v>575</v>
      </c>
      <c r="D176" s="27" t="s">
        <v>576</v>
      </c>
      <c r="E176" s="28" t="s">
        <v>46</v>
      </c>
      <c r="F176" s="29" t="s">
        <v>46</v>
      </c>
      <c r="G176" s="30" t="s">
        <v>46</v>
      </c>
      <c r="H176" s="31"/>
      <c r="I176" s="31" t="s">
        <v>47</v>
      </c>
      <c r="J176" s="32" t="n">
        <v>10.0</v>
      </c>
      <c r="K176" s="33" t="n">
        <f>2042</f>
        <v>2042.0</v>
      </c>
      <c r="L176" s="34" t="s">
        <v>48</v>
      </c>
      <c r="M176" s="33" t="n">
        <f>2320</f>
        <v>2320.0</v>
      </c>
      <c r="N176" s="34" t="s">
        <v>49</v>
      </c>
      <c r="O176" s="33" t="n">
        <f>1974</f>
        <v>1974.0</v>
      </c>
      <c r="P176" s="34" t="s">
        <v>61</v>
      </c>
      <c r="Q176" s="33" t="n">
        <f>2320</f>
        <v>2320.0</v>
      </c>
      <c r="R176" s="34" t="s">
        <v>49</v>
      </c>
      <c r="S176" s="35" t="n">
        <f>2172.71</f>
        <v>2172.71</v>
      </c>
      <c r="T176" s="32" t="n">
        <f>159080</f>
        <v>159080.0</v>
      </c>
      <c r="U176" s="32" t="str">
        <f>"－"</f>
        <v>－</v>
      </c>
      <c r="V176" s="32" t="n">
        <f>345686460</f>
        <v>3.4568646E8</v>
      </c>
      <c r="W176" s="32" t="str">
        <f>"－"</f>
        <v>－</v>
      </c>
      <c r="X176" s="36" t="n">
        <f>21</f>
        <v>21.0</v>
      </c>
    </row>
    <row r="177">
      <c r="A177" s="27" t="s">
        <v>42</v>
      </c>
      <c r="B177" s="27" t="s">
        <v>577</v>
      </c>
      <c r="C177" s="27" t="s">
        <v>578</v>
      </c>
      <c r="D177" s="27" t="s">
        <v>579</v>
      </c>
      <c r="E177" s="28" t="s">
        <v>46</v>
      </c>
      <c r="F177" s="29" t="s">
        <v>46</v>
      </c>
      <c r="G177" s="30" t="s">
        <v>46</v>
      </c>
      <c r="H177" s="31"/>
      <c r="I177" s="31" t="s">
        <v>47</v>
      </c>
      <c r="J177" s="32" t="n">
        <v>10.0</v>
      </c>
      <c r="K177" s="33" t="n">
        <f>1138</f>
        <v>1138.0</v>
      </c>
      <c r="L177" s="34" t="s">
        <v>48</v>
      </c>
      <c r="M177" s="33" t="n">
        <f>1229</f>
        <v>1229.0</v>
      </c>
      <c r="N177" s="34" t="s">
        <v>49</v>
      </c>
      <c r="O177" s="33" t="n">
        <f>1072</f>
        <v>1072.0</v>
      </c>
      <c r="P177" s="34" t="s">
        <v>61</v>
      </c>
      <c r="Q177" s="33" t="n">
        <f>1228</f>
        <v>1228.0</v>
      </c>
      <c r="R177" s="34" t="s">
        <v>49</v>
      </c>
      <c r="S177" s="35" t="n">
        <f>1183.38</f>
        <v>1183.38</v>
      </c>
      <c r="T177" s="32" t="n">
        <f>178490</f>
        <v>178490.0</v>
      </c>
      <c r="U177" s="32" t="n">
        <f>590</f>
        <v>590.0</v>
      </c>
      <c r="V177" s="32" t="n">
        <f>210564670</f>
        <v>2.1056467E8</v>
      </c>
      <c r="W177" s="32" t="n">
        <f>643100</f>
        <v>643100.0</v>
      </c>
      <c r="X177" s="36" t="n">
        <f>21</f>
        <v>21.0</v>
      </c>
    </row>
    <row r="178">
      <c r="A178" s="27" t="s">
        <v>42</v>
      </c>
      <c r="B178" s="27" t="s">
        <v>580</v>
      </c>
      <c r="C178" s="27" t="s">
        <v>581</v>
      </c>
      <c r="D178" s="27" t="s">
        <v>582</v>
      </c>
      <c r="E178" s="28" t="s">
        <v>46</v>
      </c>
      <c r="F178" s="29" t="s">
        <v>46</v>
      </c>
      <c r="G178" s="30" t="s">
        <v>46</v>
      </c>
      <c r="H178" s="31"/>
      <c r="I178" s="31" t="s">
        <v>47</v>
      </c>
      <c r="J178" s="32" t="n">
        <v>100.0</v>
      </c>
      <c r="K178" s="33" t="n">
        <f>131</f>
        <v>131.0</v>
      </c>
      <c r="L178" s="34" t="s">
        <v>48</v>
      </c>
      <c r="M178" s="33" t="n">
        <f>149</f>
        <v>149.0</v>
      </c>
      <c r="N178" s="34" t="s">
        <v>60</v>
      </c>
      <c r="O178" s="33" t="n">
        <f>131</f>
        <v>131.0</v>
      </c>
      <c r="P178" s="34" t="s">
        <v>48</v>
      </c>
      <c r="Q178" s="33" t="n">
        <f>142</f>
        <v>142.0</v>
      </c>
      <c r="R178" s="34" t="s">
        <v>49</v>
      </c>
      <c r="S178" s="35" t="n">
        <f>138.67</f>
        <v>138.67</v>
      </c>
      <c r="T178" s="32" t="n">
        <f>494900</f>
        <v>494900.0</v>
      </c>
      <c r="U178" s="32" t="str">
        <f>"－"</f>
        <v>－</v>
      </c>
      <c r="V178" s="32" t="n">
        <f>68955400</f>
        <v>6.89554E7</v>
      </c>
      <c r="W178" s="32" t="str">
        <f>"－"</f>
        <v>－</v>
      </c>
      <c r="X178" s="36" t="n">
        <f>21</f>
        <v>21.0</v>
      </c>
    </row>
    <row r="179">
      <c r="A179" s="27" t="s">
        <v>42</v>
      </c>
      <c r="B179" s="27" t="s">
        <v>583</v>
      </c>
      <c r="C179" s="27" t="s">
        <v>584</v>
      </c>
      <c r="D179" s="27" t="s">
        <v>585</v>
      </c>
      <c r="E179" s="28" t="s">
        <v>46</v>
      </c>
      <c r="F179" s="29" t="s">
        <v>46</v>
      </c>
      <c r="G179" s="30" t="s">
        <v>46</v>
      </c>
      <c r="H179" s="31" t="s">
        <v>459</v>
      </c>
      <c r="I179" s="31" t="s">
        <v>47</v>
      </c>
      <c r="J179" s="32" t="n">
        <v>10.0</v>
      </c>
      <c r="K179" s="33" t="n">
        <f>4230</f>
        <v>4230.0</v>
      </c>
      <c r="L179" s="34" t="s">
        <v>48</v>
      </c>
      <c r="M179" s="33" t="n">
        <f>5150</f>
        <v>5150.0</v>
      </c>
      <c r="N179" s="34" t="s">
        <v>307</v>
      </c>
      <c r="O179" s="33" t="n">
        <f>4230</f>
        <v>4230.0</v>
      </c>
      <c r="P179" s="34" t="s">
        <v>48</v>
      </c>
      <c r="Q179" s="33" t="n">
        <f>5090</f>
        <v>5090.0</v>
      </c>
      <c r="R179" s="34" t="s">
        <v>49</v>
      </c>
      <c r="S179" s="35" t="n">
        <f>4653.25</f>
        <v>4653.25</v>
      </c>
      <c r="T179" s="32" t="n">
        <f>6460</f>
        <v>6460.0</v>
      </c>
      <c r="U179" s="32" t="str">
        <f>"－"</f>
        <v>－</v>
      </c>
      <c r="V179" s="32" t="n">
        <f>30819900</f>
        <v>3.08199E7</v>
      </c>
      <c r="W179" s="32" t="str">
        <f>"－"</f>
        <v>－</v>
      </c>
      <c r="X179" s="36" t="n">
        <f>20</f>
        <v>20.0</v>
      </c>
    </row>
    <row r="180">
      <c r="A180" s="27" t="s">
        <v>42</v>
      </c>
      <c r="B180" s="27" t="s">
        <v>586</v>
      </c>
      <c r="C180" s="27" t="s">
        <v>587</v>
      </c>
      <c r="D180" s="27" t="s">
        <v>588</v>
      </c>
      <c r="E180" s="28" t="s">
        <v>46</v>
      </c>
      <c r="F180" s="29" t="s">
        <v>46</v>
      </c>
      <c r="G180" s="30" t="s">
        <v>46</v>
      </c>
      <c r="H180" s="31"/>
      <c r="I180" s="31" t="s">
        <v>47</v>
      </c>
      <c r="J180" s="32" t="n">
        <v>10.0</v>
      </c>
      <c r="K180" s="33" t="n">
        <f>592</f>
        <v>592.0</v>
      </c>
      <c r="L180" s="34" t="s">
        <v>61</v>
      </c>
      <c r="M180" s="33" t="n">
        <f>864</f>
        <v>864.0</v>
      </c>
      <c r="N180" s="34" t="s">
        <v>91</v>
      </c>
      <c r="O180" s="33" t="n">
        <f>592</f>
        <v>592.0</v>
      </c>
      <c r="P180" s="34" t="s">
        <v>61</v>
      </c>
      <c r="Q180" s="33" t="n">
        <f>649</f>
        <v>649.0</v>
      </c>
      <c r="R180" s="34" t="s">
        <v>181</v>
      </c>
      <c r="S180" s="35" t="n">
        <f>681.8</f>
        <v>681.8</v>
      </c>
      <c r="T180" s="32" t="n">
        <f>550</f>
        <v>550.0</v>
      </c>
      <c r="U180" s="32" t="str">
        <f>"－"</f>
        <v>－</v>
      </c>
      <c r="V180" s="32" t="n">
        <f>384430</f>
        <v>384430.0</v>
      </c>
      <c r="W180" s="32" t="str">
        <f>"－"</f>
        <v>－</v>
      </c>
      <c r="X180" s="36" t="n">
        <f>5</f>
        <v>5.0</v>
      </c>
    </row>
    <row r="181">
      <c r="A181" s="27" t="s">
        <v>42</v>
      </c>
      <c r="B181" s="27" t="s">
        <v>589</v>
      </c>
      <c r="C181" s="27" t="s">
        <v>590</v>
      </c>
      <c r="D181" s="27" t="s">
        <v>591</v>
      </c>
      <c r="E181" s="28" t="s">
        <v>46</v>
      </c>
      <c r="F181" s="29" t="s">
        <v>46</v>
      </c>
      <c r="G181" s="30" t="s">
        <v>46</v>
      </c>
      <c r="H181" s="31"/>
      <c r="I181" s="31" t="s">
        <v>47</v>
      </c>
      <c r="J181" s="32" t="n">
        <v>10.0</v>
      </c>
      <c r="K181" s="33" t="n">
        <f>244</f>
        <v>244.0</v>
      </c>
      <c r="L181" s="34" t="s">
        <v>48</v>
      </c>
      <c r="M181" s="33" t="n">
        <f>301</f>
        <v>301.0</v>
      </c>
      <c r="N181" s="34" t="s">
        <v>60</v>
      </c>
      <c r="O181" s="33" t="n">
        <f>188</f>
        <v>188.0</v>
      </c>
      <c r="P181" s="34" t="s">
        <v>50</v>
      </c>
      <c r="Q181" s="33" t="n">
        <f>216</f>
        <v>216.0</v>
      </c>
      <c r="R181" s="34" t="s">
        <v>49</v>
      </c>
      <c r="S181" s="35" t="n">
        <f>239.95</f>
        <v>239.95</v>
      </c>
      <c r="T181" s="32" t="n">
        <f>45730</f>
        <v>45730.0</v>
      </c>
      <c r="U181" s="32" t="str">
        <f>"－"</f>
        <v>－</v>
      </c>
      <c r="V181" s="32" t="n">
        <f>11232630</f>
        <v>1.123263E7</v>
      </c>
      <c r="W181" s="32" t="str">
        <f>"－"</f>
        <v>－</v>
      </c>
      <c r="X181" s="36" t="n">
        <f>21</f>
        <v>21.0</v>
      </c>
    </row>
    <row r="182">
      <c r="A182" s="27" t="s">
        <v>42</v>
      </c>
      <c r="B182" s="27" t="s">
        <v>592</v>
      </c>
      <c r="C182" s="27" t="s">
        <v>593</v>
      </c>
      <c r="D182" s="27" t="s">
        <v>594</v>
      </c>
      <c r="E182" s="28" t="s">
        <v>46</v>
      </c>
      <c r="F182" s="29" t="s">
        <v>46</v>
      </c>
      <c r="G182" s="30" t="s">
        <v>46</v>
      </c>
      <c r="H182" s="31"/>
      <c r="I182" s="31" t="s">
        <v>47</v>
      </c>
      <c r="J182" s="32" t="n">
        <v>10.0</v>
      </c>
      <c r="K182" s="33" t="n">
        <f>1132</f>
        <v>1132.0</v>
      </c>
      <c r="L182" s="34" t="s">
        <v>92</v>
      </c>
      <c r="M182" s="33" t="n">
        <f>1132</f>
        <v>1132.0</v>
      </c>
      <c r="N182" s="34" t="s">
        <v>92</v>
      </c>
      <c r="O182" s="33" t="n">
        <f>935</f>
        <v>935.0</v>
      </c>
      <c r="P182" s="34" t="s">
        <v>49</v>
      </c>
      <c r="Q182" s="33" t="n">
        <f>995</f>
        <v>995.0</v>
      </c>
      <c r="R182" s="34" t="s">
        <v>49</v>
      </c>
      <c r="S182" s="35" t="n">
        <f>1028.8</f>
        <v>1028.8</v>
      </c>
      <c r="T182" s="32" t="n">
        <f>470</f>
        <v>470.0</v>
      </c>
      <c r="U182" s="32" t="str">
        <f>"－"</f>
        <v>－</v>
      </c>
      <c r="V182" s="32" t="n">
        <f>486520</f>
        <v>486520.0</v>
      </c>
      <c r="W182" s="32" t="str">
        <f>"－"</f>
        <v>－</v>
      </c>
      <c r="X182" s="36" t="n">
        <f>5</f>
        <v>5.0</v>
      </c>
    </row>
    <row r="183">
      <c r="A183" s="27" t="s">
        <v>42</v>
      </c>
      <c r="B183" s="27" t="s">
        <v>595</v>
      </c>
      <c r="C183" s="27" t="s">
        <v>596</v>
      </c>
      <c r="D183" s="27" t="s">
        <v>597</v>
      </c>
      <c r="E183" s="28" t="s">
        <v>46</v>
      </c>
      <c r="F183" s="29" t="s">
        <v>46</v>
      </c>
      <c r="G183" s="30" t="s">
        <v>46</v>
      </c>
      <c r="H183" s="31"/>
      <c r="I183" s="31" t="s">
        <v>47</v>
      </c>
      <c r="J183" s="32" t="n">
        <v>10.0</v>
      </c>
      <c r="K183" s="33" t="n">
        <f>441</f>
        <v>441.0</v>
      </c>
      <c r="L183" s="34" t="s">
        <v>48</v>
      </c>
      <c r="M183" s="33" t="n">
        <f>500</f>
        <v>500.0</v>
      </c>
      <c r="N183" s="34" t="s">
        <v>171</v>
      </c>
      <c r="O183" s="33" t="n">
        <f>382</f>
        <v>382.0</v>
      </c>
      <c r="P183" s="34" t="s">
        <v>61</v>
      </c>
      <c r="Q183" s="33" t="n">
        <f>412</f>
        <v>412.0</v>
      </c>
      <c r="R183" s="34" t="s">
        <v>49</v>
      </c>
      <c r="S183" s="35" t="n">
        <f>425.38</f>
        <v>425.38</v>
      </c>
      <c r="T183" s="32" t="n">
        <f>57930</f>
        <v>57930.0</v>
      </c>
      <c r="U183" s="32" t="str">
        <f>"－"</f>
        <v>－</v>
      </c>
      <c r="V183" s="32" t="n">
        <f>25260870</f>
        <v>2.526087E7</v>
      </c>
      <c r="W183" s="32" t="str">
        <f>"－"</f>
        <v>－</v>
      </c>
      <c r="X183" s="36" t="n">
        <f>21</f>
        <v>21.0</v>
      </c>
    </row>
    <row r="184">
      <c r="A184" s="27" t="s">
        <v>42</v>
      </c>
      <c r="B184" s="27" t="s">
        <v>598</v>
      </c>
      <c r="C184" s="27" t="s">
        <v>599</v>
      </c>
      <c r="D184" s="27" t="s">
        <v>600</v>
      </c>
      <c r="E184" s="28" t="s">
        <v>46</v>
      </c>
      <c r="F184" s="29" t="s">
        <v>46</v>
      </c>
      <c r="G184" s="30" t="s">
        <v>46</v>
      </c>
      <c r="H184" s="31"/>
      <c r="I184" s="31" t="s">
        <v>47</v>
      </c>
      <c r="J184" s="32" t="n">
        <v>10.0</v>
      </c>
      <c r="K184" s="33" t="n">
        <f>323</f>
        <v>323.0</v>
      </c>
      <c r="L184" s="34" t="s">
        <v>48</v>
      </c>
      <c r="M184" s="33" t="n">
        <f>404</f>
        <v>404.0</v>
      </c>
      <c r="N184" s="34" t="s">
        <v>92</v>
      </c>
      <c r="O184" s="33" t="n">
        <f>280</f>
        <v>280.0</v>
      </c>
      <c r="P184" s="34" t="s">
        <v>107</v>
      </c>
      <c r="Q184" s="33" t="n">
        <f>282</f>
        <v>282.0</v>
      </c>
      <c r="R184" s="34" t="s">
        <v>49</v>
      </c>
      <c r="S184" s="35" t="n">
        <f>336.19</f>
        <v>336.19</v>
      </c>
      <c r="T184" s="32" t="n">
        <f>593320</f>
        <v>593320.0</v>
      </c>
      <c r="U184" s="32" t="str">
        <f>"－"</f>
        <v>－</v>
      </c>
      <c r="V184" s="32" t="n">
        <f>203123960</f>
        <v>2.0312396E8</v>
      </c>
      <c r="W184" s="32" t="str">
        <f>"－"</f>
        <v>－</v>
      </c>
      <c r="X184" s="36" t="n">
        <f>21</f>
        <v>21.0</v>
      </c>
    </row>
    <row r="185">
      <c r="A185" s="27" t="s">
        <v>42</v>
      </c>
      <c r="B185" s="27" t="s">
        <v>601</v>
      </c>
      <c r="C185" s="27" t="s">
        <v>602</v>
      </c>
      <c r="D185" s="27" t="s">
        <v>603</v>
      </c>
      <c r="E185" s="28" t="s">
        <v>46</v>
      </c>
      <c r="F185" s="29" t="s">
        <v>46</v>
      </c>
      <c r="G185" s="30" t="s">
        <v>46</v>
      </c>
      <c r="H185" s="31"/>
      <c r="I185" s="31" t="s">
        <v>47</v>
      </c>
      <c r="J185" s="32" t="n">
        <v>100.0</v>
      </c>
      <c r="K185" s="33" t="n">
        <f>2</f>
        <v>2.0</v>
      </c>
      <c r="L185" s="34" t="s">
        <v>48</v>
      </c>
      <c r="M185" s="33" t="n">
        <f>2</f>
        <v>2.0</v>
      </c>
      <c r="N185" s="34" t="s">
        <v>48</v>
      </c>
      <c r="O185" s="33" t="n">
        <f>1</f>
        <v>1.0</v>
      </c>
      <c r="P185" s="34" t="s">
        <v>48</v>
      </c>
      <c r="Q185" s="33" t="n">
        <f>2</f>
        <v>2.0</v>
      </c>
      <c r="R185" s="34" t="s">
        <v>49</v>
      </c>
      <c r="S185" s="35" t="n">
        <f>1.9</f>
        <v>1.9</v>
      </c>
      <c r="T185" s="32" t="n">
        <f>217202900</f>
        <v>2.172029E8</v>
      </c>
      <c r="U185" s="32" t="str">
        <f>"－"</f>
        <v>－</v>
      </c>
      <c r="V185" s="32" t="n">
        <f>403999900</f>
        <v>4.039999E8</v>
      </c>
      <c r="W185" s="32" t="str">
        <f>"－"</f>
        <v>－</v>
      </c>
      <c r="X185" s="36" t="n">
        <f>21</f>
        <v>21.0</v>
      </c>
    </row>
    <row r="186">
      <c r="A186" s="27" t="s">
        <v>42</v>
      </c>
      <c r="B186" s="27" t="s">
        <v>604</v>
      </c>
      <c r="C186" s="27" t="s">
        <v>605</v>
      </c>
      <c r="D186" s="27" t="s">
        <v>606</v>
      </c>
      <c r="E186" s="28" t="s">
        <v>46</v>
      </c>
      <c r="F186" s="29" t="s">
        <v>46</v>
      </c>
      <c r="G186" s="30" t="s">
        <v>46</v>
      </c>
      <c r="H186" s="31"/>
      <c r="I186" s="31" t="s">
        <v>47</v>
      </c>
      <c r="J186" s="32" t="n">
        <v>10.0</v>
      </c>
      <c r="K186" s="33" t="n">
        <f>401</f>
        <v>401.0</v>
      </c>
      <c r="L186" s="34" t="s">
        <v>48</v>
      </c>
      <c r="M186" s="33" t="n">
        <f>479</f>
        <v>479.0</v>
      </c>
      <c r="N186" s="34" t="s">
        <v>192</v>
      </c>
      <c r="O186" s="33" t="n">
        <f>202</f>
        <v>202.0</v>
      </c>
      <c r="P186" s="34" t="s">
        <v>107</v>
      </c>
      <c r="Q186" s="33" t="n">
        <f>237</f>
        <v>237.0</v>
      </c>
      <c r="R186" s="34" t="s">
        <v>49</v>
      </c>
      <c r="S186" s="35" t="n">
        <f>355.24</f>
        <v>355.24</v>
      </c>
      <c r="T186" s="32" t="n">
        <f>9406050</f>
        <v>9406050.0</v>
      </c>
      <c r="U186" s="32" t="n">
        <f>3940</f>
        <v>3940.0</v>
      </c>
      <c r="V186" s="32" t="n">
        <f>2929775730</f>
        <v>2.92977573E9</v>
      </c>
      <c r="W186" s="32" t="n">
        <f>955450</f>
        <v>955450.0</v>
      </c>
      <c r="X186" s="36" t="n">
        <f>21</f>
        <v>21.0</v>
      </c>
    </row>
    <row r="187">
      <c r="A187" s="27" t="s">
        <v>42</v>
      </c>
      <c r="B187" s="27" t="s">
        <v>607</v>
      </c>
      <c r="C187" s="27" t="s">
        <v>608</v>
      </c>
      <c r="D187" s="27" t="s">
        <v>609</v>
      </c>
      <c r="E187" s="28" t="s">
        <v>46</v>
      </c>
      <c r="F187" s="29" t="s">
        <v>46</v>
      </c>
      <c r="G187" s="30" t="s">
        <v>46</v>
      </c>
      <c r="H187" s="31"/>
      <c r="I187" s="31" t="s">
        <v>47</v>
      </c>
      <c r="J187" s="32" t="n">
        <v>1.0</v>
      </c>
      <c r="K187" s="33" t="n">
        <f>1325</f>
        <v>1325.0</v>
      </c>
      <c r="L187" s="34" t="s">
        <v>61</v>
      </c>
      <c r="M187" s="33" t="n">
        <f>1725</f>
        <v>1725.0</v>
      </c>
      <c r="N187" s="34" t="s">
        <v>91</v>
      </c>
      <c r="O187" s="33" t="n">
        <f>888</f>
        <v>888.0</v>
      </c>
      <c r="P187" s="34" t="s">
        <v>50</v>
      </c>
      <c r="Q187" s="33" t="n">
        <f>1126</f>
        <v>1126.0</v>
      </c>
      <c r="R187" s="34" t="s">
        <v>107</v>
      </c>
      <c r="S187" s="35" t="n">
        <f>1346.42</f>
        <v>1346.42</v>
      </c>
      <c r="T187" s="32" t="n">
        <f>7622</f>
        <v>7622.0</v>
      </c>
      <c r="U187" s="32" t="str">
        <f>"－"</f>
        <v>－</v>
      </c>
      <c r="V187" s="32" t="n">
        <f>11155877</f>
        <v>1.1155877E7</v>
      </c>
      <c r="W187" s="32" t="str">
        <f>"－"</f>
        <v>－</v>
      </c>
      <c r="X187" s="36" t="n">
        <f>19</f>
        <v>19.0</v>
      </c>
    </row>
    <row r="188">
      <c r="A188" s="27" t="s">
        <v>42</v>
      </c>
      <c r="B188" s="27" t="s">
        <v>610</v>
      </c>
      <c r="C188" s="27" t="s">
        <v>611</v>
      </c>
      <c r="D188" s="27" t="s">
        <v>612</v>
      </c>
      <c r="E188" s="28" t="s">
        <v>46</v>
      </c>
      <c r="F188" s="29" t="s">
        <v>46</v>
      </c>
      <c r="G188" s="30" t="s">
        <v>46</v>
      </c>
      <c r="H188" s="31"/>
      <c r="I188" s="31" t="s">
        <v>47</v>
      </c>
      <c r="J188" s="32" t="n">
        <v>100.0</v>
      </c>
      <c r="K188" s="33" t="n">
        <f>260</f>
        <v>260.0</v>
      </c>
      <c r="L188" s="34" t="s">
        <v>48</v>
      </c>
      <c r="M188" s="33" t="n">
        <f>316</f>
        <v>316.0</v>
      </c>
      <c r="N188" s="34" t="s">
        <v>91</v>
      </c>
      <c r="O188" s="33" t="n">
        <f>239</f>
        <v>239.0</v>
      </c>
      <c r="P188" s="34" t="s">
        <v>87</v>
      </c>
      <c r="Q188" s="33" t="n">
        <f>250</f>
        <v>250.0</v>
      </c>
      <c r="R188" s="34" t="s">
        <v>307</v>
      </c>
      <c r="S188" s="35" t="n">
        <f>266.44</f>
        <v>266.44</v>
      </c>
      <c r="T188" s="32" t="n">
        <f>2100</f>
        <v>2100.0</v>
      </c>
      <c r="U188" s="32" t="str">
        <f>"－"</f>
        <v>－</v>
      </c>
      <c r="V188" s="32" t="n">
        <f>546300</f>
        <v>546300.0</v>
      </c>
      <c r="W188" s="32" t="str">
        <f>"－"</f>
        <v>－</v>
      </c>
      <c r="X188" s="36" t="n">
        <f>9</f>
        <v>9.0</v>
      </c>
    </row>
    <row r="189">
      <c r="A189" s="27" t="s">
        <v>42</v>
      </c>
      <c r="B189" s="27" t="s">
        <v>613</v>
      </c>
      <c r="C189" s="27" t="s">
        <v>614</v>
      </c>
      <c r="D189" s="27" t="s">
        <v>615</v>
      </c>
      <c r="E189" s="28" t="s">
        <v>46</v>
      </c>
      <c r="F189" s="29" t="s">
        <v>46</v>
      </c>
      <c r="G189" s="30" t="s">
        <v>46</v>
      </c>
      <c r="H189" s="31"/>
      <c r="I189" s="31" t="s">
        <v>47</v>
      </c>
      <c r="J189" s="32" t="n">
        <v>10.0</v>
      </c>
      <c r="K189" s="33" t="n">
        <f>2500</f>
        <v>2500.0</v>
      </c>
      <c r="L189" s="34" t="s">
        <v>92</v>
      </c>
      <c r="M189" s="33" t="n">
        <f>3055</f>
        <v>3055.0</v>
      </c>
      <c r="N189" s="34" t="s">
        <v>87</v>
      </c>
      <c r="O189" s="33" t="n">
        <f>2500</f>
        <v>2500.0</v>
      </c>
      <c r="P189" s="34" t="s">
        <v>92</v>
      </c>
      <c r="Q189" s="33" t="n">
        <f>2650</f>
        <v>2650.0</v>
      </c>
      <c r="R189" s="34" t="s">
        <v>49</v>
      </c>
      <c r="S189" s="35" t="n">
        <f>2668.31</f>
        <v>2668.31</v>
      </c>
      <c r="T189" s="32" t="n">
        <f>2270</f>
        <v>2270.0</v>
      </c>
      <c r="U189" s="32" t="str">
        <f>"－"</f>
        <v>－</v>
      </c>
      <c r="V189" s="32" t="n">
        <f>6154710</f>
        <v>6154710.0</v>
      </c>
      <c r="W189" s="32" t="str">
        <f>"－"</f>
        <v>－</v>
      </c>
      <c r="X189" s="36" t="n">
        <f>16</f>
        <v>16.0</v>
      </c>
    </row>
    <row r="190">
      <c r="A190" s="27" t="s">
        <v>42</v>
      </c>
      <c r="B190" s="27" t="s">
        <v>616</v>
      </c>
      <c r="C190" s="27" t="s">
        <v>617</v>
      </c>
      <c r="D190" s="27" t="s">
        <v>618</v>
      </c>
      <c r="E190" s="28" t="s">
        <v>46</v>
      </c>
      <c r="F190" s="29" t="s">
        <v>46</v>
      </c>
      <c r="G190" s="30" t="s">
        <v>46</v>
      </c>
      <c r="H190" s="31"/>
      <c r="I190" s="31" t="s">
        <v>47</v>
      </c>
      <c r="J190" s="32" t="n">
        <v>10.0</v>
      </c>
      <c r="K190" s="33" t="n">
        <f>1200</f>
        <v>1200.0</v>
      </c>
      <c r="L190" s="34" t="s">
        <v>192</v>
      </c>
      <c r="M190" s="33" t="n">
        <f>1550</f>
        <v>1550.0</v>
      </c>
      <c r="N190" s="34" t="s">
        <v>49</v>
      </c>
      <c r="O190" s="33" t="n">
        <f>1121</f>
        <v>1121.0</v>
      </c>
      <c r="P190" s="34" t="s">
        <v>69</v>
      </c>
      <c r="Q190" s="33" t="n">
        <f>1550</f>
        <v>1550.0</v>
      </c>
      <c r="R190" s="34" t="s">
        <v>49</v>
      </c>
      <c r="S190" s="35" t="n">
        <f>1243.33</f>
        <v>1243.33</v>
      </c>
      <c r="T190" s="32" t="n">
        <f>430</f>
        <v>430.0</v>
      </c>
      <c r="U190" s="32" t="str">
        <f>"－"</f>
        <v>－</v>
      </c>
      <c r="V190" s="32" t="n">
        <f>542630</f>
        <v>542630.0</v>
      </c>
      <c r="W190" s="32" t="str">
        <f>"－"</f>
        <v>－</v>
      </c>
      <c r="X190" s="36" t="n">
        <f>9</f>
        <v>9.0</v>
      </c>
    </row>
    <row r="191">
      <c r="A191" s="27" t="s">
        <v>42</v>
      </c>
      <c r="B191" s="27" t="s">
        <v>619</v>
      </c>
      <c r="C191" s="27" t="s">
        <v>620</v>
      </c>
      <c r="D191" s="27" t="s">
        <v>621</v>
      </c>
      <c r="E191" s="28" t="s">
        <v>46</v>
      </c>
      <c r="F191" s="29" t="s">
        <v>46</v>
      </c>
      <c r="G191" s="30" t="s">
        <v>46</v>
      </c>
      <c r="H191" s="31"/>
      <c r="I191" s="31" t="s">
        <v>47</v>
      </c>
      <c r="J191" s="32" t="n">
        <v>100.0</v>
      </c>
      <c r="K191" s="33" t="n">
        <f>71</f>
        <v>71.0</v>
      </c>
      <c r="L191" s="34" t="s">
        <v>48</v>
      </c>
      <c r="M191" s="33" t="n">
        <f>103</f>
        <v>103.0</v>
      </c>
      <c r="N191" s="34" t="s">
        <v>60</v>
      </c>
      <c r="O191" s="33" t="n">
        <f>65</f>
        <v>65.0</v>
      </c>
      <c r="P191" s="34" t="s">
        <v>49</v>
      </c>
      <c r="Q191" s="33" t="n">
        <f>66</f>
        <v>66.0</v>
      </c>
      <c r="R191" s="34" t="s">
        <v>49</v>
      </c>
      <c r="S191" s="35" t="n">
        <f>75.19</f>
        <v>75.19</v>
      </c>
      <c r="T191" s="32" t="n">
        <f>19792300</f>
        <v>1.97923E7</v>
      </c>
      <c r="U191" s="32" t="str">
        <f>"－"</f>
        <v>－</v>
      </c>
      <c r="V191" s="32" t="n">
        <f>1540145200</f>
        <v>1.5401452E9</v>
      </c>
      <c r="W191" s="32" t="str">
        <f>"－"</f>
        <v>－</v>
      </c>
      <c r="X191" s="36" t="n">
        <f>21</f>
        <v>21.0</v>
      </c>
    </row>
    <row r="192">
      <c r="A192" s="27" t="s">
        <v>42</v>
      </c>
      <c r="B192" s="27" t="s">
        <v>622</v>
      </c>
      <c r="C192" s="27" t="s">
        <v>623</v>
      </c>
      <c r="D192" s="27" t="s">
        <v>624</v>
      </c>
      <c r="E192" s="28" t="s">
        <v>46</v>
      </c>
      <c r="F192" s="29" t="s">
        <v>46</v>
      </c>
      <c r="G192" s="30" t="s">
        <v>46</v>
      </c>
      <c r="H192" s="31"/>
      <c r="I192" s="31" t="s">
        <v>47</v>
      </c>
      <c r="J192" s="32" t="n">
        <v>100.0</v>
      </c>
      <c r="K192" s="33" t="n">
        <f>73</f>
        <v>73.0</v>
      </c>
      <c r="L192" s="34" t="s">
        <v>48</v>
      </c>
      <c r="M192" s="33" t="n">
        <f>101</f>
        <v>101.0</v>
      </c>
      <c r="N192" s="34" t="s">
        <v>92</v>
      </c>
      <c r="O192" s="33" t="n">
        <f>63</f>
        <v>63.0</v>
      </c>
      <c r="P192" s="34" t="s">
        <v>181</v>
      </c>
      <c r="Q192" s="33" t="n">
        <f>64</f>
        <v>64.0</v>
      </c>
      <c r="R192" s="34" t="s">
        <v>49</v>
      </c>
      <c r="S192" s="35" t="n">
        <f>71.24</f>
        <v>71.24</v>
      </c>
      <c r="T192" s="32" t="n">
        <f>7671700</f>
        <v>7671700.0</v>
      </c>
      <c r="U192" s="32" t="str">
        <f>"－"</f>
        <v>－</v>
      </c>
      <c r="V192" s="32" t="n">
        <f>576022700</f>
        <v>5.760227E8</v>
      </c>
      <c r="W192" s="32" t="str">
        <f>"－"</f>
        <v>－</v>
      </c>
      <c r="X192" s="36" t="n">
        <f>21</f>
        <v>21.0</v>
      </c>
    </row>
    <row r="193">
      <c r="A193" s="27" t="s">
        <v>42</v>
      </c>
      <c r="B193" s="27" t="s">
        <v>625</v>
      </c>
      <c r="C193" s="27" t="s">
        <v>626</v>
      </c>
      <c r="D193" s="27" t="s">
        <v>627</v>
      </c>
      <c r="E193" s="28" t="s">
        <v>46</v>
      </c>
      <c r="F193" s="29" t="s">
        <v>46</v>
      </c>
      <c r="G193" s="30" t="s">
        <v>46</v>
      </c>
      <c r="H193" s="31"/>
      <c r="I193" s="31" t="s">
        <v>47</v>
      </c>
      <c r="J193" s="32" t="n">
        <v>10.0</v>
      </c>
      <c r="K193" s="33" t="n">
        <f>1860</f>
        <v>1860.0</v>
      </c>
      <c r="L193" s="34" t="s">
        <v>48</v>
      </c>
      <c r="M193" s="33" t="n">
        <f>2200</f>
        <v>2200.0</v>
      </c>
      <c r="N193" s="34" t="s">
        <v>91</v>
      </c>
      <c r="O193" s="33" t="n">
        <f>1860</f>
        <v>1860.0</v>
      </c>
      <c r="P193" s="34" t="s">
        <v>48</v>
      </c>
      <c r="Q193" s="33" t="n">
        <f>1950</f>
        <v>1950.0</v>
      </c>
      <c r="R193" s="34" t="s">
        <v>49</v>
      </c>
      <c r="S193" s="35" t="n">
        <f>2003.55</f>
        <v>2003.55</v>
      </c>
      <c r="T193" s="32" t="n">
        <f>9380</f>
        <v>9380.0</v>
      </c>
      <c r="U193" s="32" t="str">
        <f>"－"</f>
        <v>－</v>
      </c>
      <c r="V193" s="32" t="n">
        <f>19057960</f>
        <v>1.905796E7</v>
      </c>
      <c r="W193" s="32" t="str">
        <f>"－"</f>
        <v>－</v>
      </c>
      <c r="X193" s="36" t="n">
        <f>20</f>
        <v>20.0</v>
      </c>
    </row>
    <row r="194">
      <c r="A194" s="27" t="s">
        <v>42</v>
      </c>
      <c r="B194" s="27" t="s">
        <v>628</v>
      </c>
      <c r="C194" s="27" t="s">
        <v>629</v>
      </c>
      <c r="D194" s="27" t="s">
        <v>630</v>
      </c>
      <c r="E194" s="28" t="s">
        <v>46</v>
      </c>
      <c r="F194" s="29" t="s">
        <v>46</v>
      </c>
      <c r="G194" s="30" t="s">
        <v>46</v>
      </c>
      <c r="H194" s="31"/>
      <c r="I194" s="31" t="s">
        <v>47</v>
      </c>
      <c r="J194" s="32" t="n">
        <v>10.0</v>
      </c>
      <c r="K194" s="33" t="n">
        <f>1413</f>
        <v>1413.0</v>
      </c>
      <c r="L194" s="34" t="s">
        <v>48</v>
      </c>
      <c r="M194" s="33" t="n">
        <f>1442</f>
        <v>1442.0</v>
      </c>
      <c r="N194" s="34" t="s">
        <v>48</v>
      </c>
      <c r="O194" s="33" t="n">
        <f>1312</f>
        <v>1312.0</v>
      </c>
      <c r="P194" s="34" t="s">
        <v>50</v>
      </c>
      <c r="Q194" s="33" t="n">
        <f>1395</f>
        <v>1395.0</v>
      </c>
      <c r="R194" s="34" t="s">
        <v>49</v>
      </c>
      <c r="S194" s="35" t="n">
        <f>1374.43</f>
        <v>1374.43</v>
      </c>
      <c r="T194" s="32" t="n">
        <f>66680</f>
        <v>66680.0</v>
      </c>
      <c r="U194" s="32" t="str">
        <f>"－"</f>
        <v>－</v>
      </c>
      <c r="V194" s="32" t="n">
        <f>91414080</f>
        <v>9.141408E7</v>
      </c>
      <c r="W194" s="32" t="str">
        <f>"－"</f>
        <v>－</v>
      </c>
      <c r="X194" s="36" t="n">
        <f>21</f>
        <v>21.0</v>
      </c>
    </row>
    <row r="195">
      <c r="A195" s="27" t="s">
        <v>42</v>
      </c>
      <c r="B195" s="27" t="s">
        <v>631</v>
      </c>
      <c r="C195" s="27" t="s">
        <v>632</v>
      </c>
      <c r="D195" s="27" t="s">
        <v>633</v>
      </c>
      <c r="E195" s="28" t="s">
        <v>46</v>
      </c>
      <c r="F195" s="29" t="s">
        <v>46</v>
      </c>
      <c r="G195" s="30" t="s">
        <v>46</v>
      </c>
      <c r="H195" s="31"/>
      <c r="I195" s="31" t="s">
        <v>47</v>
      </c>
      <c r="J195" s="32" t="n">
        <v>10.0</v>
      </c>
      <c r="K195" s="33" t="n">
        <f>132</f>
        <v>132.0</v>
      </c>
      <c r="L195" s="34" t="s">
        <v>48</v>
      </c>
      <c r="M195" s="33" t="n">
        <f>186</f>
        <v>186.0</v>
      </c>
      <c r="N195" s="34" t="s">
        <v>92</v>
      </c>
      <c r="O195" s="33" t="n">
        <f>63</f>
        <v>63.0</v>
      </c>
      <c r="P195" s="34" t="s">
        <v>107</v>
      </c>
      <c r="Q195" s="33" t="n">
        <f>70</f>
        <v>70.0</v>
      </c>
      <c r="R195" s="34" t="s">
        <v>49</v>
      </c>
      <c r="S195" s="35" t="n">
        <f>128.62</f>
        <v>128.62</v>
      </c>
      <c r="T195" s="32" t="n">
        <f>1476951480</f>
        <v>1.47695148E9</v>
      </c>
      <c r="U195" s="32" t="n">
        <f>17433640</f>
        <v>1.743364E7</v>
      </c>
      <c r="V195" s="32" t="n">
        <f>157111198243</f>
        <v>1.57111198243E11</v>
      </c>
      <c r="W195" s="32" t="n">
        <f>2071230073</f>
        <v>2.071230073E9</v>
      </c>
      <c r="X195" s="36" t="n">
        <f>21</f>
        <v>21.0</v>
      </c>
    </row>
    <row r="196">
      <c r="A196" s="27" t="s">
        <v>42</v>
      </c>
      <c r="B196" s="27" t="s">
        <v>634</v>
      </c>
      <c r="C196" s="27" t="s">
        <v>635</v>
      </c>
      <c r="D196" s="27" t="s">
        <v>636</v>
      </c>
      <c r="E196" s="28" t="s">
        <v>46</v>
      </c>
      <c r="F196" s="29" t="s">
        <v>46</v>
      </c>
      <c r="G196" s="30" t="s">
        <v>46</v>
      </c>
      <c r="H196" s="31"/>
      <c r="I196" s="31" t="s">
        <v>637</v>
      </c>
      <c r="J196" s="32" t="n">
        <v>1.0</v>
      </c>
      <c r="K196" s="33" t="n">
        <f>8200</f>
        <v>8200.0</v>
      </c>
      <c r="L196" s="34" t="s">
        <v>48</v>
      </c>
      <c r="M196" s="33" t="n">
        <f>9220</f>
        <v>9220.0</v>
      </c>
      <c r="N196" s="34" t="s">
        <v>49</v>
      </c>
      <c r="O196" s="33" t="n">
        <f>7760</f>
        <v>7760.0</v>
      </c>
      <c r="P196" s="34" t="s">
        <v>92</v>
      </c>
      <c r="Q196" s="33" t="n">
        <f>9030</f>
        <v>9030.0</v>
      </c>
      <c r="R196" s="34" t="s">
        <v>49</v>
      </c>
      <c r="S196" s="35" t="n">
        <f>8703.5</f>
        <v>8703.5</v>
      </c>
      <c r="T196" s="32" t="n">
        <f>6570</f>
        <v>6570.0</v>
      </c>
      <c r="U196" s="32" t="str">
        <f>"－"</f>
        <v>－</v>
      </c>
      <c r="V196" s="32" t="n">
        <f>58301380</f>
        <v>5.830138E7</v>
      </c>
      <c r="W196" s="32" t="str">
        <f>"－"</f>
        <v>－</v>
      </c>
      <c r="X196" s="36" t="n">
        <f>20</f>
        <v>20.0</v>
      </c>
    </row>
    <row r="197">
      <c r="A197" s="27" t="s">
        <v>42</v>
      </c>
      <c r="B197" s="27" t="s">
        <v>638</v>
      </c>
      <c r="C197" s="27" t="s">
        <v>639</v>
      </c>
      <c r="D197" s="27" t="s">
        <v>640</v>
      </c>
      <c r="E197" s="28" t="s">
        <v>46</v>
      </c>
      <c r="F197" s="29" t="s">
        <v>46</v>
      </c>
      <c r="G197" s="30" t="s">
        <v>46</v>
      </c>
      <c r="H197" s="31"/>
      <c r="I197" s="31" t="s">
        <v>637</v>
      </c>
      <c r="J197" s="32" t="n">
        <v>1.0</v>
      </c>
      <c r="K197" s="33" t="n">
        <f>6850</f>
        <v>6850.0</v>
      </c>
      <c r="L197" s="34" t="s">
        <v>48</v>
      </c>
      <c r="M197" s="33" t="n">
        <f>7290</f>
        <v>7290.0</v>
      </c>
      <c r="N197" s="34" t="s">
        <v>61</v>
      </c>
      <c r="O197" s="33" t="n">
        <f>6320</f>
        <v>6320.0</v>
      </c>
      <c r="P197" s="34" t="s">
        <v>49</v>
      </c>
      <c r="Q197" s="33" t="n">
        <f>6500</f>
        <v>6500.0</v>
      </c>
      <c r="R197" s="34" t="s">
        <v>49</v>
      </c>
      <c r="S197" s="35" t="n">
        <f>6792.63</f>
        <v>6792.63</v>
      </c>
      <c r="T197" s="32" t="n">
        <f>12271</f>
        <v>12271.0</v>
      </c>
      <c r="U197" s="32" t="str">
        <f>"－"</f>
        <v>－</v>
      </c>
      <c r="V197" s="32" t="n">
        <f>85289840</f>
        <v>8.528984E7</v>
      </c>
      <c r="W197" s="32" t="str">
        <f>"－"</f>
        <v>－</v>
      </c>
      <c r="X197" s="36" t="n">
        <f>19</f>
        <v>19.0</v>
      </c>
    </row>
    <row r="198">
      <c r="A198" s="27" t="s">
        <v>42</v>
      </c>
      <c r="B198" s="27" t="s">
        <v>641</v>
      </c>
      <c r="C198" s="27" t="s">
        <v>642</v>
      </c>
      <c r="D198" s="27" t="s">
        <v>643</v>
      </c>
      <c r="E198" s="28" t="s">
        <v>46</v>
      </c>
      <c r="F198" s="29" t="s">
        <v>46</v>
      </c>
      <c r="G198" s="30" t="s">
        <v>46</v>
      </c>
      <c r="H198" s="31"/>
      <c r="I198" s="31" t="s">
        <v>637</v>
      </c>
      <c r="J198" s="32" t="n">
        <v>1.0</v>
      </c>
      <c r="K198" s="33" t="n">
        <f>5670</f>
        <v>5670.0</v>
      </c>
      <c r="L198" s="34" t="s">
        <v>48</v>
      </c>
      <c r="M198" s="33" t="n">
        <f>7220</f>
        <v>7220.0</v>
      </c>
      <c r="N198" s="34" t="s">
        <v>49</v>
      </c>
      <c r="O198" s="33" t="n">
        <f>5300</f>
        <v>5300.0</v>
      </c>
      <c r="P198" s="34" t="s">
        <v>61</v>
      </c>
      <c r="Q198" s="33" t="n">
        <f>7130</f>
        <v>7130.0</v>
      </c>
      <c r="R198" s="34" t="s">
        <v>49</v>
      </c>
      <c r="S198" s="35" t="n">
        <f>6392.86</f>
        <v>6392.86</v>
      </c>
      <c r="T198" s="32" t="n">
        <f>3008</f>
        <v>3008.0</v>
      </c>
      <c r="U198" s="32" t="str">
        <f>"－"</f>
        <v>－</v>
      </c>
      <c r="V198" s="32" t="n">
        <f>19230190</f>
        <v>1.923019E7</v>
      </c>
      <c r="W198" s="32" t="str">
        <f>"－"</f>
        <v>－</v>
      </c>
      <c r="X198" s="36" t="n">
        <f>21</f>
        <v>21.0</v>
      </c>
    </row>
    <row r="199">
      <c r="A199" s="27" t="s">
        <v>42</v>
      </c>
      <c r="B199" s="27" t="s">
        <v>644</v>
      </c>
      <c r="C199" s="27" t="s">
        <v>645</v>
      </c>
      <c r="D199" s="27" t="s">
        <v>646</v>
      </c>
      <c r="E199" s="28" t="s">
        <v>46</v>
      </c>
      <c r="F199" s="29" t="s">
        <v>46</v>
      </c>
      <c r="G199" s="30" t="s">
        <v>46</v>
      </c>
      <c r="H199" s="31"/>
      <c r="I199" s="31" t="s">
        <v>637</v>
      </c>
      <c r="J199" s="32" t="n">
        <v>1.0</v>
      </c>
      <c r="K199" s="33" t="n">
        <f>10730</f>
        <v>10730.0</v>
      </c>
      <c r="L199" s="34" t="s">
        <v>48</v>
      </c>
      <c r="M199" s="33" t="n">
        <f>10910</f>
        <v>10910.0</v>
      </c>
      <c r="N199" s="34" t="s">
        <v>61</v>
      </c>
      <c r="O199" s="33" t="n">
        <f>9100</f>
        <v>9100.0</v>
      </c>
      <c r="P199" s="34" t="s">
        <v>49</v>
      </c>
      <c r="Q199" s="33" t="n">
        <f>9110</f>
        <v>9110.0</v>
      </c>
      <c r="R199" s="34" t="s">
        <v>49</v>
      </c>
      <c r="S199" s="35" t="n">
        <f>9802.86</f>
        <v>9802.86</v>
      </c>
      <c r="T199" s="32" t="n">
        <f>24934</f>
        <v>24934.0</v>
      </c>
      <c r="U199" s="32" t="n">
        <f>7</f>
        <v>7.0</v>
      </c>
      <c r="V199" s="32" t="n">
        <f>245663630</f>
        <v>2.4566363E8</v>
      </c>
      <c r="W199" s="32" t="n">
        <f>68530</f>
        <v>68530.0</v>
      </c>
      <c r="X199" s="36" t="n">
        <f>21</f>
        <v>21.0</v>
      </c>
    </row>
    <row r="200">
      <c r="A200" s="27" t="s">
        <v>42</v>
      </c>
      <c r="B200" s="27" t="s">
        <v>647</v>
      </c>
      <c r="C200" s="27" t="s">
        <v>648</v>
      </c>
      <c r="D200" s="27" t="s">
        <v>649</v>
      </c>
      <c r="E200" s="28" t="s">
        <v>46</v>
      </c>
      <c r="F200" s="29" t="s">
        <v>46</v>
      </c>
      <c r="G200" s="30" t="s">
        <v>46</v>
      </c>
      <c r="H200" s="31"/>
      <c r="I200" s="31" t="s">
        <v>637</v>
      </c>
      <c r="J200" s="32" t="n">
        <v>1.0</v>
      </c>
      <c r="K200" s="33" t="n">
        <f>1875</f>
        <v>1875.0</v>
      </c>
      <c r="L200" s="34" t="s">
        <v>48</v>
      </c>
      <c r="M200" s="33" t="n">
        <f>2080</f>
        <v>2080.0</v>
      </c>
      <c r="N200" s="34" t="s">
        <v>61</v>
      </c>
      <c r="O200" s="33" t="n">
        <f>1050</f>
        <v>1050.0</v>
      </c>
      <c r="P200" s="34" t="s">
        <v>49</v>
      </c>
      <c r="Q200" s="33" t="n">
        <f>1084</f>
        <v>1084.0</v>
      </c>
      <c r="R200" s="34" t="s">
        <v>49</v>
      </c>
      <c r="S200" s="35" t="n">
        <f>1400.43</f>
        <v>1400.43</v>
      </c>
      <c r="T200" s="32" t="n">
        <f>21848300</f>
        <v>2.18483E7</v>
      </c>
      <c r="U200" s="32" t="n">
        <f>687</f>
        <v>687.0</v>
      </c>
      <c r="V200" s="32" t="n">
        <f>32555555384</f>
        <v>3.2555555384E10</v>
      </c>
      <c r="W200" s="32" t="n">
        <f>977806</f>
        <v>977806.0</v>
      </c>
      <c r="X200" s="36" t="n">
        <f>21</f>
        <v>21.0</v>
      </c>
    </row>
    <row r="201">
      <c r="A201" s="27" t="s">
        <v>42</v>
      </c>
      <c r="B201" s="27" t="s">
        <v>650</v>
      </c>
      <c r="C201" s="27" t="s">
        <v>651</v>
      </c>
      <c r="D201" s="27" t="s">
        <v>652</v>
      </c>
      <c r="E201" s="28" t="s">
        <v>46</v>
      </c>
      <c r="F201" s="29" t="s">
        <v>46</v>
      </c>
      <c r="G201" s="30" t="s">
        <v>46</v>
      </c>
      <c r="H201" s="31"/>
      <c r="I201" s="31" t="s">
        <v>637</v>
      </c>
      <c r="J201" s="32" t="n">
        <v>1.0</v>
      </c>
      <c r="K201" s="33" t="n">
        <f>13410</f>
        <v>13410.0</v>
      </c>
      <c r="L201" s="34" t="s">
        <v>48</v>
      </c>
      <c r="M201" s="33" t="n">
        <f>16510</f>
        <v>16510.0</v>
      </c>
      <c r="N201" s="34" t="s">
        <v>91</v>
      </c>
      <c r="O201" s="33" t="n">
        <f>13270</f>
        <v>13270.0</v>
      </c>
      <c r="P201" s="34" t="s">
        <v>48</v>
      </c>
      <c r="Q201" s="33" t="n">
        <f>15630</f>
        <v>15630.0</v>
      </c>
      <c r="R201" s="34" t="s">
        <v>49</v>
      </c>
      <c r="S201" s="35" t="n">
        <f>15370.95</f>
        <v>15370.95</v>
      </c>
      <c r="T201" s="32" t="n">
        <f>57012</f>
        <v>57012.0</v>
      </c>
      <c r="U201" s="32" t="str">
        <f>"－"</f>
        <v>－</v>
      </c>
      <c r="V201" s="32" t="n">
        <f>887276280</f>
        <v>8.8727628E8</v>
      </c>
      <c r="W201" s="32" t="str">
        <f>"－"</f>
        <v>－</v>
      </c>
      <c r="X201" s="36" t="n">
        <f>21</f>
        <v>21.0</v>
      </c>
    </row>
    <row r="202">
      <c r="A202" s="27" t="s">
        <v>42</v>
      </c>
      <c r="B202" s="27" t="s">
        <v>653</v>
      </c>
      <c r="C202" s="27" t="s">
        <v>654</v>
      </c>
      <c r="D202" s="27" t="s">
        <v>655</v>
      </c>
      <c r="E202" s="28" t="s">
        <v>46</v>
      </c>
      <c r="F202" s="29" t="s">
        <v>46</v>
      </c>
      <c r="G202" s="30" t="s">
        <v>46</v>
      </c>
      <c r="H202" s="31"/>
      <c r="I202" s="31" t="s">
        <v>637</v>
      </c>
      <c r="J202" s="32" t="n">
        <v>1.0</v>
      </c>
      <c r="K202" s="33" t="n">
        <f>6800</f>
        <v>6800.0</v>
      </c>
      <c r="L202" s="34" t="s">
        <v>48</v>
      </c>
      <c r="M202" s="33" t="n">
        <f>6800</f>
        <v>6800.0</v>
      </c>
      <c r="N202" s="34" t="s">
        <v>48</v>
      </c>
      <c r="O202" s="33" t="n">
        <f>6150</f>
        <v>6150.0</v>
      </c>
      <c r="P202" s="34" t="s">
        <v>307</v>
      </c>
      <c r="Q202" s="33" t="n">
        <f>6240</f>
        <v>6240.0</v>
      </c>
      <c r="R202" s="34" t="s">
        <v>49</v>
      </c>
      <c r="S202" s="35" t="n">
        <f>6321.43</f>
        <v>6321.43</v>
      </c>
      <c r="T202" s="32" t="n">
        <f>16846</f>
        <v>16846.0</v>
      </c>
      <c r="U202" s="32" t="str">
        <f>"－"</f>
        <v>－</v>
      </c>
      <c r="V202" s="32" t="n">
        <f>105507190</f>
        <v>1.0550719E8</v>
      </c>
      <c r="W202" s="32" t="str">
        <f>"－"</f>
        <v>－</v>
      </c>
      <c r="X202" s="36" t="n">
        <f>21</f>
        <v>21.0</v>
      </c>
    </row>
    <row r="203">
      <c r="A203" s="27" t="s">
        <v>42</v>
      </c>
      <c r="B203" s="27" t="s">
        <v>656</v>
      </c>
      <c r="C203" s="27" t="s">
        <v>657</v>
      </c>
      <c r="D203" s="27" t="s">
        <v>658</v>
      </c>
      <c r="E203" s="28" t="s">
        <v>46</v>
      </c>
      <c r="F203" s="29" t="s">
        <v>46</v>
      </c>
      <c r="G203" s="30" t="s">
        <v>46</v>
      </c>
      <c r="H203" s="31"/>
      <c r="I203" s="31" t="s">
        <v>637</v>
      </c>
      <c r="J203" s="32" t="n">
        <v>1.0</v>
      </c>
      <c r="K203" s="33" t="n">
        <f>328</f>
        <v>328.0</v>
      </c>
      <c r="L203" s="34" t="s">
        <v>48</v>
      </c>
      <c r="M203" s="33" t="n">
        <f>386</f>
        <v>386.0</v>
      </c>
      <c r="N203" s="34" t="s">
        <v>192</v>
      </c>
      <c r="O203" s="33" t="n">
        <f>134</f>
        <v>134.0</v>
      </c>
      <c r="P203" s="34" t="s">
        <v>107</v>
      </c>
      <c r="Q203" s="33" t="n">
        <f>183</f>
        <v>183.0</v>
      </c>
      <c r="R203" s="34" t="s">
        <v>49</v>
      </c>
      <c r="S203" s="35" t="n">
        <f>288.57</f>
        <v>288.57</v>
      </c>
      <c r="T203" s="32" t="n">
        <f>766532052</f>
        <v>7.66532052E8</v>
      </c>
      <c r="U203" s="32" t="str">
        <f>"－"</f>
        <v>－</v>
      </c>
      <c r="V203" s="32" t="n">
        <f>203037910842</f>
        <v>2.03037910842E11</v>
      </c>
      <c r="W203" s="32" t="str">
        <f>"－"</f>
        <v>－</v>
      </c>
      <c r="X203" s="36" t="n">
        <f>21</f>
        <v>21.0</v>
      </c>
    </row>
    <row r="204">
      <c r="A204" s="27" t="s">
        <v>42</v>
      </c>
      <c r="B204" s="27" t="s">
        <v>659</v>
      </c>
      <c r="C204" s="27" t="s">
        <v>660</v>
      </c>
      <c r="D204" s="27" t="s">
        <v>661</v>
      </c>
      <c r="E204" s="28" t="s">
        <v>46</v>
      </c>
      <c r="F204" s="29" t="s">
        <v>46</v>
      </c>
      <c r="G204" s="30" t="s">
        <v>46</v>
      </c>
      <c r="H204" s="31"/>
      <c r="I204" s="31" t="s">
        <v>637</v>
      </c>
      <c r="J204" s="32" t="n">
        <v>1.0</v>
      </c>
      <c r="K204" s="33" t="n">
        <f>9120</f>
        <v>9120.0</v>
      </c>
      <c r="L204" s="34" t="s">
        <v>48</v>
      </c>
      <c r="M204" s="33" t="n">
        <f>10830</f>
        <v>10830.0</v>
      </c>
      <c r="N204" s="34" t="s">
        <v>181</v>
      </c>
      <c r="O204" s="33" t="n">
        <f>7830</f>
        <v>7830.0</v>
      </c>
      <c r="P204" s="34" t="s">
        <v>87</v>
      </c>
      <c r="Q204" s="33" t="n">
        <f>8350</f>
        <v>8350.0</v>
      </c>
      <c r="R204" s="34" t="s">
        <v>49</v>
      </c>
      <c r="S204" s="35" t="n">
        <f>8858.1</f>
        <v>8858.1</v>
      </c>
      <c r="T204" s="32" t="n">
        <f>693248</f>
        <v>693248.0</v>
      </c>
      <c r="U204" s="32" t="str">
        <f>"－"</f>
        <v>－</v>
      </c>
      <c r="V204" s="32" t="n">
        <f>6187213250</f>
        <v>6.18721325E9</v>
      </c>
      <c r="W204" s="32" t="str">
        <f>"－"</f>
        <v>－</v>
      </c>
      <c r="X204" s="36" t="n">
        <f>21</f>
        <v>21.0</v>
      </c>
    </row>
    <row r="205">
      <c r="A205" s="27" t="s">
        <v>42</v>
      </c>
      <c r="B205" s="27" t="s">
        <v>662</v>
      </c>
      <c r="C205" s="27" t="s">
        <v>663</v>
      </c>
      <c r="D205" s="27" t="s">
        <v>664</v>
      </c>
      <c r="E205" s="28" t="s">
        <v>46</v>
      </c>
      <c r="F205" s="29" t="s">
        <v>46</v>
      </c>
      <c r="G205" s="30" t="s">
        <v>46</v>
      </c>
      <c r="H205" s="31"/>
      <c r="I205" s="31" t="s">
        <v>637</v>
      </c>
      <c r="J205" s="32" t="n">
        <v>1.0</v>
      </c>
      <c r="K205" s="33" t="n">
        <f>13060</f>
        <v>13060.0</v>
      </c>
      <c r="L205" s="34" t="s">
        <v>48</v>
      </c>
      <c r="M205" s="33" t="n">
        <f>16890</f>
        <v>16890.0</v>
      </c>
      <c r="N205" s="34" t="s">
        <v>49</v>
      </c>
      <c r="O205" s="33" t="n">
        <f>12270</f>
        <v>12270.0</v>
      </c>
      <c r="P205" s="34" t="s">
        <v>61</v>
      </c>
      <c r="Q205" s="33" t="n">
        <f>16850</f>
        <v>16850.0</v>
      </c>
      <c r="R205" s="34" t="s">
        <v>49</v>
      </c>
      <c r="S205" s="35" t="n">
        <f>14964.29</f>
        <v>14964.29</v>
      </c>
      <c r="T205" s="32" t="n">
        <f>1078678</f>
        <v>1078678.0</v>
      </c>
      <c r="U205" s="32" t="n">
        <f>266</f>
        <v>266.0</v>
      </c>
      <c r="V205" s="32" t="n">
        <f>16154235710</f>
        <v>1.615423571E10</v>
      </c>
      <c r="W205" s="32" t="n">
        <f>3712860</f>
        <v>3712860.0</v>
      </c>
      <c r="X205" s="36" t="n">
        <f>21</f>
        <v>21.0</v>
      </c>
    </row>
    <row r="206">
      <c r="A206" s="27" t="s">
        <v>42</v>
      </c>
      <c r="B206" s="27" t="s">
        <v>665</v>
      </c>
      <c r="C206" s="27" t="s">
        <v>666</v>
      </c>
      <c r="D206" s="27" t="s">
        <v>667</v>
      </c>
      <c r="E206" s="28" t="s">
        <v>46</v>
      </c>
      <c r="F206" s="29" t="s">
        <v>46</v>
      </c>
      <c r="G206" s="30" t="s">
        <v>46</v>
      </c>
      <c r="H206" s="31"/>
      <c r="I206" s="31" t="s">
        <v>637</v>
      </c>
      <c r="J206" s="32" t="n">
        <v>1.0</v>
      </c>
      <c r="K206" s="33" t="n">
        <f>5210</f>
        <v>5210.0</v>
      </c>
      <c r="L206" s="34" t="s">
        <v>48</v>
      </c>
      <c r="M206" s="33" t="n">
        <f>5410</f>
        <v>5410.0</v>
      </c>
      <c r="N206" s="34" t="s">
        <v>61</v>
      </c>
      <c r="O206" s="33" t="n">
        <f>4440</f>
        <v>4440.0</v>
      </c>
      <c r="P206" s="34" t="s">
        <v>49</v>
      </c>
      <c r="Q206" s="33" t="n">
        <f>4450</f>
        <v>4450.0</v>
      </c>
      <c r="R206" s="34" t="s">
        <v>49</v>
      </c>
      <c r="S206" s="35" t="n">
        <f>4793.33</f>
        <v>4793.33</v>
      </c>
      <c r="T206" s="32" t="n">
        <f>994517</f>
        <v>994517.0</v>
      </c>
      <c r="U206" s="32" t="n">
        <f>29</f>
        <v>29.0</v>
      </c>
      <c r="V206" s="32" t="n">
        <f>4821949840</f>
        <v>4.82194984E9</v>
      </c>
      <c r="W206" s="32" t="n">
        <f>145505</f>
        <v>145505.0</v>
      </c>
      <c r="X206" s="36" t="n">
        <f>21</f>
        <v>21.0</v>
      </c>
    </row>
    <row r="207">
      <c r="A207" s="27" t="s">
        <v>42</v>
      </c>
      <c r="B207" s="27" t="s">
        <v>668</v>
      </c>
      <c r="C207" s="27" t="s">
        <v>669</v>
      </c>
      <c r="D207" s="27" t="s">
        <v>670</v>
      </c>
      <c r="E207" s="28" t="s">
        <v>46</v>
      </c>
      <c r="F207" s="29" t="s">
        <v>46</v>
      </c>
      <c r="G207" s="30" t="s">
        <v>46</v>
      </c>
      <c r="H207" s="31"/>
      <c r="I207" s="31" t="s">
        <v>637</v>
      </c>
      <c r="J207" s="32" t="n">
        <v>1.0</v>
      </c>
      <c r="K207" s="33" t="n">
        <f>6610</f>
        <v>6610.0</v>
      </c>
      <c r="L207" s="34" t="s">
        <v>48</v>
      </c>
      <c r="M207" s="33" t="n">
        <f>8550</f>
        <v>8550.0</v>
      </c>
      <c r="N207" s="34" t="s">
        <v>49</v>
      </c>
      <c r="O207" s="33" t="n">
        <f>6360</f>
        <v>6360.0</v>
      </c>
      <c r="P207" s="34" t="s">
        <v>92</v>
      </c>
      <c r="Q207" s="33" t="n">
        <f>8460</f>
        <v>8460.0</v>
      </c>
      <c r="R207" s="34" t="s">
        <v>49</v>
      </c>
      <c r="S207" s="35" t="n">
        <f>7497.62</f>
        <v>7497.62</v>
      </c>
      <c r="T207" s="32" t="n">
        <f>117105</f>
        <v>117105.0</v>
      </c>
      <c r="U207" s="32" t="str">
        <f>"－"</f>
        <v>－</v>
      </c>
      <c r="V207" s="32" t="n">
        <f>901656800</f>
        <v>9.016568E8</v>
      </c>
      <c r="W207" s="32" t="str">
        <f>"－"</f>
        <v>－</v>
      </c>
      <c r="X207" s="36" t="n">
        <f>21</f>
        <v>21.0</v>
      </c>
    </row>
    <row r="208">
      <c r="A208" s="27" t="s">
        <v>42</v>
      </c>
      <c r="B208" s="27" t="s">
        <v>671</v>
      </c>
      <c r="C208" s="27" t="s">
        <v>672</v>
      </c>
      <c r="D208" s="27" t="s">
        <v>673</v>
      </c>
      <c r="E208" s="28" t="s">
        <v>46</v>
      </c>
      <c r="F208" s="29" t="s">
        <v>46</v>
      </c>
      <c r="G208" s="30" t="s">
        <v>46</v>
      </c>
      <c r="H208" s="31"/>
      <c r="I208" s="31" t="s">
        <v>637</v>
      </c>
      <c r="J208" s="32" t="n">
        <v>1.0</v>
      </c>
      <c r="K208" s="33" t="n">
        <f>8960</f>
        <v>8960.0</v>
      </c>
      <c r="L208" s="34" t="s">
        <v>48</v>
      </c>
      <c r="M208" s="33" t="n">
        <f>9550</f>
        <v>9550.0</v>
      </c>
      <c r="N208" s="34" t="s">
        <v>65</v>
      </c>
      <c r="O208" s="33" t="n">
        <f>8700</f>
        <v>8700.0</v>
      </c>
      <c r="P208" s="34" t="s">
        <v>61</v>
      </c>
      <c r="Q208" s="33" t="n">
        <f>9200</f>
        <v>9200.0</v>
      </c>
      <c r="R208" s="34" t="s">
        <v>49</v>
      </c>
      <c r="S208" s="35" t="n">
        <f>9188</f>
        <v>9188.0</v>
      </c>
      <c r="T208" s="32" t="n">
        <f>686</f>
        <v>686.0</v>
      </c>
      <c r="U208" s="32" t="str">
        <f>"－"</f>
        <v>－</v>
      </c>
      <c r="V208" s="32" t="n">
        <f>6340730</f>
        <v>6340730.0</v>
      </c>
      <c r="W208" s="32" t="str">
        <f>"－"</f>
        <v>－</v>
      </c>
      <c r="X208" s="36" t="n">
        <f>15</f>
        <v>15.0</v>
      </c>
    </row>
    <row r="209">
      <c r="A209" s="27" t="s">
        <v>42</v>
      </c>
      <c r="B209" s="27" t="s">
        <v>674</v>
      </c>
      <c r="C209" s="27" t="s">
        <v>675</v>
      </c>
      <c r="D209" s="27" t="s">
        <v>676</v>
      </c>
      <c r="E209" s="28" t="s">
        <v>46</v>
      </c>
      <c r="F209" s="29" t="s">
        <v>46</v>
      </c>
      <c r="G209" s="30" t="s">
        <v>46</v>
      </c>
      <c r="H209" s="31"/>
      <c r="I209" s="31" t="s">
        <v>637</v>
      </c>
      <c r="J209" s="32" t="n">
        <v>1.0</v>
      </c>
      <c r="K209" s="33" t="n">
        <f>11390</f>
        <v>11390.0</v>
      </c>
      <c r="L209" s="34" t="s">
        <v>48</v>
      </c>
      <c r="M209" s="33" t="n">
        <f>12930</f>
        <v>12930.0</v>
      </c>
      <c r="N209" s="34" t="s">
        <v>49</v>
      </c>
      <c r="O209" s="33" t="n">
        <f>10810</f>
        <v>10810.0</v>
      </c>
      <c r="P209" s="34" t="s">
        <v>61</v>
      </c>
      <c r="Q209" s="33" t="n">
        <f>12810</f>
        <v>12810.0</v>
      </c>
      <c r="R209" s="34" t="s">
        <v>49</v>
      </c>
      <c r="S209" s="35" t="n">
        <f>12152.38</f>
        <v>12152.38</v>
      </c>
      <c r="T209" s="32" t="n">
        <f>25808</f>
        <v>25808.0</v>
      </c>
      <c r="U209" s="32" t="str">
        <f>"－"</f>
        <v>－</v>
      </c>
      <c r="V209" s="32" t="n">
        <f>313571510</f>
        <v>3.1357151E8</v>
      </c>
      <c r="W209" s="32" t="str">
        <f>"－"</f>
        <v>－</v>
      </c>
      <c r="X209" s="36" t="n">
        <f>21</f>
        <v>21.0</v>
      </c>
    </row>
    <row r="210">
      <c r="A210" s="27" t="s">
        <v>42</v>
      </c>
      <c r="B210" s="27" t="s">
        <v>677</v>
      </c>
      <c r="C210" s="27" t="s">
        <v>678</v>
      </c>
      <c r="D210" s="27" t="s">
        <v>679</v>
      </c>
      <c r="E210" s="28" t="s">
        <v>46</v>
      </c>
      <c r="F210" s="29" t="s">
        <v>46</v>
      </c>
      <c r="G210" s="30" t="s">
        <v>46</v>
      </c>
      <c r="H210" s="31"/>
      <c r="I210" s="31" t="s">
        <v>637</v>
      </c>
      <c r="J210" s="32" t="n">
        <v>1.0</v>
      </c>
      <c r="K210" s="33" t="n">
        <f>10050</f>
        <v>10050.0</v>
      </c>
      <c r="L210" s="34" t="s">
        <v>48</v>
      </c>
      <c r="M210" s="33" t="n">
        <f>10790</f>
        <v>10790.0</v>
      </c>
      <c r="N210" s="34" t="s">
        <v>188</v>
      </c>
      <c r="O210" s="33" t="n">
        <f>9120</f>
        <v>9120.0</v>
      </c>
      <c r="P210" s="34" t="s">
        <v>92</v>
      </c>
      <c r="Q210" s="33" t="n">
        <f>10620</f>
        <v>10620.0</v>
      </c>
      <c r="R210" s="34" t="s">
        <v>49</v>
      </c>
      <c r="S210" s="35" t="n">
        <f>10175</f>
        <v>10175.0</v>
      </c>
      <c r="T210" s="32" t="n">
        <f>2397</f>
        <v>2397.0</v>
      </c>
      <c r="U210" s="32" t="str">
        <f>"－"</f>
        <v>－</v>
      </c>
      <c r="V210" s="32" t="n">
        <f>24707540</f>
        <v>2.470754E7</v>
      </c>
      <c r="W210" s="32" t="str">
        <f>"－"</f>
        <v>－</v>
      </c>
      <c r="X210" s="36" t="n">
        <f>20</f>
        <v>20.0</v>
      </c>
    </row>
    <row r="211">
      <c r="A211" s="27" t="s">
        <v>42</v>
      </c>
      <c r="B211" s="27" t="s">
        <v>680</v>
      </c>
      <c r="C211" s="27" t="s">
        <v>681</v>
      </c>
      <c r="D211" s="27" t="s">
        <v>682</v>
      </c>
      <c r="E211" s="28" t="s">
        <v>46</v>
      </c>
      <c r="F211" s="29" t="s">
        <v>46</v>
      </c>
      <c r="G211" s="30" t="s">
        <v>46</v>
      </c>
      <c r="H211" s="31"/>
      <c r="I211" s="31" t="s">
        <v>637</v>
      </c>
      <c r="J211" s="32" t="n">
        <v>1.0</v>
      </c>
      <c r="K211" s="33" t="n">
        <f>4700</f>
        <v>4700.0</v>
      </c>
      <c r="L211" s="34" t="s">
        <v>48</v>
      </c>
      <c r="M211" s="33" t="n">
        <f>6090</f>
        <v>6090.0</v>
      </c>
      <c r="N211" s="34" t="s">
        <v>49</v>
      </c>
      <c r="O211" s="33" t="n">
        <f>4110</f>
        <v>4110.0</v>
      </c>
      <c r="P211" s="34" t="s">
        <v>92</v>
      </c>
      <c r="Q211" s="33" t="n">
        <f>6080</f>
        <v>6080.0</v>
      </c>
      <c r="R211" s="34" t="s">
        <v>49</v>
      </c>
      <c r="S211" s="35" t="n">
        <f>5042.14</f>
        <v>5042.14</v>
      </c>
      <c r="T211" s="32" t="n">
        <f>79960</f>
        <v>79960.0</v>
      </c>
      <c r="U211" s="32" t="n">
        <f>2</f>
        <v>2.0</v>
      </c>
      <c r="V211" s="32" t="n">
        <f>405639170</f>
        <v>4.0563917E8</v>
      </c>
      <c r="W211" s="32" t="n">
        <f>10110</f>
        <v>10110.0</v>
      </c>
      <c r="X211" s="36" t="n">
        <f>21</f>
        <v>21.0</v>
      </c>
    </row>
    <row r="212">
      <c r="A212" s="27" t="s">
        <v>42</v>
      </c>
      <c r="B212" s="27" t="s">
        <v>683</v>
      </c>
      <c r="C212" s="27" t="s">
        <v>684</v>
      </c>
      <c r="D212" s="27" t="s">
        <v>685</v>
      </c>
      <c r="E212" s="28" t="s">
        <v>46</v>
      </c>
      <c r="F212" s="29" t="s">
        <v>46</v>
      </c>
      <c r="G212" s="30" t="s">
        <v>46</v>
      </c>
      <c r="H212" s="31"/>
      <c r="I212" s="31" t="s">
        <v>637</v>
      </c>
      <c r="J212" s="32" t="n">
        <v>1.0</v>
      </c>
      <c r="K212" s="33" t="n">
        <f>7900</f>
        <v>7900.0</v>
      </c>
      <c r="L212" s="34" t="s">
        <v>48</v>
      </c>
      <c r="M212" s="33" t="n">
        <f>9030</f>
        <v>9030.0</v>
      </c>
      <c r="N212" s="34" t="s">
        <v>92</v>
      </c>
      <c r="O212" s="33" t="n">
        <f>6780</f>
        <v>6780.0</v>
      </c>
      <c r="P212" s="34" t="s">
        <v>49</v>
      </c>
      <c r="Q212" s="33" t="n">
        <f>6790</f>
        <v>6790.0</v>
      </c>
      <c r="R212" s="34" t="s">
        <v>49</v>
      </c>
      <c r="S212" s="35" t="n">
        <f>7532.86</f>
        <v>7532.86</v>
      </c>
      <c r="T212" s="32" t="n">
        <f>7234</f>
        <v>7234.0</v>
      </c>
      <c r="U212" s="32" t="str">
        <f>"－"</f>
        <v>－</v>
      </c>
      <c r="V212" s="32" t="n">
        <f>56277040</f>
        <v>5.627704E7</v>
      </c>
      <c r="W212" s="32" t="str">
        <f>"－"</f>
        <v>－</v>
      </c>
      <c r="X212" s="36" t="n">
        <f>21</f>
        <v>21.0</v>
      </c>
    </row>
    <row r="213">
      <c r="A213" s="27" t="s">
        <v>42</v>
      </c>
      <c r="B213" s="27" t="s">
        <v>686</v>
      </c>
      <c r="C213" s="27" t="s">
        <v>687</v>
      </c>
      <c r="D213" s="27" t="s">
        <v>688</v>
      </c>
      <c r="E213" s="28" t="s">
        <v>46</v>
      </c>
      <c r="F213" s="29" t="s">
        <v>46</v>
      </c>
      <c r="G213" s="30" t="s">
        <v>46</v>
      </c>
      <c r="H213" s="31"/>
      <c r="I213" s="31" t="s">
        <v>637</v>
      </c>
      <c r="J213" s="32" t="n">
        <v>1.0</v>
      </c>
      <c r="K213" s="33" t="n">
        <f>8170</f>
        <v>8170.0</v>
      </c>
      <c r="L213" s="34" t="s">
        <v>48</v>
      </c>
      <c r="M213" s="33" t="n">
        <f>8240</f>
        <v>8240.0</v>
      </c>
      <c r="N213" s="34" t="s">
        <v>49</v>
      </c>
      <c r="O213" s="33" t="n">
        <f>7540</f>
        <v>7540.0</v>
      </c>
      <c r="P213" s="34" t="s">
        <v>61</v>
      </c>
      <c r="Q213" s="33" t="n">
        <f>8240</f>
        <v>8240.0</v>
      </c>
      <c r="R213" s="34" t="s">
        <v>49</v>
      </c>
      <c r="S213" s="35" t="n">
        <f>7966.92</f>
        <v>7966.92</v>
      </c>
      <c r="T213" s="32" t="n">
        <f>1033</f>
        <v>1033.0</v>
      </c>
      <c r="U213" s="32" t="str">
        <f>"－"</f>
        <v>－</v>
      </c>
      <c r="V213" s="32" t="n">
        <f>8250170</f>
        <v>8250170.0</v>
      </c>
      <c r="W213" s="32" t="str">
        <f>"－"</f>
        <v>－</v>
      </c>
      <c r="X213" s="36" t="n">
        <f>13</f>
        <v>13.0</v>
      </c>
    </row>
    <row r="214">
      <c r="A214" s="27" t="s">
        <v>42</v>
      </c>
      <c r="B214" s="27" t="s">
        <v>689</v>
      </c>
      <c r="C214" s="27" t="s">
        <v>690</v>
      </c>
      <c r="D214" s="27" t="s">
        <v>691</v>
      </c>
      <c r="E214" s="28" t="s">
        <v>46</v>
      </c>
      <c r="F214" s="29" t="s">
        <v>46</v>
      </c>
      <c r="G214" s="30" t="s">
        <v>46</v>
      </c>
      <c r="H214" s="31"/>
      <c r="I214" s="31" t="s">
        <v>637</v>
      </c>
      <c r="J214" s="32" t="n">
        <v>1.0</v>
      </c>
      <c r="K214" s="33" t="n">
        <f>8400</f>
        <v>8400.0</v>
      </c>
      <c r="L214" s="34" t="s">
        <v>48</v>
      </c>
      <c r="M214" s="33" t="n">
        <f>9030</f>
        <v>9030.0</v>
      </c>
      <c r="N214" s="34" t="s">
        <v>49</v>
      </c>
      <c r="O214" s="33" t="n">
        <f>7900</f>
        <v>7900.0</v>
      </c>
      <c r="P214" s="34" t="s">
        <v>50</v>
      </c>
      <c r="Q214" s="33" t="n">
        <f>9010</f>
        <v>9010.0</v>
      </c>
      <c r="R214" s="34" t="s">
        <v>49</v>
      </c>
      <c r="S214" s="35" t="n">
        <f>8500</f>
        <v>8500.0</v>
      </c>
      <c r="T214" s="32" t="n">
        <f>1460</f>
        <v>1460.0</v>
      </c>
      <c r="U214" s="32" t="str">
        <f>"－"</f>
        <v>－</v>
      </c>
      <c r="V214" s="32" t="n">
        <f>12577050</f>
        <v>1.257705E7</v>
      </c>
      <c r="W214" s="32" t="str">
        <f>"－"</f>
        <v>－</v>
      </c>
      <c r="X214" s="36" t="n">
        <f>8</f>
        <v>8.0</v>
      </c>
    </row>
    <row r="215">
      <c r="A215" s="27" t="s">
        <v>42</v>
      </c>
      <c r="B215" s="27" t="s">
        <v>692</v>
      </c>
      <c r="C215" s="27" t="s">
        <v>693</v>
      </c>
      <c r="D215" s="27" t="s">
        <v>694</v>
      </c>
      <c r="E215" s="28" t="s">
        <v>46</v>
      </c>
      <c r="F215" s="29" t="s">
        <v>46</v>
      </c>
      <c r="G215" s="30" t="s">
        <v>46</v>
      </c>
      <c r="H215" s="31"/>
      <c r="I215" s="31" t="s">
        <v>637</v>
      </c>
      <c r="J215" s="32" t="n">
        <v>1.0</v>
      </c>
      <c r="K215" s="33" t="n">
        <f>9100</f>
        <v>9100.0</v>
      </c>
      <c r="L215" s="34" t="s">
        <v>48</v>
      </c>
      <c r="M215" s="33" t="n">
        <f>9700</f>
        <v>9700.0</v>
      </c>
      <c r="N215" s="34" t="s">
        <v>171</v>
      </c>
      <c r="O215" s="33" t="n">
        <f>9070</f>
        <v>9070.0</v>
      </c>
      <c r="P215" s="34" t="s">
        <v>61</v>
      </c>
      <c r="Q215" s="33" t="n">
        <f>9520</f>
        <v>9520.0</v>
      </c>
      <c r="R215" s="34" t="s">
        <v>87</v>
      </c>
      <c r="S215" s="35" t="n">
        <f>9386</f>
        <v>9386.0</v>
      </c>
      <c r="T215" s="32" t="n">
        <f>2340</f>
        <v>2340.0</v>
      </c>
      <c r="U215" s="32" t="str">
        <f>"－"</f>
        <v>－</v>
      </c>
      <c r="V215" s="32" t="n">
        <f>21817440</f>
        <v>2.181744E7</v>
      </c>
      <c r="W215" s="32" t="str">
        <f>"－"</f>
        <v>－</v>
      </c>
      <c r="X215" s="36" t="n">
        <f>10</f>
        <v>10.0</v>
      </c>
    </row>
    <row r="216">
      <c r="A216" s="27" t="s">
        <v>42</v>
      </c>
      <c r="B216" s="27" t="s">
        <v>695</v>
      </c>
      <c r="C216" s="27" t="s">
        <v>696</v>
      </c>
      <c r="D216" s="27" t="s">
        <v>697</v>
      </c>
      <c r="E216" s="28" t="s">
        <v>46</v>
      </c>
      <c r="F216" s="29" t="s">
        <v>46</v>
      </c>
      <c r="G216" s="30" t="s">
        <v>46</v>
      </c>
      <c r="H216" s="31"/>
      <c r="I216" s="31" t="s">
        <v>637</v>
      </c>
      <c r="J216" s="32" t="n">
        <v>1.0</v>
      </c>
      <c r="K216" s="33" t="n">
        <f>10000</f>
        <v>10000.0</v>
      </c>
      <c r="L216" s="34" t="s">
        <v>48</v>
      </c>
      <c r="M216" s="33" t="n">
        <f>10000</f>
        <v>10000.0</v>
      </c>
      <c r="N216" s="34" t="s">
        <v>48</v>
      </c>
      <c r="O216" s="33" t="n">
        <f>9160</f>
        <v>9160.0</v>
      </c>
      <c r="P216" s="34" t="s">
        <v>50</v>
      </c>
      <c r="Q216" s="33" t="n">
        <f>9810</f>
        <v>9810.0</v>
      </c>
      <c r="R216" s="34" t="s">
        <v>49</v>
      </c>
      <c r="S216" s="35" t="n">
        <f>9674.29</f>
        <v>9674.29</v>
      </c>
      <c r="T216" s="32" t="n">
        <f>3736</f>
        <v>3736.0</v>
      </c>
      <c r="U216" s="32" t="str">
        <f>"－"</f>
        <v>－</v>
      </c>
      <c r="V216" s="32" t="n">
        <f>36033880</f>
        <v>3.603388E7</v>
      </c>
      <c r="W216" s="32" t="str">
        <f>"－"</f>
        <v>－</v>
      </c>
      <c r="X216" s="36" t="n">
        <f>14</f>
        <v>14.0</v>
      </c>
    </row>
    <row r="217">
      <c r="A217" s="27" t="s">
        <v>42</v>
      </c>
      <c r="B217" s="27" t="s">
        <v>698</v>
      </c>
      <c r="C217" s="27" t="s">
        <v>699</v>
      </c>
      <c r="D217" s="27" t="s">
        <v>700</v>
      </c>
      <c r="E217" s="28" t="s">
        <v>46</v>
      </c>
      <c r="F217" s="29" t="s">
        <v>46</v>
      </c>
      <c r="G217" s="30" t="s">
        <v>46</v>
      </c>
      <c r="H217" s="31"/>
      <c r="I217" s="31" t="s">
        <v>637</v>
      </c>
      <c r="J217" s="32" t="n">
        <v>1.0</v>
      </c>
      <c r="K217" s="33" t="n">
        <f>8410</f>
        <v>8410.0</v>
      </c>
      <c r="L217" s="34" t="s">
        <v>48</v>
      </c>
      <c r="M217" s="33" t="n">
        <f>8880</f>
        <v>8880.0</v>
      </c>
      <c r="N217" s="34" t="s">
        <v>49</v>
      </c>
      <c r="O217" s="33" t="n">
        <f>7980</f>
        <v>7980.0</v>
      </c>
      <c r="P217" s="34" t="s">
        <v>92</v>
      </c>
      <c r="Q217" s="33" t="n">
        <f>8860</f>
        <v>8860.0</v>
      </c>
      <c r="R217" s="34" t="s">
        <v>49</v>
      </c>
      <c r="S217" s="35" t="n">
        <f>8524.67</f>
        <v>8524.67</v>
      </c>
      <c r="T217" s="32" t="n">
        <f>1707</f>
        <v>1707.0</v>
      </c>
      <c r="U217" s="32" t="str">
        <f>"－"</f>
        <v>－</v>
      </c>
      <c r="V217" s="32" t="n">
        <f>14733830</f>
        <v>1.473383E7</v>
      </c>
      <c r="W217" s="32" t="str">
        <f>"－"</f>
        <v>－</v>
      </c>
      <c r="X217" s="36" t="n">
        <f>15</f>
        <v>15.0</v>
      </c>
    </row>
    <row r="218">
      <c r="A218" s="27" t="s">
        <v>42</v>
      </c>
      <c r="B218" s="27" t="s">
        <v>701</v>
      </c>
      <c r="C218" s="27" t="s">
        <v>702</v>
      </c>
      <c r="D218" s="27" t="s">
        <v>703</v>
      </c>
      <c r="E218" s="28" t="s">
        <v>46</v>
      </c>
      <c r="F218" s="29" t="s">
        <v>46</v>
      </c>
      <c r="G218" s="30" t="s">
        <v>46</v>
      </c>
      <c r="H218" s="31"/>
      <c r="I218" s="31" t="s">
        <v>637</v>
      </c>
      <c r="J218" s="32" t="n">
        <v>1.0</v>
      </c>
      <c r="K218" s="33" t="n">
        <f>8130</f>
        <v>8130.0</v>
      </c>
      <c r="L218" s="34" t="s">
        <v>91</v>
      </c>
      <c r="M218" s="33" t="n">
        <f>8170</f>
        <v>8170.0</v>
      </c>
      <c r="N218" s="34" t="s">
        <v>91</v>
      </c>
      <c r="O218" s="33" t="n">
        <f>7770</f>
        <v>7770.0</v>
      </c>
      <c r="P218" s="34" t="s">
        <v>317</v>
      </c>
      <c r="Q218" s="33" t="n">
        <f>7770</f>
        <v>7770.0</v>
      </c>
      <c r="R218" s="34" t="s">
        <v>317</v>
      </c>
      <c r="S218" s="35" t="n">
        <f>7953.33</f>
        <v>7953.33</v>
      </c>
      <c r="T218" s="32" t="n">
        <f>382</f>
        <v>382.0</v>
      </c>
      <c r="U218" s="32" t="str">
        <f>"－"</f>
        <v>－</v>
      </c>
      <c r="V218" s="32" t="n">
        <f>3019780</f>
        <v>3019780.0</v>
      </c>
      <c r="W218" s="32" t="str">
        <f>"－"</f>
        <v>－</v>
      </c>
      <c r="X218" s="36" t="n">
        <f>3</f>
        <v>3.0</v>
      </c>
    </row>
    <row r="219">
      <c r="A219" s="27" t="s">
        <v>42</v>
      </c>
      <c r="B219" s="27" t="s">
        <v>704</v>
      </c>
      <c r="C219" s="27" t="s">
        <v>705</v>
      </c>
      <c r="D219" s="27" t="s">
        <v>706</v>
      </c>
      <c r="E219" s="28" t="s">
        <v>46</v>
      </c>
      <c r="F219" s="29" t="s">
        <v>46</v>
      </c>
      <c r="G219" s="30" t="s">
        <v>46</v>
      </c>
      <c r="H219" s="31"/>
      <c r="I219" s="31" t="s">
        <v>637</v>
      </c>
      <c r="J219" s="32" t="n">
        <v>1.0</v>
      </c>
      <c r="K219" s="33" t="n">
        <f>10720</f>
        <v>10720.0</v>
      </c>
      <c r="L219" s="34" t="s">
        <v>86</v>
      </c>
      <c r="M219" s="33" t="n">
        <f>10960</f>
        <v>10960.0</v>
      </c>
      <c r="N219" s="34" t="s">
        <v>49</v>
      </c>
      <c r="O219" s="33" t="n">
        <f>10650</f>
        <v>10650.0</v>
      </c>
      <c r="P219" s="34" t="s">
        <v>60</v>
      </c>
      <c r="Q219" s="33" t="n">
        <f>10960</f>
        <v>10960.0</v>
      </c>
      <c r="R219" s="34" t="s">
        <v>49</v>
      </c>
      <c r="S219" s="35" t="n">
        <f>10820</f>
        <v>10820.0</v>
      </c>
      <c r="T219" s="32" t="n">
        <f>485</f>
        <v>485.0</v>
      </c>
      <c r="U219" s="32" t="str">
        <f>"－"</f>
        <v>－</v>
      </c>
      <c r="V219" s="32" t="n">
        <f>5266480</f>
        <v>5266480.0</v>
      </c>
      <c r="W219" s="32" t="str">
        <f>"－"</f>
        <v>－</v>
      </c>
      <c r="X219" s="36" t="n">
        <f>5</f>
        <v>5.0</v>
      </c>
    </row>
    <row r="220">
      <c r="A220" s="27" t="s">
        <v>42</v>
      </c>
      <c r="B220" s="27" t="s">
        <v>707</v>
      </c>
      <c r="C220" s="27" t="s">
        <v>708</v>
      </c>
      <c r="D220" s="27" t="s">
        <v>709</v>
      </c>
      <c r="E220" s="28" t="s">
        <v>46</v>
      </c>
      <c r="F220" s="29" t="s">
        <v>46</v>
      </c>
      <c r="G220" s="30" t="s">
        <v>46</v>
      </c>
      <c r="H220" s="31"/>
      <c r="I220" s="31" t="s">
        <v>47</v>
      </c>
      <c r="J220" s="32" t="n">
        <v>10.0</v>
      </c>
      <c r="K220" s="33" t="n">
        <f>1003</f>
        <v>1003.0</v>
      </c>
      <c r="L220" s="34" t="s">
        <v>48</v>
      </c>
      <c r="M220" s="33" t="n">
        <f>1011</f>
        <v>1011.0</v>
      </c>
      <c r="N220" s="34" t="s">
        <v>49</v>
      </c>
      <c r="O220" s="33" t="n">
        <f>998</f>
        <v>998.0</v>
      </c>
      <c r="P220" s="34" t="s">
        <v>86</v>
      </c>
      <c r="Q220" s="33" t="n">
        <f>1009</f>
        <v>1009.0</v>
      </c>
      <c r="R220" s="34" t="s">
        <v>49</v>
      </c>
      <c r="S220" s="35" t="n">
        <f>1004.14</f>
        <v>1004.14</v>
      </c>
      <c r="T220" s="32" t="n">
        <f>51900</f>
        <v>51900.0</v>
      </c>
      <c r="U220" s="32" t="n">
        <f>21220</f>
        <v>21220.0</v>
      </c>
      <c r="V220" s="32" t="n">
        <f>52202417</f>
        <v>5.2202417E7</v>
      </c>
      <c r="W220" s="32" t="n">
        <f>21386577</f>
        <v>2.1386577E7</v>
      </c>
      <c r="X220" s="36" t="n">
        <f>21</f>
        <v>21.0</v>
      </c>
    </row>
    <row r="221">
      <c r="A221" s="27" t="s">
        <v>42</v>
      </c>
      <c r="B221" s="27" t="s">
        <v>710</v>
      </c>
      <c r="C221" s="27" t="s">
        <v>711</v>
      </c>
      <c r="D221" s="27" t="s">
        <v>712</v>
      </c>
      <c r="E221" s="28" t="s">
        <v>46</v>
      </c>
      <c r="F221" s="29" t="s">
        <v>46</v>
      </c>
      <c r="G221" s="30" t="s">
        <v>46</v>
      </c>
      <c r="H221" s="31"/>
      <c r="I221" s="31" t="s">
        <v>47</v>
      </c>
      <c r="J221" s="32" t="n">
        <v>10.0</v>
      </c>
      <c r="K221" s="33" t="n">
        <f>987</f>
        <v>987.0</v>
      </c>
      <c r="L221" s="34" t="s">
        <v>48</v>
      </c>
      <c r="M221" s="33" t="n">
        <f>987</f>
        <v>987.0</v>
      </c>
      <c r="N221" s="34" t="s">
        <v>48</v>
      </c>
      <c r="O221" s="33" t="n">
        <f>968</f>
        <v>968.0</v>
      </c>
      <c r="P221" s="34" t="s">
        <v>86</v>
      </c>
      <c r="Q221" s="33" t="n">
        <f>971</f>
        <v>971.0</v>
      </c>
      <c r="R221" s="34" t="s">
        <v>49</v>
      </c>
      <c r="S221" s="35" t="n">
        <f>976</f>
        <v>976.0</v>
      </c>
      <c r="T221" s="32" t="n">
        <f>185050</f>
        <v>185050.0</v>
      </c>
      <c r="U221" s="32" t="n">
        <f>104000</f>
        <v>104000.0</v>
      </c>
      <c r="V221" s="32" t="n">
        <f>179896480</f>
        <v>1.7989648E8</v>
      </c>
      <c r="W221" s="32" t="n">
        <f>100703200</f>
        <v>1.007032E8</v>
      </c>
      <c r="X221" s="36" t="n">
        <f>21</f>
        <v>21.0</v>
      </c>
    </row>
    <row r="222">
      <c r="A222" s="27" t="s">
        <v>42</v>
      </c>
      <c r="B222" s="27" t="s">
        <v>713</v>
      </c>
      <c r="C222" s="27" t="s">
        <v>714</v>
      </c>
      <c r="D222" s="27" t="s">
        <v>715</v>
      </c>
      <c r="E222" s="28" t="s">
        <v>46</v>
      </c>
      <c r="F222" s="29" t="s">
        <v>46</v>
      </c>
      <c r="G222" s="30" t="s">
        <v>46</v>
      </c>
      <c r="H222" s="31"/>
      <c r="I222" s="31" t="s">
        <v>47</v>
      </c>
      <c r="J222" s="32" t="n">
        <v>10.0</v>
      </c>
      <c r="K222" s="33" t="n">
        <f>1050</f>
        <v>1050.0</v>
      </c>
      <c r="L222" s="34" t="s">
        <v>48</v>
      </c>
      <c r="M222" s="33" t="n">
        <f>1055</f>
        <v>1055.0</v>
      </c>
      <c r="N222" s="34" t="s">
        <v>61</v>
      </c>
      <c r="O222" s="33" t="n">
        <f>1030</f>
        <v>1030.0</v>
      </c>
      <c r="P222" s="34" t="s">
        <v>171</v>
      </c>
      <c r="Q222" s="33" t="n">
        <f>1047</f>
        <v>1047.0</v>
      </c>
      <c r="R222" s="34" t="s">
        <v>49</v>
      </c>
      <c r="S222" s="35" t="n">
        <f>1045.81</f>
        <v>1045.81</v>
      </c>
      <c r="T222" s="32" t="n">
        <f>26050</f>
        <v>26050.0</v>
      </c>
      <c r="U222" s="32" t="str">
        <f>"－"</f>
        <v>－</v>
      </c>
      <c r="V222" s="32" t="n">
        <f>27211180</f>
        <v>2.721118E7</v>
      </c>
      <c r="W222" s="32" t="str">
        <f>"－"</f>
        <v>－</v>
      </c>
      <c r="X222" s="36" t="n">
        <f>21</f>
        <v>21.0</v>
      </c>
    </row>
    <row r="223">
      <c r="A223" s="27" t="s">
        <v>42</v>
      </c>
      <c r="B223" s="27" t="s">
        <v>716</v>
      </c>
      <c r="C223" s="27" t="s">
        <v>717</v>
      </c>
      <c r="D223" s="27" t="s">
        <v>718</v>
      </c>
      <c r="E223" s="28" t="s">
        <v>46</v>
      </c>
      <c r="F223" s="29" t="s">
        <v>46</v>
      </c>
      <c r="G223" s="30" t="s">
        <v>46</v>
      </c>
      <c r="H223" s="31"/>
      <c r="I223" s="31" t="s">
        <v>47</v>
      </c>
      <c r="J223" s="32" t="n">
        <v>10.0</v>
      </c>
      <c r="K223" s="33" t="n">
        <f>863</f>
        <v>863.0</v>
      </c>
      <c r="L223" s="34" t="s">
        <v>48</v>
      </c>
      <c r="M223" s="33" t="n">
        <f>1000</f>
        <v>1000.0</v>
      </c>
      <c r="N223" s="34" t="s">
        <v>171</v>
      </c>
      <c r="O223" s="33" t="n">
        <f>850</f>
        <v>850.0</v>
      </c>
      <c r="P223" s="34" t="s">
        <v>48</v>
      </c>
      <c r="Q223" s="33" t="n">
        <f>991</f>
        <v>991.0</v>
      </c>
      <c r="R223" s="34" t="s">
        <v>49</v>
      </c>
      <c r="S223" s="35" t="n">
        <f>930.43</f>
        <v>930.43</v>
      </c>
      <c r="T223" s="32" t="n">
        <f>147450</f>
        <v>147450.0</v>
      </c>
      <c r="U223" s="32" t="str">
        <f>"－"</f>
        <v>－</v>
      </c>
      <c r="V223" s="32" t="n">
        <f>137178820</f>
        <v>1.3717882E8</v>
      </c>
      <c r="W223" s="32" t="str">
        <f>"－"</f>
        <v>－</v>
      </c>
      <c r="X223" s="36" t="n">
        <f>21</f>
        <v>21.0</v>
      </c>
    </row>
    <row r="224">
      <c r="A224" s="27" t="s">
        <v>42</v>
      </c>
      <c r="B224" s="27" t="s">
        <v>719</v>
      </c>
      <c r="C224" s="27" t="s">
        <v>720</v>
      </c>
      <c r="D224" s="27" t="s">
        <v>721</v>
      </c>
      <c r="E224" s="28" t="s">
        <v>46</v>
      </c>
      <c r="F224" s="29" t="s">
        <v>46</v>
      </c>
      <c r="G224" s="30" t="s">
        <v>46</v>
      </c>
      <c r="H224" s="31"/>
      <c r="I224" s="31" t="s">
        <v>47</v>
      </c>
      <c r="J224" s="32" t="n">
        <v>10.0</v>
      </c>
      <c r="K224" s="33" t="n">
        <f>901</f>
        <v>901.0</v>
      </c>
      <c r="L224" s="34" t="s">
        <v>48</v>
      </c>
      <c r="M224" s="33" t="n">
        <f>1041</f>
        <v>1041.0</v>
      </c>
      <c r="N224" s="34" t="s">
        <v>49</v>
      </c>
      <c r="O224" s="33" t="n">
        <f>881</f>
        <v>881.0</v>
      </c>
      <c r="P224" s="34" t="s">
        <v>61</v>
      </c>
      <c r="Q224" s="33" t="n">
        <f>1038</f>
        <v>1038.0</v>
      </c>
      <c r="R224" s="34" t="s">
        <v>49</v>
      </c>
      <c r="S224" s="35" t="n">
        <f>962.29</f>
        <v>962.29</v>
      </c>
      <c r="T224" s="32" t="n">
        <f>26960</f>
        <v>26960.0</v>
      </c>
      <c r="U224" s="32" t="str">
        <f>"－"</f>
        <v>－</v>
      </c>
      <c r="V224" s="32" t="n">
        <f>26198120</f>
        <v>2.619812E7</v>
      </c>
      <c r="W224" s="32" t="str">
        <f>"－"</f>
        <v>－</v>
      </c>
      <c r="X224" s="36" t="n">
        <f>21</f>
        <v>21.0</v>
      </c>
    </row>
    <row r="225">
      <c r="A225" s="27" t="s">
        <v>42</v>
      </c>
      <c r="B225" s="27" t="s">
        <v>722</v>
      </c>
      <c r="C225" s="27" t="s">
        <v>723</v>
      </c>
      <c r="D225" s="27" t="s">
        <v>724</v>
      </c>
      <c r="E225" s="28" t="s">
        <v>46</v>
      </c>
      <c r="F225" s="29" t="s">
        <v>46</v>
      </c>
      <c r="G225" s="30" t="s">
        <v>46</v>
      </c>
      <c r="H225" s="31"/>
      <c r="I225" s="31" t="s">
        <v>47</v>
      </c>
      <c r="J225" s="32" t="n">
        <v>10.0</v>
      </c>
      <c r="K225" s="33" t="n">
        <f>760</f>
        <v>760.0</v>
      </c>
      <c r="L225" s="34" t="s">
        <v>48</v>
      </c>
      <c r="M225" s="33" t="n">
        <f>862</f>
        <v>862.0</v>
      </c>
      <c r="N225" s="34" t="s">
        <v>60</v>
      </c>
      <c r="O225" s="33" t="n">
        <f>715</f>
        <v>715.0</v>
      </c>
      <c r="P225" s="34" t="s">
        <v>92</v>
      </c>
      <c r="Q225" s="33" t="n">
        <f>826</f>
        <v>826.0</v>
      </c>
      <c r="R225" s="34" t="s">
        <v>49</v>
      </c>
      <c r="S225" s="35" t="n">
        <f>800.05</f>
        <v>800.05</v>
      </c>
      <c r="T225" s="32" t="n">
        <f>551180</f>
        <v>551180.0</v>
      </c>
      <c r="U225" s="32" t="n">
        <f>122690</f>
        <v>122690.0</v>
      </c>
      <c r="V225" s="32" t="n">
        <f>435465417</f>
        <v>4.35465417E8</v>
      </c>
      <c r="W225" s="32" t="n">
        <f>97489957</f>
        <v>9.7489957E7</v>
      </c>
      <c r="X225" s="36" t="n">
        <f>21</f>
        <v>21.0</v>
      </c>
    </row>
    <row r="226">
      <c r="A226" s="27" t="s">
        <v>42</v>
      </c>
      <c r="B226" s="27" t="s">
        <v>725</v>
      </c>
      <c r="C226" s="27" t="s">
        <v>726</v>
      </c>
      <c r="D226" s="27" t="s">
        <v>727</v>
      </c>
      <c r="E226" s="28" t="s">
        <v>46</v>
      </c>
      <c r="F226" s="29" t="s">
        <v>46</v>
      </c>
      <c r="G226" s="30" t="s">
        <v>46</v>
      </c>
      <c r="H226" s="31"/>
      <c r="I226" s="31" t="s">
        <v>47</v>
      </c>
      <c r="J226" s="32" t="n">
        <v>10.0</v>
      </c>
      <c r="K226" s="33" t="n">
        <f>470</f>
        <v>470.0</v>
      </c>
      <c r="L226" s="34" t="s">
        <v>48</v>
      </c>
      <c r="M226" s="33" t="n">
        <f>620</f>
        <v>620.0</v>
      </c>
      <c r="N226" s="34" t="s">
        <v>49</v>
      </c>
      <c r="O226" s="33" t="n">
        <f>447</f>
        <v>447.0</v>
      </c>
      <c r="P226" s="34" t="s">
        <v>50</v>
      </c>
      <c r="Q226" s="33" t="n">
        <f>604</f>
        <v>604.0</v>
      </c>
      <c r="R226" s="34" t="s">
        <v>49</v>
      </c>
      <c r="S226" s="35" t="n">
        <f>533.67</f>
        <v>533.67</v>
      </c>
      <c r="T226" s="32" t="n">
        <f>4147150</f>
        <v>4147150.0</v>
      </c>
      <c r="U226" s="32" t="n">
        <f>93550</f>
        <v>93550.0</v>
      </c>
      <c r="V226" s="32" t="n">
        <f>2220298201</f>
        <v>2.220298201E9</v>
      </c>
      <c r="W226" s="32" t="n">
        <f>45888161</f>
        <v>4.5888161E7</v>
      </c>
      <c r="X226" s="36" t="n">
        <f>21</f>
        <v>21.0</v>
      </c>
    </row>
    <row r="227">
      <c r="A227" s="27" t="s">
        <v>42</v>
      </c>
      <c r="B227" s="27" t="s">
        <v>728</v>
      </c>
      <c r="C227" s="27" t="s">
        <v>729</v>
      </c>
      <c r="D227" s="27" t="s">
        <v>730</v>
      </c>
      <c r="E227" s="28" t="s">
        <v>46</v>
      </c>
      <c r="F227" s="29" t="s">
        <v>46</v>
      </c>
      <c r="G227" s="30" t="s">
        <v>46</v>
      </c>
      <c r="H227" s="31"/>
      <c r="I227" s="31" t="s">
        <v>47</v>
      </c>
      <c r="J227" s="32" t="n">
        <v>10.0</v>
      </c>
      <c r="K227" s="33" t="n">
        <f>934</f>
        <v>934.0</v>
      </c>
      <c r="L227" s="34" t="s">
        <v>48</v>
      </c>
      <c r="M227" s="33" t="n">
        <f>934</f>
        <v>934.0</v>
      </c>
      <c r="N227" s="34" t="s">
        <v>48</v>
      </c>
      <c r="O227" s="33" t="n">
        <f>816</f>
        <v>816.0</v>
      </c>
      <c r="P227" s="34" t="s">
        <v>61</v>
      </c>
      <c r="Q227" s="33" t="n">
        <f>917</f>
        <v>917.0</v>
      </c>
      <c r="R227" s="34" t="s">
        <v>49</v>
      </c>
      <c r="S227" s="35" t="n">
        <f>893.81</f>
        <v>893.81</v>
      </c>
      <c r="T227" s="32" t="n">
        <f>400420</f>
        <v>400420.0</v>
      </c>
      <c r="U227" s="32" t="n">
        <f>170000</f>
        <v>170000.0</v>
      </c>
      <c r="V227" s="32" t="n">
        <f>359114550</f>
        <v>3.5911455E8</v>
      </c>
      <c r="W227" s="32" t="n">
        <f>154512800</f>
        <v>1.545128E8</v>
      </c>
      <c r="X227" s="36" t="n">
        <f>21</f>
        <v>21.0</v>
      </c>
    </row>
    <row r="228">
      <c r="A228" s="27" t="s">
        <v>42</v>
      </c>
      <c r="B228" s="27" t="s">
        <v>731</v>
      </c>
      <c r="C228" s="27" t="s">
        <v>732</v>
      </c>
      <c r="D228" s="27" t="s">
        <v>733</v>
      </c>
      <c r="E228" s="28" t="s">
        <v>46</v>
      </c>
      <c r="F228" s="29" t="s">
        <v>46</v>
      </c>
      <c r="G228" s="30" t="s">
        <v>46</v>
      </c>
      <c r="H228" s="31"/>
      <c r="I228" s="31" t="s">
        <v>47</v>
      </c>
      <c r="J228" s="32" t="n">
        <v>1.0</v>
      </c>
      <c r="K228" s="33" t="n">
        <f>836</f>
        <v>836.0</v>
      </c>
      <c r="L228" s="34" t="s">
        <v>48</v>
      </c>
      <c r="M228" s="33" t="n">
        <f>872</f>
        <v>872.0</v>
      </c>
      <c r="N228" s="34" t="s">
        <v>317</v>
      </c>
      <c r="O228" s="33" t="n">
        <f>796</f>
        <v>796.0</v>
      </c>
      <c r="P228" s="34" t="s">
        <v>50</v>
      </c>
      <c r="Q228" s="33" t="n">
        <f>854</f>
        <v>854.0</v>
      </c>
      <c r="R228" s="34" t="s">
        <v>49</v>
      </c>
      <c r="S228" s="35" t="n">
        <f>844.62</f>
        <v>844.62</v>
      </c>
      <c r="T228" s="32" t="n">
        <f>612812</f>
        <v>612812.0</v>
      </c>
      <c r="U228" s="32" t="n">
        <f>398000</f>
        <v>398000.0</v>
      </c>
      <c r="V228" s="32" t="n">
        <f>522629141</f>
        <v>5.22629141E8</v>
      </c>
      <c r="W228" s="32" t="n">
        <f>343291400</f>
        <v>3.432914E8</v>
      </c>
      <c r="X228" s="36" t="n">
        <f>21</f>
        <v>21.0</v>
      </c>
    </row>
    <row r="229">
      <c r="A229" s="27" t="s">
        <v>42</v>
      </c>
      <c r="B229" s="27" t="s">
        <v>734</v>
      </c>
      <c r="C229" s="27" t="s">
        <v>735</v>
      </c>
      <c r="D229" s="27" t="s">
        <v>736</v>
      </c>
      <c r="E229" s="28" t="s">
        <v>46</v>
      </c>
      <c r="F229" s="29" t="s">
        <v>46</v>
      </c>
      <c r="G229" s="30" t="s">
        <v>46</v>
      </c>
      <c r="H229" s="31"/>
      <c r="I229" s="31" t="s">
        <v>47</v>
      </c>
      <c r="J229" s="32" t="n">
        <v>10.0</v>
      </c>
      <c r="K229" s="33" t="n">
        <f>945</f>
        <v>945.0</v>
      </c>
      <c r="L229" s="34" t="s">
        <v>48</v>
      </c>
      <c r="M229" s="33" t="n">
        <f>981</f>
        <v>981.0</v>
      </c>
      <c r="N229" s="34" t="s">
        <v>60</v>
      </c>
      <c r="O229" s="33" t="n">
        <f>900</f>
        <v>900.0</v>
      </c>
      <c r="P229" s="34" t="s">
        <v>61</v>
      </c>
      <c r="Q229" s="33" t="n">
        <f>958</f>
        <v>958.0</v>
      </c>
      <c r="R229" s="34" t="s">
        <v>49</v>
      </c>
      <c r="S229" s="35" t="n">
        <f>948.38</f>
        <v>948.38</v>
      </c>
      <c r="T229" s="32" t="n">
        <f>39600</f>
        <v>39600.0</v>
      </c>
      <c r="U229" s="32" t="str">
        <f>"－"</f>
        <v>－</v>
      </c>
      <c r="V229" s="32" t="n">
        <f>37654090</f>
        <v>3.765409E7</v>
      </c>
      <c r="W229" s="32" t="str">
        <f>"－"</f>
        <v>－</v>
      </c>
      <c r="X229" s="36" t="n">
        <f>21</f>
        <v>21.0</v>
      </c>
    </row>
    <row r="230">
      <c r="A230" s="27" t="s">
        <v>42</v>
      </c>
      <c r="B230" s="27" t="s">
        <v>737</v>
      </c>
      <c r="C230" s="27" t="s">
        <v>738</v>
      </c>
      <c r="D230" s="27" t="s">
        <v>739</v>
      </c>
      <c r="E230" s="28" t="s">
        <v>46</v>
      </c>
      <c r="F230" s="29" t="s">
        <v>46</v>
      </c>
      <c r="G230" s="30" t="s">
        <v>46</v>
      </c>
      <c r="H230" s="31"/>
      <c r="I230" s="31" t="s">
        <v>47</v>
      </c>
      <c r="J230" s="32" t="n">
        <v>10.0</v>
      </c>
      <c r="K230" s="33" t="n">
        <f>788</f>
        <v>788.0</v>
      </c>
      <c r="L230" s="34" t="s">
        <v>48</v>
      </c>
      <c r="M230" s="33" t="n">
        <f>854</f>
        <v>854.0</v>
      </c>
      <c r="N230" s="34" t="s">
        <v>49</v>
      </c>
      <c r="O230" s="33" t="n">
        <f>754</f>
        <v>754.0</v>
      </c>
      <c r="P230" s="34" t="s">
        <v>61</v>
      </c>
      <c r="Q230" s="33" t="n">
        <f>854</f>
        <v>854.0</v>
      </c>
      <c r="R230" s="34" t="s">
        <v>49</v>
      </c>
      <c r="S230" s="35" t="n">
        <f>819.86</f>
        <v>819.86</v>
      </c>
      <c r="T230" s="32" t="n">
        <f>14330</f>
        <v>14330.0</v>
      </c>
      <c r="U230" s="32" t="str">
        <f>"－"</f>
        <v>－</v>
      </c>
      <c r="V230" s="32" t="n">
        <f>11730620</f>
        <v>1.173062E7</v>
      </c>
      <c r="W230" s="32" t="str">
        <f>"－"</f>
        <v>－</v>
      </c>
      <c r="X230" s="36" t="n">
        <f>21</f>
        <v>21.0</v>
      </c>
    </row>
    <row r="231">
      <c r="A231" s="27" t="s">
        <v>42</v>
      </c>
      <c r="B231" s="27" t="s">
        <v>740</v>
      </c>
      <c r="C231" s="27" t="s">
        <v>741</v>
      </c>
      <c r="D231" s="27" t="s">
        <v>742</v>
      </c>
      <c r="E231" s="28" t="s">
        <v>46</v>
      </c>
      <c r="F231" s="29" t="s">
        <v>46</v>
      </c>
      <c r="G231" s="30" t="s">
        <v>46</v>
      </c>
      <c r="H231" s="31"/>
      <c r="I231" s="31" t="s">
        <v>47</v>
      </c>
      <c r="J231" s="32" t="n">
        <v>10.0</v>
      </c>
      <c r="K231" s="33" t="n">
        <f>905</f>
        <v>905.0</v>
      </c>
      <c r="L231" s="34" t="s">
        <v>48</v>
      </c>
      <c r="M231" s="33" t="n">
        <f>1039</f>
        <v>1039.0</v>
      </c>
      <c r="N231" s="34" t="s">
        <v>49</v>
      </c>
      <c r="O231" s="33" t="n">
        <f>865</f>
        <v>865.0</v>
      </c>
      <c r="P231" s="34" t="s">
        <v>61</v>
      </c>
      <c r="Q231" s="33" t="n">
        <f>1039</f>
        <v>1039.0</v>
      </c>
      <c r="R231" s="34" t="s">
        <v>49</v>
      </c>
      <c r="S231" s="35" t="n">
        <f>961.95</f>
        <v>961.95</v>
      </c>
      <c r="T231" s="32" t="n">
        <f>5486980</f>
        <v>5486980.0</v>
      </c>
      <c r="U231" s="32" t="n">
        <f>4291400</f>
        <v>4291400.0</v>
      </c>
      <c r="V231" s="32" t="n">
        <f>5205105400</f>
        <v>5.2051054E9</v>
      </c>
      <c r="W231" s="32" t="n">
        <f>4047857100</f>
        <v>4.0478571E9</v>
      </c>
      <c r="X231" s="36" t="n">
        <f>21</f>
        <v>21.0</v>
      </c>
    </row>
    <row r="232">
      <c r="A232" s="27" t="s">
        <v>42</v>
      </c>
      <c r="B232" s="27" t="s">
        <v>743</v>
      </c>
      <c r="C232" s="27" t="s">
        <v>744</v>
      </c>
      <c r="D232" s="27" t="s">
        <v>745</v>
      </c>
      <c r="E232" s="28" t="s">
        <v>46</v>
      </c>
      <c r="F232" s="29" t="s">
        <v>46</v>
      </c>
      <c r="G232" s="30" t="s">
        <v>46</v>
      </c>
      <c r="H232" s="31"/>
      <c r="I232" s="31" t="s">
        <v>47</v>
      </c>
      <c r="J232" s="32" t="n">
        <v>1.0</v>
      </c>
      <c r="K232" s="33" t="n">
        <f>1868</f>
        <v>1868.0</v>
      </c>
      <c r="L232" s="34" t="s">
        <v>48</v>
      </c>
      <c r="M232" s="33" t="n">
        <f>2225</f>
        <v>2225.0</v>
      </c>
      <c r="N232" s="34" t="s">
        <v>49</v>
      </c>
      <c r="O232" s="33" t="n">
        <f>1831</f>
        <v>1831.0</v>
      </c>
      <c r="P232" s="34" t="s">
        <v>48</v>
      </c>
      <c r="Q232" s="33" t="n">
        <f>2222</f>
        <v>2222.0</v>
      </c>
      <c r="R232" s="34" t="s">
        <v>49</v>
      </c>
      <c r="S232" s="35" t="n">
        <f>2016.19</f>
        <v>2016.19</v>
      </c>
      <c r="T232" s="32" t="n">
        <f>30017</f>
        <v>30017.0</v>
      </c>
      <c r="U232" s="32" t="str">
        <f>"－"</f>
        <v>－</v>
      </c>
      <c r="V232" s="32" t="n">
        <f>60902305</f>
        <v>6.0902305E7</v>
      </c>
      <c r="W232" s="32" t="str">
        <f>"－"</f>
        <v>－</v>
      </c>
      <c r="X232" s="36" t="n">
        <f>21</f>
        <v>21.0</v>
      </c>
    </row>
    <row r="233">
      <c r="A233" s="27" t="s">
        <v>42</v>
      </c>
      <c r="B233" s="27" t="s">
        <v>746</v>
      </c>
      <c r="C233" s="27" t="s">
        <v>747</v>
      </c>
      <c r="D233" s="27" t="s">
        <v>748</v>
      </c>
      <c r="E233" s="28" t="s">
        <v>46</v>
      </c>
      <c r="F233" s="29" t="s">
        <v>46</v>
      </c>
      <c r="G233" s="30" t="s">
        <v>46</v>
      </c>
      <c r="H233" s="31"/>
      <c r="I233" s="31" t="s">
        <v>47</v>
      </c>
      <c r="J233" s="32" t="n">
        <v>10.0</v>
      </c>
      <c r="K233" s="33" t="n">
        <f>1218</f>
        <v>1218.0</v>
      </c>
      <c r="L233" s="34" t="s">
        <v>61</v>
      </c>
      <c r="M233" s="33" t="n">
        <f>1345</f>
        <v>1345.0</v>
      </c>
      <c r="N233" s="34" t="s">
        <v>49</v>
      </c>
      <c r="O233" s="33" t="n">
        <f>1199</f>
        <v>1199.0</v>
      </c>
      <c r="P233" s="34" t="s">
        <v>91</v>
      </c>
      <c r="Q233" s="33" t="n">
        <f>1343</f>
        <v>1343.0</v>
      </c>
      <c r="R233" s="34" t="s">
        <v>49</v>
      </c>
      <c r="S233" s="35" t="n">
        <f>1290.3</f>
        <v>1290.3</v>
      </c>
      <c r="T233" s="32" t="n">
        <f>440</f>
        <v>440.0</v>
      </c>
      <c r="U233" s="32" t="str">
        <f>"－"</f>
        <v>－</v>
      </c>
      <c r="V233" s="32" t="n">
        <f>569500</f>
        <v>569500.0</v>
      </c>
      <c r="W233" s="32" t="str">
        <f>"－"</f>
        <v>－</v>
      </c>
      <c r="X233" s="36" t="n">
        <f>10</f>
        <v>10.0</v>
      </c>
    </row>
    <row r="234">
      <c r="A234" s="27" t="s">
        <v>42</v>
      </c>
      <c r="B234" s="27" t="s">
        <v>749</v>
      </c>
      <c r="C234" s="27" t="s">
        <v>750</v>
      </c>
      <c r="D234" s="27" t="s">
        <v>751</v>
      </c>
      <c r="E234" s="28" t="s">
        <v>46</v>
      </c>
      <c r="F234" s="29" t="s">
        <v>46</v>
      </c>
      <c r="G234" s="30" t="s">
        <v>46</v>
      </c>
      <c r="H234" s="31"/>
      <c r="I234" s="31" t="s">
        <v>47</v>
      </c>
      <c r="J234" s="32" t="n">
        <v>10.0</v>
      </c>
      <c r="K234" s="33" t="n">
        <f>1271</f>
        <v>1271.0</v>
      </c>
      <c r="L234" s="34" t="s">
        <v>92</v>
      </c>
      <c r="M234" s="33" t="n">
        <f>1373</f>
        <v>1373.0</v>
      </c>
      <c r="N234" s="34" t="s">
        <v>92</v>
      </c>
      <c r="O234" s="33" t="n">
        <f>1271</f>
        <v>1271.0</v>
      </c>
      <c r="P234" s="34" t="s">
        <v>92</v>
      </c>
      <c r="Q234" s="33" t="n">
        <f>1373</f>
        <v>1373.0</v>
      </c>
      <c r="R234" s="34" t="s">
        <v>192</v>
      </c>
      <c r="S234" s="35" t="n">
        <f>1373</f>
        <v>1373.0</v>
      </c>
      <c r="T234" s="32" t="n">
        <f>820</f>
        <v>820.0</v>
      </c>
      <c r="U234" s="32" t="str">
        <f>"－"</f>
        <v>－</v>
      </c>
      <c r="V234" s="32" t="n">
        <f>1083110</f>
        <v>1083110.0</v>
      </c>
      <c r="W234" s="32" t="str">
        <f>"－"</f>
        <v>－</v>
      </c>
      <c r="X234" s="36" t="n">
        <f>2</f>
        <v>2.0</v>
      </c>
    </row>
    <row r="235">
      <c r="A235" s="27" t="s">
        <v>42</v>
      </c>
      <c r="B235" s="27" t="s">
        <v>752</v>
      </c>
      <c r="C235" s="27" t="s">
        <v>753</v>
      </c>
      <c r="D235" s="27" t="s">
        <v>754</v>
      </c>
      <c r="E235" s="28" t="s">
        <v>46</v>
      </c>
      <c r="F235" s="29" t="s">
        <v>46</v>
      </c>
      <c r="G235" s="30" t="s">
        <v>46</v>
      </c>
      <c r="H235" s="31"/>
      <c r="I235" s="31" t="s">
        <v>47</v>
      </c>
      <c r="J235" s="32" t="n">
        <v>1.0</v>
      </c>
      <c r="K235" s="33" t="n">
        <f>18950</f>
        <v>18950.0</v>
      </c>
      <c r="L235" s="34" t="s">
        <v>50</v>
      </c>
      <c r="M235" s="33" t="n">
        <f>20800</f>
        <v>20800.0</v>
      </c>
      <c r="N235" s="34" t="s">
        <v>96</v>
      </c>
      <c r="O235" s="33" t="n">
        <f>18540</f>
        <v>18540.0</v>
      </c>
      <c r="P235" s="34" t="s">
        <v>92</v>
      </c>
      <c r="Q235" s="33" t="n">
        <f>20530</f>
        <v>20530.0</v>
      </c>
      <c r="R235" s="34" t="s">
        <v>49</v>
      </c>
      <c r="S235" s="35" t="n">
        <f>19645</f>
        <v>19645.0</v>
      </c>
      <c r="T235" s="32" t="n">
        <f>823</f>
        <v>823.0</v>
      </c>
      <c r="U235" s="32" t="str">
        <f>"－"</f>
        <v>－</v>
      </c>
      <c r="V235" s="32" t="n">
        <f>16369260</f>
        <v>1.636926E7</v>
      </c>
      <c r="W235" s="32" t="str">
        <f>"－"</f>
        <v>－</v>
      </c>
      <c r="X235" s="36" t="n">
        <f>16</f>
        <v>16.0</v>
      </c>
    </row>
    <row r="236">
      <c r="A236" s="27" t="s">
        <v>42</v>
      </c>
      <c r="B236" s="27" t="s">
        <v>755</v>
      </c>
      <c r="C236" s="27" t="s">
        <v>756</v>
      </c>
      <c r="D236" s="27" t="s">
        <v>757</v>
      </c>
      <c r="E236" s="28" t="s">
        <v>46</v>
      </c>
      <c r="F236" s="29" t="s">
        <v>46</v>
      </c>
      <c r="G236" s="30" t="s">
        <v>46</v>
      </c>
      <c r="H236" s="31"/>
      <c r="I236" s="31" t="s">
        <v>47</v>
      </c>
      <c r="J236" s="32" t="n">
        <v>1.0</v>
      </c>
      <c r="K236" s="33" t="n">
        <f>12870</f>
        <v>12870.0</v>
      </c>
      <c r="L236" s="34" t="s">
        <v>48</v>
      </c>
      <c r="M236" s="33" t="n">
        <f>13370</f>
        <v>13370.0</v>
      </c>
      <c r="N236" s="34" t="s">
        <v>49</v>
      </c>
      <c r="O236" s="33" t="n">
        <f>11980</f>
        <v>11980.0</v>
      </c>
      <c r="P236" s="34" t="s">
        <v>61</v>
      </c>
      <c r="Q236" s="33" t="n">
        <f>13360</f>
        <v>13360.0</v>
      </c>
      <c r="R236" s="34" t="s">
        <v>49</v>
      </c>
      <c r="S236" s="35" t="n">
        <f>12743.33</f>
        <v>12743.33</v>
      </c>
      <c r="T236" s="32" t="n">
        <f>396</f>
        <v>396.0</v>
      </c>
      <c r="U236" s="32" t="str">
        <f>"－"</f>
        <v>－</v>
      </c>
      <c r="V236" s="32" t="n">
        <f>5131080</f>
        <v>5131080.0</v>
      </c>
      <c r="W236" s="32" t="str">
        <f>"－"</f>
        <v>－</v>
      </c>
      <c r="X236" s="36" t="n">
        <f>3</f>
        <v>3.0</v>
      </c>
    </row>
    <row r="237">
      <c r="A237" s="27" t="s">
        <v>42</v>
      </c>
      <c r="B237" s="27" t="s">
        <v>758</v>
      </c>
      <c r="C237" s="27" t="s">
        <v>759</v>
      </c>
      <c r="D237" s="27" t="s">
        <v>760</v>
      </c>
      <c r="E237" s="28" t="s">
        <v>46</v>
      </c>
      <c r="F237" s="29" t="s">
        <v>46</v>
      </c>
      <c r="G237" s="30" t="s">
        <v>46</v>
      </c>
      <c r="H237" s="31"/>
      <c r="I237" s="31" t="s">
        <v>47</v>
      </c>
      <c r="J237" s="32" t="n">
        <v>10.0</v>
      </c>
      <c r="K237" s="33" t="n">
        <f>865</f>
        <v>865.0</v>
      </c>
      <c r="L237" s="34" t="s">
        <v>61</v>
      </c>
      <c r="M237" s="33" t="n">
        <f>924</f>
        <v>924.0</v>
      </c>
      <c r="N237" s="34" t="s">
        <v>49</v>
      </c>
      <c r="O237" s="33" t="n">
        <f>824</f>
        <v>824.0</v>
      </c>
      <c r="P237" s="34" t="s">
        <v>61</v>
      </c>
      <c r="Q237" s="33" t="n">
        <f>924</f>
        <v>924.0</v>
      </c>
      <c r="R237" s="34" t="s">
        <v>49</v>
      </c>
      <c r="S237" s="35" t="n">
        <f>889.36</f>
        <v>889.36</v>
      </c>
      <c r="T237" s="32" t="n">
        <f>73480</f>
        <v>73480.0</v>
      </c>
      <c r="U237" s="32" t="n">
        <f>31490</f>
        <v>31490.0</v>
      </c>
      <c r="V237" s="32" t="n">
        <f>66312470</f>
        <v>6.631247E7</v>
      </c>
      <c r="W237" s="32" t="n">
        <f>28370600</f>
        <v>2.83706E7</v>
      </c>
      <c r="X237" s="36" t="n">
        <f>11</f>
        <v>11.0</v>
      </c>
    </row>
    <row r="238">
      <c r="A238" s="27" t="s">
        <v>42</v>
      </c>
      <c r="B238" s="27" t="s">
        <v>761</v>
      </c>
      <c r="C238" s="27" t="s">
        <v>762</v>
      </c>
      <c r="D238" s="27" t="s">
        <v>763</v>
      </c>
      <c r="E238" s="28" t="s">
        <v>46</v>
      </c>
      <c r="F238" s="29" t="s">
        <v>46</v>
      </c>
      <c r="G238" s="30" t="s">
        <v>46</v>
      </c>
      <c r="H238" s="31"/>
      <c r="I238" s="31" t="s">
        <v>47</v>
      </c>
      <c r="J238" s="32" t="n">
        <v>10.0</v>
      </c>
      <c r="K238" s="33" t="n">
        <f>925</f>
        <v>925.0</v>
      </c>
      <c r="L238" s="34" t="s">
        <v>48</v>
      </c>
      <c r="M238" s="33" t="n">
        <f>930</f>
        <v>930.0</v>
      </c>
      <c r="N238" s="34" t="s">
        <v>49</v>
      </c>
      <c r="O238" s="33" t="n">
        <f>804</f>
        <v>804.0</v>
      </c>
      <c r="P238" s="34" t="s">
        <v>61</v>
      </c>
      <c r="Q238" s="33" t="n">
        <f>911</f>
        <v>911.0</v>
      </c>
      <c r="R238" s="34" t="s">
        <v>49</v>
      </c>
      <c r="S238" s="35" t="n">
        <f>882.76</f>
        <v>882.76</v>
      </c>
      <c r="T238" s="32" t="n">
        <f>50190</f>
        <v>50190.0</v>
      </c>
      <c r="U238" s="32" t="str">
        <f>"－"</f>
        <v>－</v>
      </c>
      <c r="V238" s="32" t="n">
        <f>43996840</f>
        <v>4.399684E7</v>
      </c>
      <c r="W238" s="32" t="str">
        <f>"－"</f>
        <v>－</v>
      </c>
      <c r="X238" s="36" t="n">
        <f>21</f>
        <v>21.0</v>
      </c>
    </row>
    <row r="239">
      <c r="A239" s="27" t="s">
        <v>42</v>
      </c>
      <c r="B239" s="27" t="s">
        <v>764</v>
      </c>
      <c r="C239" s="27" t="s">
        <v>765</v>
      </c>
      <c r="D239" s="27" t="s">
        <v>766</v>
      </c>
      <c r="E239" s="28" t="s">
        <v>46</v>
      </c>
      <c r="F239" s="29" t="s">
        <v>46</v>
      </c>
      <c r="G239" s="30" t="s">
        <v>46</v>
      </c>
      <c r="H239" s="31"/>
      <c r="I239" s="31" t="s">
        <v>47</v>
      </c>
      <c r="J239" s="32" t="n">
        <v>1.0</v>
      </c>
      <c r="K239" s="33" t="n">
        <f>828</f>
        <v>828.0</v>
      </c>
      <c r="L239" s="34" t="s">
        <v>48</v>
      </c>
      <c r="M239" s="33" t="n">
        <f>880</f>
        <v>880.0</v>
      </c>
      <c r="N239" s="34" t="s">
        <v>49</v>
      </c>
      <c r="O239" s="33" t="n">
        <f>760</f>
        <v>760.0</v>
      </c>
      <c r="P239" s="34" t="s">
        <v>92</v>
      </c>
      <c r="Q239" s="33" t="n">
        <f>841</f>
        <v>841.0</v>
      </c>
      <c r="R239" s="34" t="s">
        <v>49</v>
      </c>
      <c r="S239" s="35" t="n">
        <f>815.24</f>
        <v>815.24</v>
      </c>
      <c r="T239" s="32" t="n">
        <f>31066</f>
        <v>31066.0</v>
      </c>
      <c r="U239" s="32" t="str">
        <f>"－"</f>
        <v>－</v>
      </c>
      <c r="V239" s="32" t="n">
        <f>25054997</f>
        <v>2.5054997E7</v>
      </c>
      <c r="W239" s="32" t="str">
        <f>"－"</f>
        <v>－</v>
      </c>
      <c r="X239" s="36" t="n">
        <f>21</f>
        <v>21.0</v>
      </c>
    </row>
    <row r="240">
      <c r="A240" s="27" t="s">
        <v>42</v>
      </c>
      <c r="B240" s="27" t="s">
        <v>767</v>
      </c>
      <c r="C240" s="27" t="s">
        <v>768</v>
      </c>
      <c r="D240" s="27" t="s">
        <v>769</v>
      </c>
      <c r="E240" s="28" t="s">
        <v>46</v>
      </c>
      <c r="F240" s="29" t="s">
        <v>46</v>
      </c>
      <c r="G240" s="30" t="s">
        <v>46</v>
      </c>
      <c r="H240" s="31"/>
      <c r="I240" s="31" t="s">
        <v>47</v>
      </c>
      <c r="J240" s="32" t="n">
        <v>1.0</v>
      </c>
      <c r="K240" s="33" t="n">
        <f>9490</f>
        <v>9490.0</v>
      </c>
      <c r="L240" s="34" t="s">
        <v>48</v>
      </c>
      <c r="M240" s="33" t="n">
        <f>11250</f>
        <v>11250.0</v>
      </c>
      <c r="N240" s="34" t="s">
        <v>69</v>
      </c>
      <c r="O240" s="33" t="n">
        <f>9210</f>
        <v>9210.0</v>
      </c>
      <c r="P240" s="34" t="s">
        <v>48</v>
      </c>
      <c r="Q240" s="33" t="n">
        <f>10000</f>
        <v>10000.0</v>
      </c>
      <c r="R240" s="34" t="s">
        <v>49</v>
      </c>
      <c r="S240" s="35" t="n">
        <f>9733.68</f>
        <v>9733.68</v>
      </c>
      <c r="T240" s="32" t="n">
        <f>1702</f>
        <v>1702.0</v>
      </c>
      <c r="U240" s="32" t="str">
        <f>"－"</f>
        <v>－</v>
      </c>
      <c r="V240" s="32" t="n">
        <f>17159890</f>
        <v>1.715989E7</v>
      </c>
      <c r="W240" s="32" t="str">
        <f>"－"</f>
        <v>－</v>
      </c>
      <c r="X240" s="36" t="n">
        <f>19</f>
        <v>19.0</v>
      </c>
    </row>
    <row r="241">
      <c r="A241" s="27" t="s">
        <v>42</v>
      </c>
      <c r="B241" s="27" t="s">
        <v>770</v>
      </c>
      <c r="C241" s="27" t="s">
        <v>771</v>
      </c>
      <c r="D241" s="27" t="s">
        <v>772</v>
      </c>
      <c r="E241" s="28" t="s">
        <v>46</v>
      </c>
      <c r="F241" s="29" t="s">
        <v>46</v>
      </c>
      <c r="G241" s="30" t="s">
        <v>46</v>
      </c>
      <c r="H241" s="31"/>
      <c r="I241" s="31" t="s">
        <v>47</v>
      </c>
      <c r="J241" s="32" t="n">
        <v>1.0</v>
      </c>
      <c r="K241" s="33" t="n">
        <f>1706</f>
        <v>1706.0</v>
      </c>
      <c r="L241" s="34" t="s">
        <v>48</v>
      </c>
      <c r="M241" s="33" t="n">
        <f>1808</f>
        <v>1808.0</v>
      </c>
      <c r="N241" s="34" t="s">
        <v>65</v>
      </c>
      <c r="O241" s="33" t="n">
        <f>1510</f>
        <v>1510.0</v>
      </c>
      <c r="P241" s="34" t="s">
        <v>61</v>
      </c>
      <c r="Q241" s="33" t="n">
        <f>1710</f>
        <v>1710.0</v>
      </c>
      <c r="R241" s="34" t="s">
        <v>49</v>
      </c>
      <c r="S241" s="35" t="n">
        <f>1661.14</f>
        <v>1661.14</v>
      </c>
      <c r="T241" s="32" t="n">
        <f>10521</f>
        <v>10521.0</v>
      </c>
      <c r="U241" s="32" t="str">
        <f>"－"</f>
        <v>－</v>
      </c>
      <c r="V241" s="32" t="n">
        <f>17265358</f>
        <v>1.7265358E7</v>
      </c>
      <c r="W241" s="32" t="str">
        <f>"－"</f>
        <v>－</v>
      </c>
      <c r="X241" s="36" t="n">
        <f>21</f>
        <v>21.0</v>
      </c>
    </row>
    <row r="242">
      <c r="A242" s="27" t="s">
        <v>42</v>
      </c>
      <c r="B242" s="27" t="s">
        <v>773</v>
      </c>
      <c r="C242" s="27" t="s">
        <v>774</v>
      </c>
      <c r="D242" s="27" t="s">
        <v>775</v>
      </c>
      <c r="E242" s="28" t="s">
        <v>46</v>
      </c>
      <c r="F242" s="29" t="s">
        <v>46</v>
      </c>
      <c r="G242" s="30" t="s">
        <v>46</v>
      </c>
      <c r="H242" s="31"/>
      <c r="I242" s="31" t="s">
        <v>47</v>
      </c>
      <c r="J242" s="32" t="n">
        <v>10.0</v>
      </c>
      <c r="K242" s="33" t="n">
        <f>979</f>
        <v>979.0</v>
      </c>
      <c r="L242" s="34" t="s">
        <v>48</v>
      </c>
      <c r="M242" s="33" t="n">
        <f>1048</f>
        <v>1048.0</v>
      </c>
      <c r="N242" s="34" t="s">
        <v>48</v>
      </c>
      <c r="O242" s="33" t="n">
        <f>979</f>
        <v>979.0</v>
      </c>
      <c r="P242" s="34" t="s">
        <v>48</v>
      </c>
      <c r="Q242" s="33" t="n">
        <f>1039</f>
        <v>1039.0</v>
      </c>
      <c r="R242" s="34" t="s">
        <v>49</v>
      </c>
      <c r="S242" s="35" t="n">
        <f>1041.5</f>
        <v>1041.5</v>
      </c>
      <c r="T242" s="32" t="n">
        <f>100</f>
        <v>100.0</v>
      </c>
      <c r="U242" s="32" t="str">
        <f>"－"</f>
        <v>－</v>
      </c>
      <c r="V242" s="32" t="n">
        <f>103070</f>
        <v>103070.0</v>
      </c>
      <c r="W242" s="32" t="str">
        <f>"－"</f>
        <v>－</v>
      </c>
      <c r="X242" s="36" t="n">
        <f>4</f>
        <v>4.0</v>
      </c>
    </row>
    <row r="243">
      <c r="A243" s="27" t="s">
        <v>42</v>
      </c>
      <c r="B243" s="27" t="s">
        <v>776</v>
      </c>
      <c r="C243" s="27" t="s">
        <v>777</v>
      </c>
      <c r="D243" s="27" t="s">
        <v>778</v>
      </c>
      <c r="E243" s="28" t="s">
        <v>46</v>
      </c>
      <c r="F243" s="29" t="s">
        <v>46</v>
      </c>
      <c r="G243" s="30" t="s">
        <v>46</v>
      </c>
      <c r="H243" s="31"/>
      <c r="I243" s="31" t="s">
        <v>47</v>
      </c>
      <c r="J243" s="32" t="n">
        <v>10.0</v>
      </c>
      <c r="K243" s="33" t="n">
        <f>960</f>
        <v>960.0</v>
      </c>
      <c r="L243" s="34" t="s">
        <v>48</v>
      </c>
      <c r="M243" s="33" t="n">
        <f>1002</f>
        <v>1002.0</v>
      </c>
      <c r="N243" s="34" t="s">
        <v>317</v>
      </c>
      <c r="O243" s="33" t="n">
        <f>960</f>
        <v>960.0</v>
      </c>
      <c r="P243" s="34" t="s">
        <v>48</v>
      </c>
      <c r="Q243" s="33" t="n">
        <f>991</f>
        <v>991.0</v>
      </c>
      <c r="R243" s="34" t="s">
        <v>49</v>
      </c>
      <c r="S243" s="35" t="n">
        <f>987.19</f>
        <v>987.19</v>
      </c>
      <c r="T243" s="32" t="n">
        <f>25690</f>
        <v>25690.0</v>
      </c>
      <c r="U243" s="32" t="str">
        <f>"－"</f>
        <v>－</v>
      </c>
      <c r="V243" s="32" t="n">
        <f>24951080</f>
        <v>2.495108E7</v>
      </c>
      <c r="W243" s="32" t="str">
        <f>"－"</f>
        <v>－</v>
      </c>
      <c r="X243" s="36" t="n">
        <f>21</f>
        <v>21.0</v>
      </c>
    </row>
    <row r="244">
      <c r="A244" s="27" t="s">
        <v>42</v>
      </c>
      <c r="B244" s="27" t="s">
        <v>779</v>
      </c>
      <c r="C244" s="27" t="s">
        <v>780</v>
      </c>
      <c r="D244" s="27" t="s">
        <v>781</v>
      </c>
      <c r="E244" s="28" t="s">
        <v>46</v>
      </c>
      <c r="F244" s="29" t="s">
        <v>46</v>
      </c>
      <c r="G244" s="30" t="s">
        <v>46</v>
      </c>
      <c r="H244" s="31"/>
      <c r="I244" s="31" t="s">
        <v>47</v>
      </c>
      <c r="J244" s="32" t="n">
        <v>10.0</v>
      </c>
      <c r="K244" s="33" t="n">
        <f>1674</f>
        <v>1674.0</v>
      </c>
      <c r="L244" s="34" t="s">
        <v>48</v>
      </c>
      <c r="M244" s="33" t="n">
        <f>1674</f>
        <v>1674.0</v>
      </c>
      <c r="N244" s="34" t="s">
        <v>48</v>
      </c>
      <c r="O244" s="33" t="n">
        <f>1422</f>
        <v>1422.0</v>
      </c>
      <c r="P244" s="34" t="s">
        <v>50</v>
      </c>
      <c r="Q244" s="33" t="n">
        <f>1619</f>
        <v>1619.0</v>
      </c>
      <c r="R244" s="34" t="s">
        <v>49</v>
      </c>
      <c r="S244" s="35" t="n">
        <f>1579.43</f>
        <v>1579.43</v>
      </c>
      <c r="T244" s="32" t="n">
        <f>45990</f>
        <v>45990.0</v>
      </c>
      <c r="U244" s="32" t="str">
        <f>"－"</f>
        <v>－</v>
      </c>
      <c r="V244" s="32" t="n">
        <f>72509050</f>
        <v>7.250905E7</v>
      </c>
      <c r="W244" s="32" t="str">
        <f>"－"</f>
        <v>－</v>
      </c>
      <c r="X244" s="36" t="n">
        <f>21</f>
        <v>21.0</v>
      </c>
    </row>
    <row r="245">
      <c r="A245" s="27" t="s">
        <v>42</v>
      </c>
      <c r="B245" s="27" t="s">
        <v>782</v>
      </c>
      <c r="C245" s="27" t="s">
        <v>783</v>
      </c>
      <c r="D245" s="27" t="s">
        <v>784</v>
      </c>
      <c r="E245" s="28" t="s">
        <v>46</v>
      </c>
      <c r="F245" s="29" t="s">
        <v>46</v>
      </c>
      <c r="G245" s="30" t="s">
        <v>46</v>
      </c>
      <c r="H245" s="31"/>
      <c r="I245" s="31" t="s">
        <v>47</v>
      </c>
      <c r="J245" s="32" t="n">
        <v>10.0</v>
      </c>
      <c r="K245" s="33" t="n">
        <f>1683</f>
        <v>1683.0</v>
      </c>
      <c r="L245" s="34" t="s">
        <v>48</v>
      </c>
      <c r="M245" s="33" t="n">
        <f>1683</f>
        <v>1683.0</v>
      </c>
      <c r="N245" s="34" t="s">
        <v>48</v>
      </c>
      <c r="O245" s="33" t="n">
        <f>1419</f>
        <v>1419.0</v>
      </c>
      <c r="P245" s="34" t="s">
        <v>192</v>
      </c>
      <c r="Q245" s="33" t="n">
        <f>1595</f>
        <v>1595.0</v>
      </c>
      <c r="R245" s="34" t="s">
        <v>49</v>
      </c>
      <c r="S245" s="35" t="n">
        <f>1554.57</f>
        <v>1554.57</v>
      </c>
      <c r="T245" s="32" t="n">
        <f>15250</f>
        <v>15250.0</v>
      </c>
      <c r="U245" s="32" t="str">
        <f>"－"</f>
        <v>－</v>
      </c>
      <c r="V245" s="32" t="n">
        <f>23415350</f>
        <v>2.341535E7</v>
      </c>
      <c r="W245" s="32" t="str">
        <f>"－"</f>
        <v>－</v>
      </c>
      <c r="X245" s="36" t="n">
        <f>21</f>
        <v>21.0</v>
      </c>
    </row>
    <row r="246">
      <c r="A246" s="27" t="s">
        <v>42</v>
      </c>
      <c r="B246" s="27" t="s">
        <v>785</v>
      </c>
      <c r="C246" s="27" t="s">
        <v>786</v>
      </c>
      <c r="D246" s="27" t="s">
        <v>787</v>
      </c>
      <c r="E246" s="28" t="s">
        <v>46</v>
      </c>
      <c r="F246" s="29" t="s">
        <v>46</v>
      </c>
      <c r="G246" s="30" t="s">
        <v>46</v>
      </c>
      <c r="H246" s="31"/>
      <c r="I246" s="31" t="s">
        <v>47</v>
      </c>
      <c r="J246" s="32" t="n">
        <v>10.0</v>
      </c>
      <c r="K246" s="33" t="n">
        <f>1400</f>
        <v>1400.0</v>
      </c>
      <c r="L246" s="34" t="s">
        <v>48</v>
      </c>
      <c r="M246" s="33" t="n">
        <f>1450</f>
        <v>1450.0</v>
      </c>
      <c r="N246" s="34" t="s">
        <v>307</v>
      </c>
      <c r="O246" s="33" t="n">
        <f>1337</f>
        <v>1337.0</v>
      </c>
      <c r="P246" s="34" t="s">
        <v>50</v>
      </c>
      <c r="Q246" s="33" t="n">
        <f>1450</f>
        <v>1450.0</v>
      </c>
      <c r="R246" s="34" t="s">
        <v>307</v>
      </c>
      <c r="S246" s="35" t="n">
        <f>1404.09</f>
        <v>1404.09</v>
      </c>
      <c r="T246" s="32" t="n">
        <f>4370</f>
        <v>4370.0</v>
      </c>
      <c r="U246" s="32" t="str">
        <f>"－"</f>
        <v>－</v>
      </c>
      <c r="V246" s="32" t="n">
        <f>6163150</f>
        <v>6163150.0</v>
      </c>
      <c r="W246" s="32" t="str">
        <f>"－"</f>
        <v>－</v>
      </c>
      <c r="X246" s="36" t="n">
        <f>11</f>
        <v>11.0</v>
      </c>
    </row>
    <row r="247">
      <c r="A247" s="27" t="s">
        <v>42</v>
      </c>
      <c r="B247" s="27" t="s">
        <v>788</v>
      </c>
      <c r="C247" s="27" t="s">
        <v>789</v>
      </c>
      <c r="D247" s="27" t="s">
        <v>790</v>
      </c>
      <c r="E247" s="28" t="s">
        <v>46</v>
      </c>
      <c r="F247" s="29" t="s">
        <v>46</v>
      </c>
      <c r="G247" s="30" t="s">
        <v>46</v>
      </c>
      <c r="H247" s="31"/>
      <c r="I247" s="31" t="s">
        <v>47</v>
      </c>
      <c r="J247" s="32" t="n">
        <v>1.0</v>
      </c>
      <c r="K247" s="33" t="n">
        <f>7960</f>
        <v>7960.0</v>
      </c>
      <c r="L247" s="34" t="s">
        <v>48</v>
      </c>
      <c r="M247" s="33" t="n">
        <f>9010</f>
        <v>9010.0</v>
      </c>
      <c r="N247" s="34" t="s">
        <v>49</v>
      </c>
      <c r="O247" s="33" t="n">
        <f>7600</f>
        <v>7600.0</v>
      </c>
      <c r="P247" s="34" t="s">
        <v>61</v>
      </c>
      <c r="Q247" s="33" t="n">
        <f>9000</f>
        <v>9000.0</v>
      </c>
      <c r="R247" s="34" t="s">
        <v>49</v>
      </c>
      <c r="S247" s="35" t="n">
        <f>8472.38</f>
        <v>8472.38</v>
      </c>
      <c r="T247" s="32" t="n">
        <f>98984</f>
        <v>98984.0</v>
      </c>
      <c r="U247" s="32" t="n">
        <f>116</f>
        <v>116.0</v>
      </c>
      <c r="V247" s="32" t="n">
        <f>839294290</f>
        <v>8.3929429E8</v>
      </c>
      <c r="W247" s="32" t="n">
        <f>900160</f>
        <v>900160.0</v>
      </c>
      <c r="X247" s="36" t="n">
        <f>21</f>
        <v>21.0</v>
      </c>
    </row>
    <row r="248">
      <c r="A248" s="27" t="s">
        <v>42</v>
      </c>
      <c r="B248" s="27" t="s">
        <v>791</v>
      </c>
      <c r="C248" s="27" t="s">
        <v>792</v>
      </c>
      <c r="D248" s="27" t="s">
        <v>793</v>
      </c>
      <c r="E248" s="28" t="s">
        <v>46</v>
      </c>
      <c r="F248" s="29" t="s">
        <v>46</v>
      </c>
      <c r="G248" s="30" t="s">
        <v>46</v>
      </c>
      <c r="H248" s="31"/>
      <c r="I248" s="31" t="s">
        <v>47</v>
      </c>
      <c r="J248" s="32" t="n">
        <v>1.0</v>
      </c>
      <c r="K248" s="33" t="n">
        <f>7850</f>
        <v>7850.0</v>
      </c>
      <c r="L248" s="34" t="s">
        <v>48</v>
      </c>
      <c r="M248" s="33" t="n">
        <f>8720</f>
        <v>8720.0</v>
      </c>
      <c r="N248" s="34" t="s">
        <v>49</v>
      </c>
      <c r="O248" s="33" t="n">
        <f>7500</f>
        <v>7500.0</v>
      </c>
      <c r="P248" s="34" t="s">
        <v>61</v>
      </c>
      <c r="Q248" s="33" t="n">
        <f>8700</f>
        <v>8700.0</v>
      </c>
      <c r="R248" s="34" t="s">
        <v>49</v>
      </c>
      <c r="S248" s="35" t="n">
        <f>8262.38</f>
        <v>8262.38</v>
      </c>
      <c r="T248" s="32" t="n">
        <f>67185</f>
        <v>67185.0</v>
      </c>
      <c r="U248" s="32" t="n">
        <f>2</f>
        <v>2.0</v>
      </c>
      <c r="V248" s="32" t="n">
        <f>555047600</f>
        <v>5.550476E8</v>
      </c>
      <c r="W248" s="32" t="n">
        <f>17160</f>
        <v>17160.0</v>
      </c>
      <c r="X248" s="36" t="n">
        <f>21</f>
        <v>21.0</v>
      </c>
    </row>
    <row r="249">
      <c r="A249" s="27" t="s">
        <v>42</v>
      </c>
      <c r="B249" s="27" t="s">
        <v>794</v>
      </c>
      <c r="C249" s="27" t="s">
        <v>795</v>
      </c>
      <c r="D249" s="27" t="s">
        <v>796</v>
      </c>
      <c r="E249" s="28" t="s">
        <v>46</v>
      </c>
      <c r="F249" s="29" t="s">
        <v>46</v>
      </c>
      <c r="G249" s="30" t="s">
        <v>46</v>
      </c>
      <c r="H249" s="31"/>
      <c r="I249" s="31" t="s">
        <v>47</v>
      </c>
      <c r="J249" s="32" t="n">
        <v>1.0</v>
      </c>
      <c r="K249" s="33" t="n">
        <f>17990</f>
        <v>17990.0</v>
      </c>
      <c r="L249" s="34" t="s">
        <v>61</v>
      </c>
      <c r="M249" s="33" t="n">
        <f>19290</f>
        <v>19290.0</v>
      </c>
      <c r="N249" s="34" t="s">
        <v>188</v>
      </c>
      <c r="O249" s="33" t="n">
        <f>17940</f>
        <v>17940.0</v>
      </c>
      <c r="P249" s="34" t="s">
        <v>61</v>
      </c>
      <c r="Q249" s="33" t="n">
        <f>19230</f>
        <v>19230.0</v>
      </c>
      <c r="R249" s="34" t="s">
        <v>307</v>
      </c>
      <c r="S249" s="35" t="n">
        <f>18765</f>
        <v>18765.0</v>
      </c>
      <c r="T249" s="32" t="n">
        <f>74</f>
        <v>74.0</v>
      </c>
      <c r="U249" s="32" t="str">
        <f>"－"</f>
        <v>－</v>
      </c>
      <c r="V249" s="32" t="n">
        <f>1362120</f>
        <v>1362120.0</v>
      </c>
      <c r="W249" s="32" t="str">
        <f>"－"</f>
        <v>－</v>
      </c>
      <c r="X249" s="36" t="n">
        <f>6</f>
        <v>6.0</v>
      </c>
    </row>
    <row r="250">
      <c r="A250" s="27" t="s">
        <v>42</v>
      </c>
      <c r="B250" s="27" t="s">
        <v>797</v>
      </c>
      <c r="C250" s="27" t="s">
        <v>798</v>
      </c>
      <c r="D250" s="27" t="s">
        <v>799</v>
      </c>
      <c r="E250" s="28" t="s">
        <v>46</v>
      </c>
      <c r="F250" s="29" t="s">
        <v>46</v>
      </c>
      <c r="G250" s="30" t="s">
        <v>46</v>
      </c>
      <c r="H250" s="31"/>
      <c r="I250" s="31" t="s">
        <v>47</v>
      </c>
      <c r="J250" s="32" t="n">
        <v>1.0</v>
      </c>
      <c r="K250" s="33" t="n">
        <f>2761</f>
        <v>2761.0</v>
      </c>
      <c r="L250" s="34" t="s">
        <v>48</v>
      </c>
      <c r="M250" s="33" t="n">
        <f>2815</f>
        <v>2815.0</v>
      </c>
      <c r="N250" s="34" t="s">
        <v>50</v>
      </c>
      <c r="O250" s="33" t="n">
        <f>2745</f>
        <v>2745.0</v>
      </c>
      <c r="P250" s="34" t="s">
        <v>188</v>
      </c>
      <c r="Q250" s="33" t="n">
        <f>2778</f>
        <v>2778.0</v>
      </c>
      <c r="R250" s="34" t="s">
        <v>49</v>
      </c>
      <c r="S250" s="35" t="n">
        <f>2768.14</f>
        <v>2768.14</v>
      </c>
      <c r="T250" s="32" t="n">
        <f>43686</f>
        <v>43686.0</v>
      </c>
      <c r="U250" s="32" t="str">
        <f>"－"</f>
        <v>－</v>
      </c>
      <c r="V250" s="32" t="n">
        <f>120802479</f>
        <v>1.20802479E8</v>
      </c>
      <c r="W250" s="32" t="str">
        <f>"－"</f>
        <v>－</v>
      </c>
      <c r="X250" s="36" t="n">
        <f>21</f>
        <v>21.0</v>
      </c>
    </row>
    <row r="251">
      <c r="A251" s="27" t="s">
        <v>42</v>
      </c>
      <c r="B251" s="27" t="s">
        <v>800</v>
      </c>
      <c r="C251" s="27" t="s">
        <v>801</v>
      </c>
      <c r="D251" s="27" t="s">
        <v>802</v>
      </c>
      <c r="E251" s="28" t="s">
        <v>46</v>
      </c>
      <c r="F251" s="29" t="s">
        <v>46</v>
      </c>
      <c r="G251" s="30" t="s">
        <v>46</v>
      </c>
      <c r="H251" s="31"/>
      <c r="I251" s="31" t="s">
        <v>47</v>
      </c>
      <c r="J251" s="32" t="n">
        <v>10.0</v>
      </c>
      <c r="K251" s="33" t="n">
        <f>1882</f>
        <v>1882.0</v>
      </c>
      <c r="L251" s="34" t="s">
        <v>48</v>
      </c>
      <c r="M251" s="33" t="n">
        <f>2149</f>
        <v>2149.0</v>
      </c>
      <c r="N251" s="34" t="s">
        <v>49</v>
      </c>
      <c r="O251" s="33" t="n">
        <f>1814</f>
        <v>1814.0</v>
      </c>
      <c r="P251" s="34" t="s">
        <v>61</v>
      </c>
      <c r="Q251" s="33" t="n">
        <f>2143</f>
        <v>2143.0</v>
      </c>
      <c r="R251" s="34" t="s">
        <v>49</v>
      </c>
      <c r="S251" s="35" t="n">
        <f>2011.19</f>
        <v>2011.19</v>
      </c>
      <c r="T251" s="32" t="n">
        <f>104160</f>
        <v>104160.0</v>
      </c>
      <c r="U251" s="32" t="str">
        <f>"－"</f>
        <v>－</v>
      </c>
      <c r="V251" s="32" t="n">
        <f>217359980</f>
        <v>2.1735998E8</v>
      </c>
      <c r="W251" s="32" t="str">
        <f>"－"</f>
        <v>－</v>
      </c>
      <c r="X251" s="36" t="n">
        <f>21</f>
        <v>21.0</v>
      </c>
    </row>
    <row r="252">
      <c r="A252" s="27" t="s">
        <v>42</v>
      </c>
      <c r="B252" s="27" t="s">
        <v>803</v>
      </c>
      <c r="C252" s="27" t="s">
        <v>804</v>
      </c>
      <c r="D252" s="27" t="s">
        <v>805</v>
      </c>
      <c r="E252" s="28" t="s">
        <v>46</v>
      </c>
      <c r="F252" s="29" t="s">
        <v>46</v>
      </c>
      <c r="G252" s="30" t="s">
        <v>46</v>
      </c>
      <c r="H252" s="31"/>
      <c r="I252" s="31" t="s">
        <v>47</v>
      </c>
      <c r="J252" s="32" t="n">
        <v>1.0</v>
      </c>
      <c r="K252" s="33" t="n">
        <f>94500</f>
        <v>94500.0</v>
      </c>
      <c r="L252" s="34" t="s">
        <v>48</v>
      </c>
      <c r="M252" s="33" t="n">
        <f>98900</f>
        <v>98900.0</v>
      </c>
      <c r="N252" s="34" t="s">
        <v>49</v>
      </c>
      <c r="O252" s="33" t="n">
        <f>80000</f>
        <v>80000.0</v>
      </c>
      <c r="P252" s="34" t="s">
        <v>92</v>
      </c>
      <c r="Q252" s="33" t="n">
        <f>97200</f>
        <v>97200.0</v>
      </c>
      <c r="R252" s="34" t="s">
        <v>49</v>
      </c>
      <c r="S252" s="35" t="n">
        <f>89842.86</f>
        <v>89842.86</v>
      </c>
      <c r="T252" s="32" t="n">
        <f>39970</f>
        <v>39970.0</v>
      </c>
      <c r="U252" s="32" t="n">
        <f>5772</f>
        <v>5772.0</v>
      </c>
      <c r="V252" s="32" t="n">
        <f>3587384407</f>
        <v>3.587384407E9</v>
      </c>
      <c r="W252" s="32" t="n">
        <f>510459407</f>
        <v>5.10459407E8</v>
      </c>
      <c r="X252" s="36" t="n">
        <f>21</f>
        <v>21.0</v>
      </c>
    </row>
    <row r="253">
      <c r="A253" s="27" t="s">
        <v>42</v>
      </c>
      <c r="B253" s="27" t="s">
        <v>806</v>
      </c>
      <c r="C253" s="27" t="s">
        <v>807</v>
      </c>
      <c r="D253" s="27" t="s">
        <v>808</v>
      </c>
      <c r="E253" s="28" t="s">
        <v>46</v>
      </c>
      <c r="F253" s="29" t="s">
        <v>46</v>
      </c>
      <c r="G253" s="30" t="s">
        <v>46</v>
      </c>
      <c r="H253" s="31"/>
      <c r="I253" s="31" t="s">
        <v>637</v>
      </c>
      <c r="J253" s="32" t="n">
        <v>1.0</v>
      </c>
      <c r="K253" s="33" t="n">
        <f>100000</f>
        <v>100000.0</v>
      </c>
      <c r="L253" s="34" t="s">
        <v>48</v>
      </c>
      <c r="M253" s="33" t="n">
        <f>100000</f>
        <v>100000.0</v>
      </c>
      <c r="N253" s="34" t="s">
        <v>48</v>
      </c>
      <c r="O253" s="33" t="n">
        <f>76500</f>
        <v>76500.0</v>
      </c>
      <c r="P253" s="34" t="s">
        <v>92</v>
      </c>
      <c r="Q253" s="33" t="n">
        <f>92600</f>
        <v>92600.0</v>
      </c>
      <c r="R253" s="34" t="s">
        <v>49</v>
      </c>
      <c r="S253" s="35" t="n">
        <f>86228.57</f>
        <v>86228.57</v>
      </c>
      <c r="T253" s="32" t="n">
        <f>32567</f>
        <v>32567.0</v>
      </c>
      <c r="U253" s="32" t="n">
        <f>3795</f>
        <v>3795.0</v>
      </c>
      <c r="V253" s="32" t="n">
        <f>2785693614</f>
        <v>2.785693614E9</v>
      </c>
      <c r="W253" s="32" t="n">
        <f>331788414</f>
        <v>3.31788414E8</v>
      </c>
      <c r="X253" s="36" t="n">
        <f>21</f>
        <v>21.0</v>
      </c>
    </row>
    <row r="254">
      <c r="A254" s="27" t="s">
        <v>42</v>
      </c>
      <c r="B254" s="27" t="s">
        <v>809</v>
      </c>
      <c r="C254" s="27" t="s">
        <v>810</v>
      </c>
      <c r="D254" s="27" t="s">
        <v>811</v>
      </c>
      <c r="E254" s="28" t="s">
        <v>46</v>
      </c>
      <c r="F254" s="29" t="s">
        <v>46</v>
      </c>
      <c r="G254" s="30" t="s">
        <v>46</v>
      </c>
      <c r="H254" s="31"/>
      <c r="I254" s="31" t="s">
        <v>637</v>
      </c>
      <c r="J254" s="32" t="n">
        <v>1.0</v>
      </c>
      <c r="K254" s="33" t="n">
        <f>107500</f>
        <v>107500.0</v>
      </c>
      <c r="L254" s="34" t="s">
        <v>48</v>
      </c>
      <c r="M254" s="33" t="n">
        <f>123700</f>
        <v>123700.0</v>
      </c>
      <c r="N254" s="34" t="s">
        <v>307</v>
      </c>
      <c r="O254" s="33" t="n">
        <f>100000</f>
        <v>100000.0</v>
      </c>
      <c r="P254" s="34" t="s">
        <v>61</v>
      </c>
      <c r="Q254" s="33" t="n">
        <f>121100</f>
        <v>121100.0</v>
      </c>
      <c r="R254" s="34" t="s">
        <v>49</v>
      </c>
      <c r="S254" s="35" t="n">
        <f>117004.76</f>
        <v>117004.76</v>
      </c>
      <c r="T254" s="32" t="n">
        <f>47455</f>
        <v>47455.0</v>
      </c>
      <c r="U254" s="32" t="n">
        <f>7661</f>
        <v>7661.0</v>
      </c>
      <c r="V254" s="32" t="n">
        <f>5480043477</f>
        <v>5.480043477E9</v>
      </c>
      <c r="W254" s="32" t="n">
        <f>895313977</f>
        <v>8.95313977E8</v>
      </c>
      <c r="X254" s="36" t="n">
        <f>21</f>
        <v>21.0</v>
      </c>
    </row>
    <row r="255">
      <c r="A255" s="27" t="s">
        <v>42</v>
      </c>
      <c r="B255" s="27" t="s">
        <v>812</v>
      </c>
      <c r="C255" s="27" t="s">
        <v>813</v>
      </c>
      <c r="D255" s="27" t="s">
        <v>814</v>
      </c>
      <c r="E255" s="28" t="s">
        <v>46</v>
      </c>
      <c r="F255" s="29" t="s">
        <v>46</v>
      </c>
      <c r="G255" s="30" t="s">
        <v>46</v>
      </c>
      <c r="H255" s="31"/>
      <c r="I255" s="31" t="s">
        <v>47</v>
      </c>
      <c r="J255" s="32" t="n">
        <v>1.0</v>
      </c>
      <c r="K255" s="33" t="n">
        <f>584000</f>
        <v>584000.0</v>
      </c>
      <c r="L255" s="34" t="s">
        <v>48</v>
      </c>
      <c r="M255" s="33" t="n">
        <f>650000</f>
        <v>650000.0</v>
      </c>
      <c r="N255" s="34" t="s">
        <v>188</v>
      </c>
      <c r="O255" s="33" t="n">
        <f>506000</f>
        <v>506000.0</v>
      </c>
      <c r="P255" s="34" t="s">
        <v>61</v>
      </c>
      <c r="Q255" s="33" t="n">
        <f>644000</f>
        <v>644000.0</v>
      </c>
      <c r="R255" s="34" t="s">
        <v>49</v>
      </c>
      <c r="S255" s="35" t="n">
        <f>607428.57</f>
        <v>607428.57</v>
      </c>
      <c r="T255" s="32" t="n">
        <f>51869</f>
        <v>51869.0</v>
      </c>
      <c r="U255" s="32" t="n">
        <f>7106</f>
        <v>7106.0</v>
      </c>
      <c r="V255" s="32" t="n">
        <f>31116202756</f>
        <v>3.1116202756E10</v>
      </c>
      <c r="W255" s="32" t="n">
        <f>4275521756</f>
        <v>4.275521756E9</v>
      </c>
      <c r="X255" s="36" t="n">
        <f>21</f>
        <v>21.0</v>
      </c>
    </row>
    <row r="256">
      <c r="A256" s="27" t="s">
        <v>42</v>
      </c>
      <c r="B256" s="27" t="s">
        <v>815</v>
      </c>
      <c r="C256" s="27" t="s">
        <v>816</v>
      </c>
      <c r="D256" s="27" t="s">
        <v>817</v>
      </c>
      <c r="E256" s="28" t="s">
        <v>46</v>
      </c>
      <c r="F256" s="29" t="s">
        <v>46</v>
      </c>
      <c r="G256" s="30" t="s">
        <v>46</v>
      </c>
      <c r="H256" s="31"/>
      <c r="I256" s="31" t="s">
        <v>47</v>
      </c>
      <c r="J256" s="32" t="n">
        <v>1.0</v>
      </c>
      <c r="K256" s="33" t="n">
        <f>76500</f>
        <v>76500.0</v>
      </c>
      <c r="L256" s="34" t="s">
        <v>48</v>
      </c>
      <c r="M256" s="33" t="n">
        <f>78000</f>
        <v>78000.0</v>
      </c>
      <c r="N256" s="34" t="s">
        <v>107</v>
      </c>
      <c r="O256" s="33" t="n">
        <f>59700</f>
        <v>59700.0</v>
      </c>
      <c r="P256" s="34" t="s">
        <v>92</v>
      </c>
      <c r="Q256" s="33" t="n">
        <f>75100</f>
        <v>75100.0</v>
      </c>
      <c r="R256" s="34" t="s">
        <v>49</v>
      </c>
      <c r="S256" s="35" t="n">
        <f>69785.71</f>
        <v>69785.71</v>
      </c>
      <c r="T256" s="32" t="n">
        <f>351507</f>
        <v>351507.0</v>
      </c>
      <c r="U256" s="32" t="n">
        <f>57818</f>
        <v>57818.0</v>
      </c>
      <c r="V256" s="32" t="n">
        <f>24277877049</f>
        <v>2.4277877049E10</v>
      </c>
      <c r="W256" s="32" t="n">
        <f>3995338649</f>
        <v>3.995338649E9</v>
      </c>
      <c r="X256" s="36" t="n">
        <f>21</f>
        <v>21.0</v>
      </c>
    </row>
    <row r="257">
      <c r="A257" s="27" t="s">
        <v>42</v>
      </c>
      <c r="B257" s="27" t="s">
        <v>818</v>
      </c>
      <c r="C257" s="27" t="s">
        <v>819</v>
      </c>
      <c r="D257" s="27" t="s">
        <v>820</v>
      </c>
      <c r="E257" s="28" t="s">
        <v>46</v>
      </c>
      <c r="F257" s="29" t="s">
        <v>46</v>
      </c>
      <c r="G257" s="30" t="s">
        <v>46</v>
      </c>
      <c r="H257" s="31"/>
      <c r="I257" s="31" t="s">
        <v>47</v>
      </c>
      <c r="J257" s="32" t="n">
        <v>1.0</v>
      </c>
      <c r="K257" s="33" t="n">
        <f>143600</f>
        <v>143600.0</v>
      </c>
      <c r="L257" s="34" t="s">
        <v>48</v>
      </c>
      <c r="M257" s="33" t="n">
        <f>143900</f>
        <v>143900.0</v>
      </c>
      <c r="N257" s="34" t="s">
        <v>48</v>
      </c>
      <c r="O257" s="33" t="n">
        <f>120800</f>
        <v>120800.0</v>
      </c>
      <c r="P257" s="34" t="s">
        <v>61</v>
      </c>
      <c r="Q257" s="33" t="n">
        <f>138700</f>
        <v>138700.0</v>
      </c>
      <c r="R257" s="34" t="s">
        <v>49</v>
      </c>
      <c r="S257" s="35" t="n">
        <f>136414.29</f>
        <v>136414.29</v>
      </c>
      <c r="T257" s="32" t="n">
        <f>209363</f>
        <v>209363.0</v>
      </c>
      <c r="U257" s="32" t="n">
        <f>30448</f>
        <v>30448.0</v>
      </c>
      <c r="V257" s="32" t="n">
        <f>28303258493</f>
        <v>2.8303258493E10</v>
      </c>
      <c r="W257" s="32" t="n">
        <f>4148984393</f>
        <v>4.148984393E9</v>
      </c>
      <c r="X257" s="36" t="n">
        <f>21</f>
        <v>21.0</v>
      </c>
    </row>
    <row r="258">
      <c r="A258" s="27" t="s">
        <v>42</v>
      </c>
      <c r="B258" s="27" t="s">
        <v>821</v>
      </c>
      <c r="C258" s="27" t="s">
        <v>822</v>
      </c>
      <c r="D258" s="27" t="s">
        <v>823</v>
      </c>
      <c r="E258" s="28" t="s">
        <v>46</v>
      </c>
      <c r="F258" s="29" t="s">
        <v>46</v>
      </c>
      <c r="G258" s="30" t="s">
        <v>46</v>
      </c>
      <c r="H258" s="31"/>
      <c r="I258" s="31" t="s">
        <v>47</v>
      </c>
      <c r="J258" s="32" t="n">
        <v>1.0</v>
      </c>
      <c r="K258" s="33" t="n">
        <f>146000</f>
        <v>146000.0</v>
      </c>
      <c r="L258" s="34" t="s">
        <v>48</v>
      </c>
      <c r="M258" s="33" t="n">
        <f>151300</f>
        <v>151300.0</v>
      </c>
      <c r="N258" s="34" t="s">
        <v>49</v>
      </c>
      <c r="O258" s="33" t="n">
        <f>128600</f>
        <v>128600.0</v>
      </c>
      <c r="P258" s="34" t="s">
        <v>92</v>
      </c>
      <c r="Q258" s="33" t="n">
        <f>150000</f>
        <v>150000.0</v>
      </c>
      <c r="R258" s="34" t="s">
        <v>49</v>
      </c>
      <c r="S258" s="35" t="n">
        <f>141071.43</f>
        <v>141071.43</v>
      </c>
      <c r="T258" s="32" t="n">
        <f>209962</f>
        <v>209962.0</v>
      </c>
      <c r="U258" s="32" t="n">
        <f>29884</f>
        <v>29884.0</v>
      </c>
      <c r="V258" s="32" t="n">
        <f>29282044624</f>
        <v>2.9282044624E10</v>
      </c>
      <c r="W258" s="32" t="n">
        <f>4202747924</f>
        <v>4.202747924E9</v>
      </c>
      <c r="X258" s="36" t="n">
        <f>21</f>
        <v>21.0</v>
      </c>
    </row>
    <row r="259">
      <c r="A259" s="27" t="s">
        <v>42</v>
      </c>
      <c r="B259" s="27" t="s">
        <v>824</v>
      </c>
      <c r="C259" s="27" t="s">
        <v>825</v>
      </c>
      <c r="D259" s="27" t="s">
        <v>826</v>
      </c>
      <c r="E259" s="28" t="s">
        <v>46</v>
      </c>
      <c r="F259" s="29" t="s">
        <v>46</v>
      </c>
      <c r="G259" s="30" t="s">
        <v>46</v>
      </c>
      <c r="H259" s="31"/>
      <c r="I259" s="31" t="s">
        <v>47</v>
      </c>
      <c r="J259" s="32" t="n">
        <v>1.0</v>
      </c>
      <c r="K259" s="33" t="n">
        <f>309000</f>
        <v>309000.0</v>
      </c>
      <c r="L259" s="34" t="s">
        <v>48</v>
      </c>
      <c r="M259" s="33" t="n">
        <f>336000</f>
        <v>336000.0</v>
      </c>
      <c r="N259" s="34" t="s">
        <v>49</v>
      </c>
      <c r="O259" s="33" t="n">
        <f>269000</f>
        <v>269000.0</v>
      </c>
      <c r="P259" s="34" t="s">
        <v>50</v>
      </c>
      <c r="Q259" s="33" t="n">
        <f>329000</f>
        <v>329000.0</v>
      </c>
      <c r="R259" s="34" t="s">
        <v>49</v>
      </c>
      <c r="S259" s="35" t="n">
        <f>310890.48</f>
        <v>310890.48</v>
      </c>
      <c r="T259" s="32" t="n">
        <f>175173</f>
        <v>175173.0</v>
      </c>
      <c r="U259" s="32" t="n">
        <f>32041</f>
        <v>32041.0</v>
      </c>
      <c r="V259" s="32" t="n">
        <f>53546641840</f>
        <v>5.354664184E10</v>
      </c>
      <c r="W259" s="32" t="n">
        <f>9923248940</f>
        <v>9.92324894E9</v>
      </c>
      <c r="X259" s="36" t="n">
        <f>21</f>
        <v>21.0</v>
      </c>
    </row>
    <row r="260">
      <c r="A260" s="27" t="s">
        <v>42</v>
      </c>
      <c r="B260" s="27" t="s">
        <v>827</v>
      </c>
      <c r="C260" s="27" t="s">
        <v>828</v>
      </c>
      <c r="D260" s="27" t="s">
        <v>829</v>
      </c>
      <c r="E260" s="28" t="s">
        <v>46</v>
      </c>
      <c r="F260" s="29" t="s">
        <v>46</v>
      </c>
      <c r="G260" s="30" t="s">
        <v>46</v>
      </c>
      <c r="H260" s="31"/>
      <c r="I260" s="31" t="s">
        <v>47</v>
      </c>
      <c r="J260" s="32" t="n">
        <v>1.0</v>
      </c>
      <c r="K260" s="33" t="n">
        <f>169000</f>
        <v>169000.0</v>
      </c>
      <c r="L260" s="34" t="s">
        <v>48</v>
      </c>
      <c r="M260" s="33" t="n">
        <f>181800</f>
        <v>181800.0</v>
      </c>
      <c r="N260" s="34" t="s">
        <v>96</v>
      </c>
      <c r="O260" s="33" t="n">
        <f>149500</f>
        <v>149500.0</v>
      </c>
      <c r="P260" s="34" t="s">
        <v>61</v>
      </c>
      <c r="Q260" s="33" t="n">
        <f>170400</f>
        <v>170400.0</v>
      </c>
      <c r="R260" s="34" t="s">
        <v>49</v>
      </c>
      <c r="S260" s="35" t="n">
        <f>167538.1</f>
        <v>167538.1</v>
      </c>
      <c r="T260" s="32" t="n">
        <f>115298</f>
        <v>115298.0</v>
      </c>
      <c r="U260" s="32" t="n">
        <f>13818</f>
        <v>13818.0</v>
      </c>
      <c r="V260" s="32" t="n">
        <f>19204962824</f>
        <v>1.9204962824E10</v>
      </c>
      <c r="W260" s="32" t="n">
        <f>2295042524</f>
        <v>2.295042524E9</v>
      </c>
      <c r="X260" s="36" t="n">
        <f>21</f>
        <v>21.0</v>
      </c>
    </row>
    <row r="261">
      <c r="A261" s="27" t="s">
        <v>42</v>
      </c>
      <c r="B261" s="27" t="s">
        <v>830</v>
      </c>
      <c r="C261" s="27" t="s">
        <v>831</v>
      </c>
      <c r="D261" s="27" t="s">
        <v>832</v>
      </c>
      <c r="E261" s="28" t="s">
        <v>46</v>
      </c>
      <c r="F261" s="29" t="s">
        <v>46</v>
      </c>
      <c r="G261" s="30" t="s">
        <v>46</v>
      </c>
      <c r="H261" s="31"/>
      <c r="I261" s="31" t="s">
        <v>47</v>
      </c>
      <c r="J261" s="32" t="n">
        <v>1.0</v>
      </c>
      <c r="K261" s="33" t="n">
        <f>343000</f>
        <v>343000.0</v>
      </c>
      <c r="L261" s="34" t="s">
        <v>48</v>
      </c>
      <c r="M261" s="33" t="n">
        <f>343000</f>
        <v>343000.0</v>
      </c>
      <c r="N261" s="34" t="s">
        <v>48</v>
      </c>
      <c r="O261" s="33" t="n">
        <f>278900</f>
        <v>278900.0</v>
      </c>
      <c r="P261" s="34" t="s">
        <v>92</v>
      </c>
      <c r="Q261" s="33" t="n">
        <f>317000</f>
        <v>317000.0</v>
      </c>
      <c r="R261" s="34" t="s">
        <v>49</v>
      </c>
      <c r="S261" s="35" t="n">
        <f>315319.05</f>
        <v>315319.05</v>
      </c>
      <c r="T261" s="32" t="n">
        <f>122897</f>
        <v>122897.0</v>
      </c>
      <c r="U261" s="32" t="n">
        <f>19953</f>
        <v>19953.0</v>
      </c>
      <c r="V261" s="32" t="n">
        <f>38562673806</f>
        <v>3.8562673806E10</v>
      </c>
      <c r="W261" s="32" t="n">
        <f>6262255106</f>
        <v>6.262255106E9</v>
      </c>
      <c r="X261" s="36" t="n">
        <f>21</f>
        <v>21.0</v>
      </c>
    </row>
    <row r="262">
      <c r="A262" s="27" t="s">
        <v>42</v>
      </c>
      <c r="B262" s="27" t="s">
        <v>833</v>
      </c>
      <c r="C262" s="27" t="s">
        <v>834</v>
      </c>
      <c r="D262" s="27" t="s">
        <v>835</v>
      </c>
      <c r="E262" s="28" t="s">
        <v>46</v>
      </c>
      <c r="F262" s="29" t="s">
        <v>46</v>
      </c>
      <c r="G262" s="30" t="s">
        <v>46</v>
      </c>
      <c r="H262" s="31"/>
      <c r="I262" s="31" t="s">
        <v>47</v>
      </c>
      <c r="J262" s="32" t="n">
        <v>1.0</v>
      </c>
      <c r="K262" s="33" t="n">
        <f>122500</f>
        <v>122500.0</v>
      </c>
      <c r="L262" s="34" t="s">
        <v>48</v>
      </c>
      <c r="M262" s="33" t="n">
        <f>140700</f>
        <v>140700.0</v>
      </c>
      <c r="N262" s="34" t="s">
        <v>49</v>
      </c>
      <c r="O262" s="33" t="n">
        <f>115600</f>
        <v>115600.0</v>
      </c>
      <c r="P262" s="34" t="s">
        <v>61</v>
      </c>
      <c r="Q262" s="33" t="n">
        <f>138700</f>
        <v>138700.0</v>
      </c>
      <c r="R262" s="34" t="s">
        <v>49</v>
      </c>
      <c r="S262" s="35" t="n">
        <f>126504.76</f>
        <v>126504.76</v>
      </c>
      <c r="T262" s="32" t="n">
        <f>635527</f>
        <v>635527.0</v>
      </c>
      <c r="U262" s="32" t="n">
        <f>109649</f>
        <v>109649.0</v>
      </c>
      <c r="V262" s="32" t="n">
        <f>79988643779</f>
        <v>7.9988643779E10</v>
      </c>
      <c r="W262" s="32" t="n">
        <f>13746528279</f>
        <v>1.3746528279E10</v>
      </c>
      <c r="X262" s="36" t="n">
        <f>21</f>
        <v>21.0</v>
      </c>
    </row>
    <row r="263">
      <c r="A263" s="27" t="s">
        <v>42</v>
      </c>
      <c r="B263" s="27" t="s">
        <v>836</v>
      </c>
      <c r="C263" s="27" t="s">
        <v>837</v>
      </c>
      <c r="D263" s="27" t="s">
        <v>838</v>
      </c>
      <c r="E263" s="28" t="s">
        <v>46</v>
      </c>
      <c r="F263" s="29" t="s">
        <v>46</v>
      </c>
      <c r="G263" s="30" t="s">
        <v>46</v>
      </c>
      <c r="H263" s="31"/>
      <c r="I263" s="31" t="s">
        <v>47</v>
      </c>
      <c r="J263" s="32" t="n">
        <v>1.0</v>
      </c>
      <c r="K263" s="33" t="n">
        <f>307000</f>
        <v>307000.0</v>
      </c>
      <c r="L263" s="34" t="s">
        <v>48</v>
      </c>
      <c r="M263" s="33" t="n">
        <f>330000</f>
        <v>330000.0</v>
      </c>
      <c r="N263" s="34" t="s">
        <v>49</v>
      </c>
      <c r="O263" s="33" t="n">
        <f>266000</f>
        <v>266000.0</v>
      </c>
      <c r="P263" s="34" t="s">
        <v>50</v>
      </c>
      <c r="Q263" s="33" t="n">
        <f>320500</f>
        <v>320500.0</v>
      </c>
      <c r="R263" s="34" t="s">
        <v>49</v>
      </c>
      <c r="S263" s="35" t="n">
        <f>303804.76</f>
        <v>303804.76</v>
      </c>
      <c r="T263" s="32" t="n">
        <f>78916</f>
        <v>78916.0</v>
      </c>
      <c r="U263" s="32" t="n">
        <f>8379</f>
        <v>8379.0</v>
      </c>
      <c r="V263" s="32" t="n">
        <f>23831721802</f>
        <v>2.3831721802E10</v>
      </c>
      <c r="W263" s="32" t="n">
        <f>2540920002</f>
        <v>2.540920002E9</v>
      </c>
      <c r="X263" s="36" t="n">
        <f>21</f>
        <v>21.0</v>
      </c>
    </row>
    <row r="264">
      <c r="A264" s="27" t="s">
        <v>42</v>
      </c>
      <c r="B264" s="27" t="s">
        <v>839</v>
      </c>
      <c r="C264" s="27" t="s">
        <v>840</v>
      </c>
      <c r="D264" s="27" t="s">
        <v>841</v>
      </c>
      <c r="E264" s="28" t="s">
        <v>46</v>
      </c>
      <c r="F264" s="29" t="s">
        <v>46</v>
      </c>
      <c r="G264" s="30" t="s">
        <v>46</v>
      </c>
      <c r="H264" s="31"/>
      <c r="I264" s="31" t="s">
        <v>47</v>
      </c>
      <c r="J264" s="32" t="n">
        <v>1.0</v>
      </c>
      <c r="K264" s="33" t="n">
        <f>275700</f>
        <v>275700.0</v>
      </c>
      <c r="L264" s="34" t="s">
        <v>48</v>
      </c>
      <c r="M264" s="33" t="n">
        <f>301000</f>
        <v>301000.0</v>
      </c>
      <c r="N264" s="34" t="s">
        <v>107</v>
      </c>
      <c r="O264" s="33" t="n">
        <f>252200</f>
        <v>252200.0</v>
      </c>
      <c r="P264" s="34" t="s">
        <v>48</v>
      </c>
      <c r="Q264" s="33" t="n">
        <f>295600</f>
        <v>295600.0</v>
      </c>
      <c r="R264" s="34" t="s">
        <v>49</v>
      </c>
      <c r="S264" s="35" t="n">
        <f>273976.19</f>
        <v>273976.19</v>
      </c>
      <c r="T264" s="32" t="n">
        <f>322707</f>
        <v>322707.0</v>
      </c>
      <c r="U264" s="32" t="n">
        <f>53690</f>
        <v>53690.0</v>
      </c>
      <c r="V264" s="32" t="n">
        <f>88302884476</f>
        <v>8.8302884476E10</v>
      </c>
      <c r="W264" s="32" t="n">
        <f>14671274776</f>
        <v>1.4671274776E10</v>
      </c>
      <c r="X264" s="36" t="n">
        <f>21</f>
        <v>21.0</v>
      </c>
    </row>
    <row r="265">
      <c r="A265" s="27" t="s">
        <v>42</v>
      </c>
      <c r="B265" s="27" t="s">
        <v>842</v>
      </c>
      <c r="C265" s="27" t="s">
        <v>843</v>
      </c>
      <c r="D265" s="27" t="s">
        <v>844</v>
      </c>
      <c r="E265" s="28" t="s">
        <v>46</v>
      </c>
      <c r="F265" s="29" t="s">
        <v>46</v>
      </c>
      <c r="G265" s="30" t="s">
        <v>46</v>
      </c>
      <c r="H265" s="31"/>
      <c r="I265" s="31" t="s">
        <v>47</v>
      </c>
      <c r="J265" s="32" t="n">
        <v>1.0</v>
      </c>
      <c r="K265" s="33" t="n">
        <f>332500</f>
        <v>332500.0</v>
      </c>
      <c r="L265" s="34" t="s">
        <v>48</v>
      </c>
      <c r="M265" s="33" t="n">
        <f>398500</f>
        <v>398500.0</v>
      </c>
      <c r="N265" s="34" t="s">
        <v>60</v>
      </c>
      <c r="O265" s="33" t="n">
        <f>291800</f>
        <v>291800.0</v>
      </c>
      <c r="P265" s="34" t="s">
        <v>92</v>
      </c>
      <c r="Q265" s="33" t="n">
        <f>370000</f>
        <v>370000.0</v>
      </c>
      <c r="R265" s="34" t="s">
        <v>49</v>
      </c>
      <c r="S265" s="35" t="n">
        <f>357090.48</f>
        <v>357090.48</v>
      </c>
      <c r="T265" s="32" t="n">
        <f>88373</f>
        <v>88373.0</v>
      </c>
      <c r="U265" s="32" t="n">
        <f>3992</f>
        <v>3992.0</v>
      </c>
      <c r="V265" s="32" t="n">
        <f>31477314385</f>
        <v>3.1477314385E10</v>
      </c>
      <c r="W265" s="32" t="n">
        <f>1422720585</f>
        <v>1.422720585E9</v>
      </c>
      <c r="X265" s="36" t="n">
        <f>21</f>
        <v>21.0</v>
      </c>
    </row>
    <row r="266">
      <c r="A266" s="27" t="s">
        <v>42</v>
      </c>
      <c r="B266" s="27" t="s">
        <v>845</v>
      </c>
      <c r="C266" s="27" t="s">
        <v>846</v>
      </c>
      <c r="D266" s="27" t="s">
        <v>847</v>
      </c>
      <c r="E266" s="28" t="s">
        <v>46</v>
      </c>
      <c r="F266" s="29" t="s">
        <v>46</v>
      </c>
      <c r="G266" s="30" t="s">
        <v>46</v>
      </c>
      <c r="H266" s="31"/>
      <c r="I266" s="31" t="s">
        <v>47</v>
      </c>
      <c r="J266" s="32" t="n">
        <v>1.0</v>
      </c>
      <c r="K266" s="33" t="n">
        <f>242600</f>
        <v>242600.0</v>
      </c>
      <c r="L266" s="34" t="s">
        <v>48</v>
      </c>
      <c r="M266" s="33" t="n">
        <f>250000</f>
        <v>250000.0</v>
      </c>
      <c r="N266" s="34" t="s">
        <v>107</v>
      </c>
      <c r="O266" s="33" t="n">
        <f>200200</f>
        <v>200200.0</v>
      </c>
      <c r="P266" s="34" t="s">
        <v>92</v>
      </c>
      <c r="Q266" s="33" t="n">
        <f>236700</f>
        <v>236700.0</v>
      </c>
      <c r="R266" s="34" t="s">
        <v>49</v>
      </c>
      <c r="S266" s="35" t="n">
        <f>225314.29</f>
        <v>225314.29</v>
      </c>
      <c r="T266" s="32" t="n">
        <f>30250</f>
        <v>30250.0</v>
      </c>
      <c r="U266" s="32" t="n">
        <f>3589</f>
        <v>3589.0</v>
      </c>
      <c r="V266" s="32" t="n">
        <f>6755515261</f>
        <v>6.755515261E9</v>
      </c>
      <c r="W266" s="32" t="n">
        <f>811261261</f>
        <v>8.11261261E8</v>
      </c>
      <c r="X266" s="36" t="n">
        <f>21</f>
        <v>21.0</v>
      </c>
    </row>
    <row r="267">
      <c r="A267" s="27" t="s">
        <v>42</v>
      </c>
      <c r="B267" s="27" t="s">
        <v>848</v>
      </c>
      <c r="C267" s="27" t="s">
        <v>849</v>
      </c>
      <c r="D267" s="27" t="s">
        <v>850</v>
      </c>
      <c r="E267" s="28" t="s">
        <v>46</v>
      </c>
      <c r="F267" s="29" t="s">
        <v>46</v>
      </c>
      <c r="G267" s="30" t="s">
        <v>46</v>
      </c>
      <c r="H267" s="31"/>
      <c r="I267" s="31" t="s">
        <v>47</v>
      </c>
      <c r="J267" s="32" t="n">
        <v>1.0</v>
      </c>
      <c r="K267" s="33" t="n">
        <f>100800</f>
        <v>100800.0</v>
      </c>
      <c r="L267" s="34" t="s">
        <v>48</v>
      </c>
      <c r="M267" s="33" t="n">
        <f>111400</f>
        <v>111400.0</v>
      </c>
      <c r="N267" s="34" t="s">
        <v>65</v>
      </c>
      <c r="O267" s="33" t="n">
        <f>91200</f>
        <v>91200.0</v>
      </c>
      <c r="P267" s="34" t="s">
        <v>61</v>
      </c>
      <c r="Q267" s="33" t="n">
        <f>107600</f>
        <v>107600.0</v>
      </c>
      <c r="R267" s="34" t="s">
        <v>49</v>
      </c>
      <c r="S267" s="35" t="n">
        <f>104400</f>
        <v>104400.0</v>
      </c>
      <c r="T267" s="32" t="n">
        <f>234972</f>
        <v>234972.0</v>
      </c>
      <c r="U267" s="32" t="n">
        <f>29776</f>
        <v>29776.0</v>
      </c>
      <c r="V267" s="32" t="n">
        <f>24214506146</f>
        <v>2.4214506146E10</v>
      </c>
      <c r="W267" s="32" t="n">
        <f>3099720946</f>
        <v>3.099720946E9</v>
      </c>
      <c r="X267" s="36" t="n">
        <f>21</f>
        <v>21.0</v>
      </c>
    </row>
    <row r="268">
      <c r="A268" s="27" t="s">
        <v>42</v>
      </c>
      <c r="B268" s="27" t="s">
        <v>851</v>
      </c>
      <c r="C268" s="27" t="s">
        <v>852</v>
      </c>
      <c r="D268" s="27" t="s">
        <v>853</v>
      </c>
      <c r="E268" s="28" t="s">
        <v>46</v>
      </c>
      <c r="F268" s="29" t="s">
        <v>46</v>
      </c>
      <c r="G268" s="30" t="s">
        <v>46</v>
      </c>
      <c r="H268" s="31"/>
      <c r="I268" s="31" t="s">
        <v>47</v>
      </c>
      <c r="J268" s="32" t="n">
        <v>1.0</v>
      </c>
      <c r="K268" s="33" t="n">
        <f>122900</f>
        <v>122900.0</v>
      </c>
      <c r="L268" s="34" t="s">
        <v>48</v>
      </c>
      <c r="M268" s="33" t="n">
        <f>124700</f>
        <v>124700.0</v>
      </c>
      <c r="N268" s="34" t="s">
        <v>48</v>
      </c>
      <c r="O268" s="33" t="n">
        <f>105300</f>
        <v>105300.0</v>
      </c>
      <c r="P268" s="34" t="s">
        <v>92</v>
      </c>
      <c r="Q268" s="33" t="n">
        <f>121100</f>
        <v>121100.0</v>
      </c>
      <c r="R268" s="34" t="s">
        <v>49</v>
      </c>
      <c r="S268" s="35" t="n">
        <f>117500</f>
        <v>117500.0</v>
      </c>
      <c r="T268" s="32" t="n">
        <f>200909</f>
        <v>200909.0</v>
      </c>
      <c r="U268" s="32" t="n">
        <f>35862</f>
        <v>35862.0</v>
      </c>
      <c r="V268" s="32" t="n">
        <f>23509935824</f>
        <v>2.3509935824E10</v>
      </c>
      <c r="W268" s="32" t="n">
        <f>4224249124</f>
        <v>4.224249124E9</v>
      </c>
      <c r="X268" s="36" t="n">
        <f>21</f>
        <v>21.0</v>
      </c>
    </row>
    <row r="269">
      <c r="A269" s="27" t="s">
        <v>42</v>
      </c>
      <c r="B269" s="27" t="s">
        <v>854</v>
      </c>
      <c r="C269" s="27" t="s">
        <v>855</v>
      </c>
      <c r="D269" s="27" t="s">
        <v>856</v>
      </c>
      <c r="E269" s="28" t="s">
        <v>46</v>
      </c>
      <c r="F269" s="29" t="s">
        <v>46</v>
      </c>
      <c r="G269" s="30" t="s">
        <v>46</v>
      </c>
      <c r="H269" s="31"/>
      <c r="I269" s="31" t="s">
        <v>47</v>
      </c>
      <c r="J269" s="32" t="n">
        <v>1.0</v>
      </c>
      <c r="K269" s="33" t="n">
        <f>320000</f>
        <v>320000.0</v>
      </c>
      <c r="L269" s="34" t="s">
        <v>48</v>
      </c>
      <c r="M269" s="33" t="n">
        <f>329500</f>
        <v>329500.0</v>
      </c>
      <c r="N269" s="34" t="s">
        <v>107</v>
      </c>
      <c r="O269" s="33" t="n">
        <f>256000</f>
        <v>256000.0</v>
      </c>
      <c r="P269" s="34" t="s">
        <v>92</v>
      </c>
      <c r="Q269" s="33" t="n">
        <f>323500</f>
        <v>323500.0</v>
      </c>
      <c r="R269" s="34" t="s">
        <v>49</v>
      </c>
      <c r="S269" s="35" t="n">
        <f>292561.9</f>
        <v>292561.9</v>
      </c>
      <c r="T269" s="32" t="n">
        <f>67590</f>
        <v>67590.0</v>
      </c>
      <c r="U269" s="32" t="n">
        <f>8478</f>
        <v>8478.0</v>
      </c>
      <c r="V269" s="32" t="n">
        <f>19671267259</f>
        <v>1.9671267259E10</v>
      </c>
      <c r="W269" s="32" t="n">
        <f>2473703059</f>
        <v>2.473703059E9</v>
      </c>
      <c r="X269" s="36" t="n">
        <f>21</f>
        <v>21.0</v>
      </c>
    </row>
    <row r="270">
      <c r="A270" s="27" t="s">
        <v>42</v>
      </c>
      <c r="B270" s="27" t="s">
        <v>857</v>
      </c>
      <c r="C270" s="27" t="s">
        <v>858</v>
      </c>
      <c r="D270" s="27" t="s">
        <v>859</v>
      </c>
      <c r="E270" s="28" t="s">
        <v>46</v>
      </c>
      <c r="F270" s="29" t="s">
        <v>46</v>
      </c>
      <c r="G270" s="30" t="s">
        <v>46</v>
      </c>
      <c r="H270" s="31"/>
      <c r="I270" s="31" t="s">
        <v>47</v>
      </c>
      <c r="J270" s="32" t="n">
        <v>1.0</v>
      </c>
      <c r="K270" s="33" t="n">
        <f>14300</f>
        <v>14300.0</v>
      </c>
      <c r="L270" s="34" t="s">
        <v>48</v>
      </c>
      <c r="M270" s="33" t="n">
        <f>15390</f>
        <v>15390.0</v>
      </c>
      <c r="N270" s="34" t="s">
        <v>103</v>
      </c>
      <c r="O270" s="33" t="n">
        <f>11010</f>
        <v>11010.0</v>
      </c>
      <c r="P270" s="34" t="s">
        <v>92</v>
      </c>
      <c r="Q270" s="33" t="n">
        <f>14340</f>
        <v>14340.0</v>
      </c>
      <c r="R270" s="34" t="s">
        <v>49</v>
      </c>
      <c r="S270" s="35" t="n">
        <f>13452.38</f>
        <v>13452.38</v>
      </c>
      <c r="T270" s="32" t="n">
        <f>1855741</f>
        <v>1855741.0</v>
      </c>
      <c r="U270" s="32" t="n">
        <f>305235</f>
        <v>305235.0</v>
      </c>
      <c r="V270" s="32" t="n">
        <f>24935565755</f>
        <v>2.4935565755E10</v>
      </c>
      <c r="W270" s="32" t="n">
        <f>4129905185</f>
        <v>4.129905185E9</v>
      </c>
      <c r="X270" s="36" t="n">
        <f>21</f>
        <v>21.0</v>
      </c>
    </row>
    <row r="271">
      <c r="A271" s="27" t="s">
        <v>42</v>
      </c>
      <c r="B271" s="27" t="s">
        <v>860</v>
      </c>
      <c r="C271" s="27" t="s">
        <v>861</v>
      </c>
      <c r="D271" s="27" t="s">
        <v>862</v>
      </c>
      <c r="E271" s="28" t="s">
        <v>46</v>
      </c>
      <c r="F271" s="29" t="s">
        <v>46</v>
      </c>
      <c r="G271" s="30" t="s">
        <v>46</v>
      </c>
      <c r="H271" s="31"/>
      <c r="I271" s="31" t="s">
        <v>47</v>
      </c>
      <c r="J271" s="32" t="n">
        <v>1.0</v>
      </c>
      <c r="K271" s="33" t="n">
        <f>68500</f>
        <v>68500.0</v>
      </c>
      <c r="L271" s="34" t="s">
        <v>48</v>
      </c>
      <c r="M271" s="33" t="n">
        <f>71300</f>
        <v>71300.0</v>
      </c>
      <c r="N271" s="34" t="s">
        <v>60</v>
      </c>
      <c r="O271" s="33" t="n">
        <f>58100</f>
        <v>58100.0</v>
      </c>
      <c r="P271" s="34" t="s">
        <v>61</v>
      </c>
      <c r="Q271" s="33" t="n">
        <f>66000</f>
        <v>66000.0</v>
      </c>
      <c r="R271" s="34" t="s">
        <v>49</v>
      </c>
      <c r="S271" s="35" t="n">
        <f>65528.57</f>
        <v>65528.57</v>
      </c>
      <c r="T271" s="32" t="n">
        <f>491389</f>
        <v>491389.0</v>
      </c>
      <c r="U271" s="32" t="n">
        <f>90487</f>
        <v>90487.0</v>
      </c>
      <c r="V271" s="32" t="n">
        <f>31993378032</f>
        <v>3.1993378032E10</v>
      </c>
      <c r="W271" s="32" t="n">
        <f>5918222932</f>
        <v>5.918222932E9</v>
      </c>
      <c r="X271" s="36" t="n">
        <f>21</f>
        <v>21.0</v>
      </c>
    </row>
    <row r="272">
      <c r="A272" s="27" t="s">
        <v>42</v>
      </c>
      <c r="B272" s="27" t="s">
        <v>863</v>
      </c>
      <c r="C272" s="27" t="s">
        <v>864</v>
      </c>
      <c r="D272" s="27" t="s">
        <v>865</v>
      </c>
      <c r="E272" s="28" t="s">
        <v>46</v>
      </c>
      <c r="F272" s="29" t="s">
        <v>46</v>
      </c>
      <c r="G272" s="30" t="s">
        <v>46</v>
      </c>
      <c r="H272" s="31"/>
      <c r="I272" s="31" t="s">
        <v>637</v>
      </c>
      <c r="J272" s="32" t="n">
        <v>1.0</v>
      </c>
      <c r="K272" s="33" t="n">
        <f>96600</f>
        <v>96600.0</v>
      </c>
      <c r="L272" s="34" t="s">
        <v>48</v>
      </c>
      <c r="M272" s="33" t="n">
        <f>102500</f>
        <v>102500.0</v>
      </c>
      <c r="N272" s="34" t="s">
        <v>307</v>
      </c>
      <c r="O272" s="33" t="n">
        <f>87100</f>
        <v>87100.0</v>
      </c>
      <c r="P272" s="34" t="s">
        <v>61</v>
      </c>
      <c r="Q272" s="33" t="n">
        <f>96800</f>
        <v>96800.0</v>
      </c>
      <c r="R272" s="34" t="s">
        <v>49</v>
      </c>
      <c r="S272" s="35" t="n">
        <f>95614.29</f>
        <v>95614.29</v>
      </c>
      <c r="T272" s="32" t="n">
        <f>68709</f>
        <v>68709.0</v>
      </c>
      <c r="U272" s="32" t="n">
        <f>4319</f>
        <v>4319.0</v>
      </c>
      <c r="V272" s="32" t="n">
        <f>6549517006</f>
        <v>6.549517006E9</v>
      </c>
      <c r="W272" s="32" t="n">
        <f>413718206</f>
        <v>4.13718206E8</v>
      </c>
      <c r="X272" s="36" t="n">
        <f>21</f>
        <v>21.0</v>
      </c>
    </row>
    <row r="273">
      <c r="A273" s="27" t="s">
        <v>42</v>
      </c>
      <c r="B273" s="27" t="s">
        <v>866</v>
      </c>
      <c r="C273" s="27" t="s">
        <v>867</v>
      </c>
      <c r="D273" s="27" t="s">
        <v>868</v>
      </c>
      <c r="E273" s="28" t="s">
        <v>46</v>
      </c>
      <c r="F273" s="29" t="s">
        <v>46</v>
      </c>
      <c r="G273" s="30" t="s">
        <v>46</v>
      </c>
      <c r="H273" s="31"/>
      <c r="I273" s="31" t="s">
        <v>47</v>
      </c>
      <c r="J273" s="32" t="n">
        <v>1.0</v>
      </c>
      <c r="K273" s="33" t="n">
        <f>148700</f>
        <v>148700.0</v>
      </c>
      <c r="L273" s="34" t="s">
        <v>48</v>
      </c>
      <c r="M273" s="33" t="n">
        <f>174400</f>
        <v>174400.0</v>
      </c>
      <c r="N273" s="34" t="s">
        <v>49</v>
      </c>
      <c r="O273" s="33" t="n">
        <f>125100</f>
        <v>125100.0</v>
      </c>
      <c r="P273" s="34" t="s">
        <v>192</v>
      </c>
      <c r="Q273" s="33" t="n">
        <f>170300</f>
        <v>170300.0</v>
      </c>
      <c r="R273" s="34" t="s">
        <v>49</v>
      </c>
      <c r="S273" s="35" t="n">
        <f>156019.05</f>
        <v>156019.05</v>
      </c>
      <c r="T273" s="32" t="n">
        <f>189265</f>
        <v>189265.0</v>
      </c>
      <c r="U273" s="32" t="n">
        <f>13611</f>
        <v>13611.0</v>
      </c>
      <c r="V273" s="32" t="n">
        <f>29189463328</f>
        <v>2.9189463328E10</v>
      </c>
      <c r="W273" s="32" t="n">
        <f>2137484128</f>
        <v>2.137484128E9</v>
      </c>
      <c r="X273" s="36" t="n">
        <f>21</f>
        <v>21.0</v>
      </c>
    </row>
    <row r="274">
      <c r="A274" s="27" t="s">
        <v>42</v>
      </c>
      <c r="B274" s="27" t="s">
        <v>869</v>
      </c>
      <c r="C274" s="27" t="s">
        <v>870</v>
      </c>
      <c r="D274" s="27" t="s">
        <v>871</v>
      </c>
      <c r="E274" s="28" t="s">
        <v>46</v>
      </c>
      <c r="F274" s="29" t="s">
        <v>46</v>
      </c>
      <c r="G274" s="30" t="s">
        <v>46</v>
      </c>
      <c r="H274" s="31"/>
      <c r="I274" s="31" t="s">
        <v>47</v>
      </c>
      <c r="J274" s="32" t="n">
        <v>1.0</v>
      </c>
      <c r="K274" s="33" t="n">
        <f>113600</f>
        <v>113600.0</v>
      </c>
      <c r="L274" s="34" t="s">
        <v>48</v>
      </c>
      <c r="M274" s="33" t="n">
        <f>118700</f>
        <v>118700.0</v>
      </c>
      <c r="N274" s="34" t="s">
        <v>49</v>
      </c>
      <c r="O274" s="33" t="n">
        <f>103100</f>
        <v>103100.0</v>
      </c>
      <c r="P274" s="34" t="s">
        <v>61</v>
      </c>
      <c r="Q274" s="33" t="n">
        <f>116000</f>
        <v>116000.0</v>
      </c>
      <c r="R274" s="34" t="s">
        <v>49</v>
      </c>
      <c r="S274" s="35" t="n">
        <f>111900</f>
        <v>111900.0</v>
      </c>
      <c r="T274" s="32" t="n">
        <f>44275</f>
        <v>44275.0</v>
      </c>
      <c r="U274" s="32" t="n">
        <f>2530</f>
        <v>2530.0</v>
      </c>
      <c r="V274" s="32" t="n">
        <f>4933888211</f>
        <v>4.933888211E9</v>
      </c>
      <c r="W274" s="32" t="n">
        <f>281672011</f>
        <v>2.81672011E8</v>
      </c>
      <c r="X274" s="36" t="n">
        <f>21</f>
        <v>21.0</v>
      </c>
    </row>
    <row r="275">
      <c r="A275" s="27" t="s">
        <v>42</v>
      </c>
      <c r="B275" s="27" t="s">
        <v>872</v>
      </c>
      <c r="C275" s="27" t="s">
        <v>873</v>
      </c>
      <c r="D275" s="27" t="s">
        <v>874</v>
      </c>
      <c r="E275" s="28" t="s">
        <v>46</v>
      </c>
      <c r="F275" s="29" t="s">
        <v>46</v>
      </c>
      <c r="G275" s="30" t="s">
        <v>46</v>
      </c>
      <c r="H275" s="31"/>
      <c r="I275" s="31" t="s">
        <v>637</v>
      </c>
      <c r="J275" s="32" t="n">
        <v>1.0</v>
      </c>
      <c r="K275" s="33" t="n">
        <f>85400</f>
        <v>85400.0</v>
      </c>
      <c r="L275" s="34" t="s">
        <v>48</v>
      </c>
      <c r="M275" s="33" t="n">
        <f>94800</f>
        <v>94800.0</v>
      </c>
      <c r="N275" s="34" t="s">
        <v>107</v>
      </c>
      <c r="O275" s="33" t="n">
        <f>80300</f>
        <v>80300.0</v>
      </c>
      <c r="P275" s="34" t="s">
        <v>61</v>
      </c>
      <c r="Q275" s="33" t="n">
        <f>93400</f>
        <v>93400.0</v>
      </c>
      <c r="R275" s="34" t="s">
        <v>49</v>
      </c>
      <c r="S275" s="35" t="n">
        <f>87871.43</f>
        <v>87871.43</v>
      </c>
      <c r="T275" s="32" t="n">
        <f>43010</f>
        <v>43010.0</v>
      </c>
      <c r="U275" s="32" t="n">
        <f>4514</f>
        <v>4514.0</v>
      </c>
      <c r="V275" s="32" t="n">
        <f>3758796588</f>
        <v>3.758796588E9</v>
      </c>
      <c r="W275" s="32" t="n">
        <f>396941088</f>
        <v>3.96941088E8</v>
      </c>
      <c r="X275" s="36" t="n">
        <f>21</f>
        <v>21.0</v>
      </c>
    </row>
    <row r="276">
      <c r="A276" s="27" t="s">
        <v>42</v>
      </c>
      <c r="B276" s="27" t="s">
        <v>875</v>
      </c>
      <c r="C276" s="27" t="s">
        <v>876</v>
      </c>
      <c r="D276" s="27" t="s">
        <v>877</v>
      </c>
      <c r="E276" s="28" t="s">
        <v>46</v>
      </c>
      <c r="F276" s="29" t="s">
        <v>46</v>
      </c>
      <c r="G276" s="30" t="s">
        <v>46</v>
      </c>
      <c r="H276" s="31"/>
      <c r="I276" s="31" t="s">
        <v>47</v>
      </c>
      <c r="J276" s="32" t="n">
        <v>1.0</v>
      </c>
      <c r="K276" s="33" t="n">
        <f>134300</f>
        <v>134300.0</v>
      </c>
      <c r="L276" s="34" t="s">
        <v>48</v>
      </c>
      <c r="M276" s="33" t="n">
        <f>141900</f>
        <v>141900.0</v>
      </c>
      <c r="N276" s="34" t="s">
        <v>65</v>
      </c>
      <c r="O276" s="33" t="n">
        <f>114500</f>
        <v>114500.0</v>
      </c>
      <c r="P276" s="34" t="s">
        <v>50</v>
      </c>
      <c r="Q276" s="33" t="n">
        <f>123600</f>
        <v>123600.0</v>
      </c>
      <c r="R276" s="34" t="s">
        <v>49</v>
      </c>
      <c r="S276" s="35" t="n">
        <f>128890.48</f>
        <v>128890.48</v>
      </c>
      <c r="T276" s="32" t="n">
        <f>555017</f>
        <v>555017.0</v>
      </c>
      <c r="U276" s="32" t="n">
        <f>82498</f>
        <v>82498.0</v>
      </c>
      <c r="V276" s="32" t="n">
        <f>71090070441</f>
        <v>7.1090070441E10</v>
      </c>
      <c r="W276" s="32" t="n">
        <f>10632024341</f>
        <v>1.0632024341E10</v>
      </c>
      <c r="X276" s="36" t="n">
        <f>21</f>
        <v>21.0</v>
      </c>
    </row>
    <row r="277">
      <c r="A277" s="27" t="s">
        <v>42</v>
      </c>
      <c r="B277" s="27" t="s">
        <v>878</v>
      </c>
      <c r="C277" s="27" t="s">
        <v>879</v>
      </c>
      <c r="D277" s="27" t="s">
        <v>880</v>
      </c>
      <c r="E277" s="28" t="s">
        <v>46</v>
      </c>
      <c r="F277" s="29" t="s">
        <v>46</v>
      </c>
      <c r="G277" s="30" t="s">
        <v>46</v>
      </c>
      <c r="H277" s="31"/>
      <c r="I277" s="31" t="s">
        <v>637</v>
      </c>
      <c r="J277" s="32" t="n">
        <v>1.0</v>
      </c>
      <c r="K277" s="33" t="n">
        <f>54100</f>
        <v>54100.0</v>
      </c>
      <c r="L277" s="34" t="s">
        <v>48</v>
      </c>
      <c r="M277" s="33" t="n">
        <f>67700</f>
        <v>67700.0</v>
      </c>
      <c r="N277" s="34" t="s">
        <v>188</v>
      </c>
      <c r="O277" s="33" t="n">
        <f>46800</f>
        <v>46800.0</v>
      </c>
      <c r="P277" s="34" t="s">
        <v>92</v>
      </c>
      <c r="Q277" s="33" t="n">
        <f>60000</f>
        <v>60000.0</v>
      </c>
      <c r="R277" s="34" t="s">
        <v>49</v>
      </c>
      <c r="S277" s="35" t="n">
        <f>56816.67</f>
        <v>56816.67</v>
      </c>
      <c r="T277" s="32" t="n">
        <f>85719</f>
        <v>85719.0</v>
      </c>
      <c r="U277" s="32" t="n">
        <f>6756</f>
        <v>6756.0</v>
      </c>
      <c r="V277" s="32" t="n">
        <f>4895684839</f>
        <v>4.895684839E9</v>
      </c>
      <c r="W277" s="32" t="n">
        <f>387055189</f>
        <v>3.87055189E8</v>
      </c>
      <c r="X277" s="36" t="n">
        <f>21</f>
        <v>21.0</v>
      </c>
    </row>
    <row r="278">
      <c r="A278" s="27" t="s">
        <v>42</v>
      </c>
      <c r="B278" s="27" t="s">
        <v>881</v>
      </c>
      <c r="C278" s="27" t="s">
        <v>882</v>
      </c>
      <c r="D278" s="27" t="s">
        <v>883</v>
      </c>
      <c r="E278" s="28" t="s">
        <v>46</v>
      </c>
      <c r="F278" s="29" t="s">
        <v>46</v>
      </c>
      <c r="G278" s="30" t="s">
        <v>46</v>
      </c>
      <c r="H278" s="31"/>
      <c r="I278" s="31" t="s">
        <v>47</v>
      </c>
      <c r="J278" s="32" t="n">
        <v>1.0</v>
      </c>
      <c r="K278" s="33" t="n">
        <f>144800</f>
        <v>144800.0</v>
      </c>
      <c r="L278" s="34" t="s">
        <v>48</v>
      </c>
      <c r="M278" s="33" t="n">
        <f>157600</f>
        <v>157600.0</v>
      </c>
      <c r="N278" s="34" t="s">
        <v>73</v>
      </c>
      <c r="O278" s="33" t="n">
        <f>126700</f>
        <v>126700.0</v>
      </c>
      <c r="P278" s="34" t="s">
        <v>61</v>
      </c>
      <c r="Q278" s="33" t="n">
        <f>151700</f>
        <v>151700.0</v>
      </c>
      <c r="R278" s="34" t="s">
        <v>49</v>
      </c>
      <c r="S278" s="35" t="n">
        <f>145685.71</f>
        <v>145685.71</v>
      </c>
      <c r="T278" s="32" t="n">
        <f>175694</f>
        <v>175694.0</v>
      </c>
      <c r="U278" s="32" t="n">
        <f>26914</f>
        <v>26914.0</v>
      </c>
      <c r="V278" s="32" t="n">
        <f>25434778539</f>
        <v>2.5434778539E10</v>
      </c>
      <c r="W278" s="32" t="n">
        <f>3909292539</f>
        <v>3.909292539E9</v>
      </c>
      <c r="X278" s="36" t="n">
        <f>21</f>
        <v>21.0</v>
      </c>
    </row>
    <row r="279">
      <c r="A279" s="27" t="s">
        <v>42</v>
      </c>
      <c r="B279" s="27" t="s">
        <v>884</v>
      </c>
      <c r="C279" s="27" t="s">
        <v>885</v>
      </c>
      <c r="D279" s="27" t="s">
        <v>886</v>
      </c>
      <c r="E279" s="28" t="s">
        <v>46</v>
      </c>
      <c r="F279" s="29" t="s">
        <v>46</v>
      </c>
      <c r="G279" s="30" t="s">
        <v>46</v>
      </c>
      <c r="H279" s="31"/>
      <c r="I279" s="31" t="s">
        <v>637</v>
      </c>
      <c r="J279" s="32" t="n">
        <v>1.0</v>
      </c>
      <c r="K279" s="33" t="n">
        <f>83900</f>
        <v>83900.0</v>
      </c>
      <c r="L279" s="34" t="s">
        <v>48</v>
      </c>
      <c r="M279" s="33" t="n">
        <f>90200</f>
        <v>90200.0</v>
      </c>
      <c r="N279" s="34" t="s">
        <v>107</v>
      </c>
      <c r="O279" s="33" t="n">
        <f>70500</f>
        <v>70500.0</v>
      </c>
      <c r="P279" s="34" t="s">
        <v>92</v>
      </c>
      <c r="Q279" s="33" t="n">
        <f>86200</f>
        <v>86200.0</v>
      </c>
      <c r="R279" s="34" t="s">
        <v>49</v>
      </c>
      <c r="S279" s="35" t="n">
        <f>80161.9</f>
        <v>80161.9</v>
      </c>
      <c r="T279" s="32" t="n">
        <f>109002</f>
        <v>109002.0</v>
      </c>
      <c r="U279" s="32" t="n">
        <f>11460</f>
        <v>11460.0</v>
      </c>
      <c r="V279" s="32" t="n">
        <f>8687259824</f>
        <v>8.687259824E9</v>
      </c>
      <c r="W279" s="32" t="n">
        <f>923824324</f>
        <v>9.23824324E8</v>
      </c>
      <c r="X279" s="36" t="n">
        <f>21</f>
        <v>21.0</v>
      </c>
    </row>
    <row r="280">
      <c r="A280" s="27" t="s">
        <v>42</v>
      </c>
      <c r="B280" s="27" t="s">
        <v>887</v>
      </c>
      <c r="C280" s="27" t="s">
        <v>888</v>
      </c>
      <c r="D280" s="27" t="s">
        <v>889</v>
      </c>
      <c r="E280" s="28" t="s">
        <v>46</v>
      </c>
      <c r="F280" s="29" t="s">
        <v>46</v>
      </c>
      <c r="G280" s="30" t="s">
        <v>46</v>
      </c>
      <c r="H280" s="31"/>
      <c r="I280" s="31" t="s">
        <v>637</v>
      </c>
      <c r="J280" s="32" t="n">
        <v>1.0</v>
      </c>
      <c r="K280" s="33" t="n">
        <f>87600</f>
        <v>87600.0</v>
      </c>
      <c r="L280" s="34" t="s">
        <v>48</v>
      </c>
      <c r="M280" s="33" t="n">
        <f>95500</f>
        <v>95500.0</v>
      </c>
      <c r="N280" s="34" t="s">
        <v>107</v>
      </c>
      <c r="O280" s="33" t="n">
        <f>78800</f>
        <v>78800.0</v>
      </c>
      <c r="P280" s="34" t="s">
        <v>61</v>
      </c>
      <c r="Q280" s="33" t="n">
        <f>95300</f>
        <v>95300.0</v>
      </c>
      <c r="R280" s="34" t="s">
        <v>49</v>
      </c>
      <c r="S280" s="35" t="n">
        <f>88352.38</f>
        <v>88352.38</v>
      </c>
      <c r="T280" s="32" t="n">
        <f>24019</f>
        <v>24019.0</v>
      </c>
      <c r="U280" s="32" t="n">
        <f>2495</f>
        <v>2495.0</v>
      </c>
      <c r="V280" s="32" t="n">
        <f>2106474560</f>
        <v>2.10647456E9</v>
      </c>
      <c r="W280" s="32" t="n">
        <f>220818860</f>
        <v>2.2081886E8</v>
      </c>
      <c r="X280" s="36" t="n">
        <f>21</f>
        <v>21.0</v>
      </c>
    </row>
    <row r="281">
      <c r="A281" s="27" t="s">
        <v>42</v>
      </c>
      <c r="B281" s="27" t="s">
        <v>890</v>
      </c>
      <c r="C281" s="27" t="s">
        <v>891</v>
      </c>
      <c r="D281" s="27" t="s">
        <v>892</v>
      </c>
      <c r="E281" s="28" t="s">
        <v>46</v>
      </c>
      <c r="F281" s="29" t="s">
        <v>46</v>
      </c>
      <c r="G281" s="30" t="s">
        <v>46</v>
      </c>
      <c r="H281" s="31"/>
      <c r="I281" s="31" t="s">
        <v>47</v>
      </c>
      <c r="J281" s="32" t="n">
        <v>1.0</v>
      </c>
      <c r="K281" s="33" t="n">
        <f>456000</f>
        <v>456000.0</v>
      </c>
      <c r="L281" s="34" t="s">
        <v>48</v>
      </c>
      <c r="M281" s="33" t="n">
        <f>476500</f>
        <v>476500.0</v>
      </c>
      <c r="N281" s="34" t="s">
        <v>192</v>
      </c>
      <c r="O281" s="33" t="n">
        <f>423500</f>
        <v>423500.0</v>
      </c>
      <c r="P281" s="34" t="s">
        <v>49</v>
      </c>
      <c r="Q281" s="33" t="n">
        <f>425000</f>
        <v>425000.0</v>
      </c>
      <c r="R281" s="34" t="s">
        <v>49</v>
      </c>
      <c r="S281" s="35" t="n">
        <f>445642.86</f>
        <v>445642.86</v>
      </c>
      <c r="T281" s="32" t="n">
        <f>66737</f>
        <v>66737.0</v>
      </c>
      <c r="U281" s="32" t="n">
        <f>14183</f>
        <v>14183.0</v>
      </c>
      <c r="V281" s="32" t="n">
        <f>29730597197</f>
        <v>2.9730597197E10</v>
      </c>
      <c r="W281" s="32" t="n">
        <f>6306938697</f>
        <v>6.306938697E9</v>
      </c>
      <c r="X281" s="36" t="n">
        <f>21</f>
        <v>21.0</v>
      </c>
    </row>
    <row r="282">
      <c r="A282" s="27" t="s">
        <v>42</v>
      </c>
      <c r="B282" s="27" t="s">
        <v>893</v>
      </c>
      <c r="C282" s="27" t="s">
        <v>894</v>
      </c>
      <c r="D282" s="27" t="s">
        <v>895</v>
      </c>
      <c r="E282" s="28" t="s">
        <v>46</v>
      </c>
      <c r="F282" s="29" t="s">
        <v>46</v>
      </c>
      <c r="G282" s="30" t="s">
        <v>46</v>
      </c>
      <c r="H282" s="31"/>
      <c r="I282" s="31" t="s">
        <v>637</v>
      </c>
      <c r="J282" s="32" t="n">
        <v>1.0</v>
      </c>
      <c r="K282" s="33" t="n">
        <f>52400</f>
        <v>52400.0</v>
      </c>
      <c r="L282" s="34" t="s">
        <v>48</v>
      </c>
      <c r="M282" s="33" t="n">
        <f>59700</f>
        <v>59700.0</v>
      </c>
      <c r="N282" s="34" t="s">
        <v>49</v>
      </c>
      <c r="O282" s="33" t="n">
        <f>47100</f>
        <v>47100.0</v>
      </c>
      <c r="P282" s="34" t="s">
        <v>92</v>
      </c>
      <c r="Q282" s="33" t="n">
        <f>59400</f>
        <v>59400.0</v>
      </c>
      <c r="R282" s="34" t="s">
        <v>49</v>
      </c>
      <c r="S282" s="35" t="n">
        <f>54580.95</f>
        <v>54580.95</v>
      </c>
      <c r="T282" s="32" t="n">
        <f>47371</f>
        <v>47371.0</v>
      </c>
      <c r="U282" s="32" t="n">
        <f>4561</f>
        <v>4561.0</v>
      </c>
      <c r="V282" s="32" t="n">
        <f>2546653345</f>
        <v>2.546653345E9</v>
      </c>
      <c r="W282" s="32" t="n">
        <f>251434545</f>
        <v>2.51434545E8</v>
      </c>
      <c r="X282" s="36" t="n">
        <f>21</f>
        <v>21.0</v>
      </c>
    </row>
    <row r="283">
      <c r="A283" s="27" t="s">
        <v>42</v>
      </c>
      <c r="B283" s="27" t="s">
        <v>896</v>
      </c>
      <c r="C283" s="27" t="s">
        <v>897</v>
      </c>
      <c r="D283" s="27" t="s">
        <v>898</v>
      </c>
      <c r="E283" s="28" t="s">
        <v>46</v>
      </c>
      <c r="F283" s="29" t="s">
        <v>46</v>
      </c>
      <c r="G283" s="30" t="s">
        <v>46</v>
      </c>
      <c r="H283" s="31"/>
      <c r="I283" s="31" t="s">
        <v>637</v>
      </c>
      <c r="J283" s="32" t="n">
        <v>1.0</v>
      </c>
      <c r="K283" s="33" t="n">
        <f>72000</f>
        <v>72000.0</v>
      </c>
      <c r="L283" s="34" t="s">
        <v>48</v>
      </c>
      <c r="M283" s="33" t="n">
        <f>76600</f>
        <v>76600.0</v>
      </c>
      <c r="N283" s="34" t="s">
        <v>107</v>
      </c>
      <c r="O283" s="33" t="n">
        <f>59900</f>
        <v>59900.0</v>
      </c>
      <c r="P283" s="34" t="s">
        <v>92</v>
      </c>
      <c r="Q283" s="33" t="n">
        <f>74700</f>
        <v>74700.0</v>
      </c>
      <c r="R283" s="34" t="s">
        <v>49</v>
      </c>
      <c r="S283" s="35" t="n">
        <f>69133.33</f>
        <v>69133.33</v>
      </c>
      <c r="T283" s="32" t="n">
        <f>38368</f>
        <v>38368.0</v>
      </c>
      <c r="U283" s="32" t="n">
        <f>3437</f>
        <v>3437.0</v>
      </c>
      <c r="V283" s="32" t="n">
        <f>2631237904</f>
        <v>2.631237904E9</v>
      </c>
      <c r="W283" s="32" t="n">
        <f>240624604</f>
        <v>2.40624604E8</v>
      </c>
      <c r="X283" s="36" t="n">
        <f>21</f>
        <v>21.0</v>
      </c>
    </row>
    <row r="284">
      <c r="A284" s="27" t="s">
        <v>42</v>
      </c>
      <c r="B284" s="27" t="s">
        <v>899</v>
      </c>
      <c r="C284" s="27" t="s">
        <v>900</v>
      </c>
      <c r="D284" s="27" t="s">
        <v>901</v>
      </c>
      <c r="E284" s="28" t="s">
        <v>46</v>
      </c>
      <c r="F284" s="29" t="s">
        <v>46</v>
      </c>
      <c r="G284" s="30" t="s">
        <v>46</v>
      </c>
      <c r="H284" s="31"/>
      <c r="I284" s="31" t="s">
        <v>47</v>
      </c>
      <c r="J284" s="32" t="n">
        <v>1.0</v>
      </c>
      <c r="K284" s="33" t="n">
        <f>36700</f>
        <v>36700.0</v>
      </c>
      <c r="L284" s="34" t="s">
        <v>48</v>
      </c>
      <c r="M284" s="33" t="n">
        <f>41500</f>
        <v>41500.0</v>
      </c>
      <c r="N284" s="34" t="s">
        <v>188</v>
      </c>
      <c r="O284" s="33" t="n">
        <f>32100</f>
        <v>32100.0</v>
      </c>
      <c r="P284" s="34" t="s">
        <v>61</v>
      </c>
      <c r="Q284" s="33" t="n">
        <f>36650</f>
        <v>36650.0</v>
      </c>
      <c r="R284" s="34" t="s">
        <v>49</v>
      </c>
      <c r="S284" s="35" t="n">
        <f>37883.33</f>
        <v>37883.33</v>
      </c>
      <c r="T284" s="32" t="n">
        <f>482951</f>
        <v>482951.0</v>
      </c>
      <c r="U284" s="32" t="n">
        <f>38217</f>
        <v>38217.0</v>
      </c>
      <c r="V284" s="32" t="n">
        <f>18262897070</f>
        <v>1.826289707E10</v>
      </c>
      <c r="W284" s="32" t="n">
        <f>1437196270</f>
        <v>1.43719627E9</v>
      </c>
      <c r="X284" s="36" t="n">
        <f>21</f>
        <v>21.0</v>
      </c>
    </row>
    <row r="285">
      <c r="A285" s="27" t="s">
        <v>42</v>
      </c>
      <c r="B285" s="27" t="s">
        <v>902</v>
      </c>
      <c r="C285" s="27" t="s">
        <v>903</v>
      </c>
      <c r="D285" s="27" t="s">
        <v>904</v>
      </c>
      <c r="E285" s="28" t="s">
        <v>46</v>
      </c>
      <c r="F285" s="29" t="s">
        <v>46</v>
      </c>
      <c r="G285" s="30" t="s">
        <v>46</v>
      </c>
      <c r="H285" s="31"/>
      <c r="I285" s="31" t="s">
        <v>47</v>
      </c>
      <c r="J285" s="32" t="n">
        <v>1.0</v>
      </c>
      <c r="K285" s="33" t="n">
        <f>80500</f>
        <v>80500.0</v>
      </c>
      <c r="L285" s="34" t="s">
        <v>48</v>
      </c>
      <c r="M285" s="33" t="n">
        <f>89500</f>
        <v>89500.0</v>
      </c>
      <c r="N285" s="34" t="s">
        <v>60</v>
      </c>
      <c r="O285" s="33" t="n">
        <f>70800</f>
        <v>70800.0</v>
      </c>
      <c r="P285" s="34" t="s">
        <v>92</v>
      </c>
      <c r="Q285" s="33" t="n">
        <f>84000</f>
        <v>84000.0</v>
      </c>
      <c r="R285" s="34" t="s">
        <v>49</v>
      </c>
      <c r="S285" s="35" t="n">
        <f>82319.05</f>
        <v>82319.05</v>
      </c>
      <c r="T285" s="32" t="n">
        <f>74118</f>
        <v>74118.0</v>
      </c>
      <c r="U285" s="32" t="n">
        <f>6206</f>
        <v>6206.0</v>
      </c>
      <c r="V285" s="32" t="n">
        <f>6059110048</f>
        <v>6.059110048E9</v>
      </c>
      <c r="W285" s="32" t="n">
        <f>505682248</f>
        <v>5.05682248E8</v>
      </c>
      <c r="X285" s="36" t="n">
        <f>21</f>
        <v>21.0</v>
      </c>
    </row>
    <row r="286">
      <c r="A286" s="27" t="s">
        <v>42</v>
      </c>
      <c r="B286" s="27" t="s">
        <v>905</v>
      </c>
      <c r="C286" s="27" t="s">
        <v>906</v>
      </c>
      <c r="D286" s="27" t="s">
        <v>907</v>
      </c>
      <c r="E286" s="28" t="s">
        <v>46</v>
      </c>
      <c r="F286" s="29" t="s">
        <v>46</v>
      </c>
      <c r="G286" s="30" t="s">
        <v>46</v>
      </c>
      <c r="H286" s="31"/>
      <c r="I286" s="31" t="s">
        <v>47</v>
      </c>
      <c r="J286" s="32" t="n">
        <v>1.0</v>
      </c>
      <c r="K286" s="33" t="n">
        <f>355000</f>
        <v>355000.0</v>
      </c>
      <c r="L286" s="34" t="s">
        <v>48</v>
      </c>
      <c r="M286" s="33" t="n">
        <f>362000</f>
        <v>362000.0</v>
      </c>
      <c r="N286" s="34" t="s">
        <v>87</v>
      </c>
      <c r="O286" s="33" t="n">
        <f>307500</f>
        <v>307500.0</v>
      </c>
      <c r="P286" s="34" t="s">
        <v>92</v>
      </c>
      <c r="Q286" s="33" t="n">
        <f>351000</f>
        <v>351000.0</v>
      </c>
      <c r="R286" s="34" t="s">
        <v>49</v>
      </c>
      <c r="S286" s="35" t="n">
        <f>340904.76</f>
        <v>340904.76</v>
      </c>
      <c r="T286" s="32" t="n">
        <f>42488</f>
        <v>42488.0</v>
      </c>
      <c r="U286" s="32" t="n">
        <f>6241</f>
        <v>6241.0</v>
      </c>
      <c r="V286" s="32" t="n">
        <f>14440517839</f>
        <v>1.4440517839E10</v>
      </c>
      <c r="W286" s="32" t="n">
        <f>2141760339</f>
        <v>2.141760339E9</v>
      </c>
      <c r="X286" s="36" t="n">
        <f>21</f>
        <v>21.0</v>
      </c>
    </row>
    <row r="287">
      <c r="A287" s="27" t="s">
        <v>42</v>
      </c>
      <c r="B287" s="27" t="s">
        <v>908</v>
      </c>
      <c r="C287" s="27" t="s">
        <v>909</v>
      </c>
      <c r="D287" s="27" t="s">
        <v>910</v>
      </c>
      <c r="E287" s="28" t="s">
        <v>46</v>
      </c>
      <c r="F287" s="29" t="s">
        <v>46</v>
      </c>
      <c r="G287" s="30" t="s">
        <v>46</v>
      </c>
      <c r="H287" s="31"/>
      <c r="I287" s="31" t="s">
        <v>47</v>
      </c>
      <c r="J287" s="32" t="n">
        <v>1.0</v>
      </c>
      <c r="K287" s="33" t="n">
        <f>124000</f>
        <v>124000.0</v>
      </c>
      <c r="L287" s="34" t="s">
        <v>48</v>
      </c>
      <c r="M287" s="33" t="n">
        <f>145800</f>
        <v>145800.0</v>
      </c>
      <c r="N287" s="34" t="s">
        <v>49</v>
      </c>
      <c r="O287" s="33" t="n">
        <f>114900</f>
        <v>114900.0</v>
      </c>
      <c r="P287" s="34" t="s">
        <v>61</v>
      </c>
      <c r="Q287" s="33" t="n">
        <f>144100</f>
        <v>144100.0</v>
      </c>
      <c r="R287" s="34" t="s">
        <v>49</v>
      </c>
      <c r="S287" s="35" t="n">
        <f>129985.71</f>
        <v>129985.71</v>
      </c>
      <c r="T287" s="32" t="n">
        <f>47714</f>
        <v>47714.0</v>
      </c>
      <c r="U287" s="32" t="n">
        <f>3534</f>
        <v>3534.0</v>
      </c>
      <c r="V287" s="32" t="n">
        <f>6158600355</f>
        <v>6.158600355E9</v>
      </c>
      <c r="W287" s="32" t="n">
        <f>460308355</f>
        <v>4.60308355E8</v>
      </c>
      <c r="X287" s="36" t="n">
        <f>21</f>
        <v>21.0</v>
      </c>
    </row>
    <row r="288">
      <c r="A288" s="27" t="s">
        <v>42</v>
      </c>
      <c r="B288" s="27" t="s">
        <v>911</v>
      </c>
      <c r="C288" s="27" t="s">
        <v>912</v>
      </c>
      <c r="D288" s="27" t="s">
        <v>913</v>
      </c>
      <c r="E288" s="28" t="s">
        <v>46</v>
      </c>
      <c r="F288" s="29" t="s">
        <v>46</v>
      </c>
      <c r="G288" s="30" t="s">
        <v>46</v>
      </c>
      <c r="H288" s="31"/>
      <c r="I288" s="31" t="s">
        <v>637</v>
      </c>
      <c r="J288" s="32" t="n">
        <v>1.0</v>
      </c>
      <c r="K288" s="33" t="n">
        <f>84800</f>
        <v>84800.0</v>
      </c>
      <c r="L288" s="34" t="s">
        <v>48</v>
      </c>
      <c r="M288" s="33" t="n">
        <f>96300</f>
        <v>96300.0</v>
      </c>
      <c r="N288" s="34" t="s">
        <v>107</v>
      </c>
      <c r="O288" s="33" t="n">
        <f>79100</f>
        <v>79100.0</v>
      </c>
      <c r="P288" s="34" t="s">
        <v>50</v>
      </c>
      <c r="Q288" s="33" t="n">
        <f>92200</f>
        <v>92200.0</v>
      </c>
      <c r="R288" s="34" t="s">
        <v>49</v>
      </c>
      <c r="S288" s="35" t="n">
        <f>89580.95</f>
        <v>89580.95</v>
      </c>
      <c r="T288" s="32" t="n">
        <f>30627</f>
        <v>30627.0</v>
      </c>
      <c r="U288" s="32" t="n">
        <f>2144</f>
        <v>2144.0</v>
      </c>
      <c r="V288" s="32" t="n">
        <f>2700395188</f>
        <v>2.700395188E9</v>
      </c>
      <c r="W288" s="32" t="n">
        <f>189830388</f>
        <v>1.89830388E8</v>
      </c>
      <c r="X288" s="36" t="n">
        <f>21</f>
        <v>21.0</v>
      </c>
    </row>
    <row r="289">
      <c r="A289" s="27" t="s">
        <v>42</v>
      </c>
      <c r="B289" s="27" t="s">
        <v>914</v>
      </c>
      <c r="C289" s="27" t="s">
        <v>915</v>
      </c>
      <c r="D289" s="27" t="s">
        <v>916</v>
      </c>
      <c r="E289" s="28" t="s">
        <v>46</v>
      </c>
      <c r="F289" s="29" t="s">
        <v>46</v>
      </c>
      <c r="G289" s="30" t="s">
        <v>46</v>
      </c>
      <c r="H289" s="31"/>
      <c r="I289" s="31" t="s">
        <v>47</v>
      </c>
      <c r="J289" s="32" t="n">
        <v>1.0</v>
      </c>
      <c r="K289" s="33" t="n">
        <f>80200</f>
        <v>80200.0</v>
      </c>
      <c r="L289" s="34" t="s">
        <v>48</v>
      </c>
      <c r="M289" s="33" t="n">
        <f>88700</f>
        <v>88700.0</v>
      </c>
      <c r="N289" s="34" t="s">
        <v>107</v>
      </c>
      <c r="O289" s="33" t="n">
        <f>67500</f>
        <v>67500.0</v>
      </c>
      <c r="P289" s="34" t="s">
        <v>92</v>
      </c>
      <c r="Q289" s="33" t="n">
        <f>84700</f>
        <v>84700.0</v>
      </c>
      <c r="R289" s="34" t="s">
        <v>49</v>
      </c>
      <c r="S289" s="35" t="n">
        <f>79114.29</f>
        <v>79114.29</v>
      </c>
      <c r="T289" s="32" t="n">
        <f>82964</f>
        <v>82964.0</v>
      </c>
      <c r="U289" s="32" t="n">
        <f>11477</f>
        <v>11477.0</v>
      </c>
      <c r="V289" s="32" t="n">
        <f>6464848210</f>
        <v>6.46484821E9</v>
      </c>
      <c r="W289" s="32" t="n">
        <f>872292610</f>
        <v>8.7229261E8</v>
      </c>
      <c r="X289" s="36" t="n">
        <f>21</f>
        <v>21.0</v>
      </c>
    </row>
    <row r="290">
      <c r="A290" s="27" t="s">
        <v>42</v>
      </c>
      <c r="B290" s="27" t="s">
        <v>917</v>
      </c>
      <c r="C290" s="27" t="s">
        <v>918</v>
      </c>
      <c r="D290" s="27" t="s">
        <v>919</v>
      </c>
      <c r="E290" s="28" t="s">
        <v>46</v>
      </c>
      <c r="F290" s="29" t="s">
        <v>46</v>
      </c>
      <c r="G290" s="30" t="s">
        <v>46</v>
      </c>
      <c r="H290" s="31"/>
      <c r="I290" s="31" t="s">
        <v>637</v>
      </c>
      <c r="J290" s="32" t="n">
        <v>1.0</v>
      </c>
      <c r="K290" s="33" t="n">
        <f>99800</f>
        <v>99800.0</v>
      </c>
      <c r="L290" s="34" t="s">
        <v>48</v>
      </c>
      <c r="M290" s="33" t="n">
        <f>127800</f>
        <v>127800.0</v>
      </c>
      <c r="N290" s="34" t="s">
        <v>49</v>
      </c>
      <c r="O290" s="33" t="n">
        <f>93900</f>
        <v>93900.0</v>
      </c>
      <c r="P290" s="34" t="s">
        <v>61</v>
      </c>
      <c r="Q290" s="33" t="n">
        <f>127600</f>
        <v>127600.0</v>
      </c>
      <c r="R290" s="34" t="s">
        <v>49</v>
      </c>
      <c r="S290" s="35" t="n">
        <f>110519.05</f>
        <v>110519.05</v>
      </c>
      <c r="T290" s="32" t="n">
        <f>69209</f>
        <v>69209.0</v>
      </c>
      <c r="U290" s="32" t="n">
        <f>3556</f>
        <v>3556.0</v>
      </c>
      <c r="V290" s="32" t="n">
        <f>7638096543</f>
        <v>7.638096543E9</v>
      </c>
      <c r="W290" s="32" t="n">
        <f>396013343</f>
        <v>3.96013343E8</v>
      </c>
      <c r="X290" s="36" t="n">
        <f>21</f>
        <v>21.0</v>
      </c>
    </row>
    <row r="291">
      <c r="A291" s="27" t="s">
        <v>42</v>
      </c>
      <c r="B291" s="27" t="s">
        <v>920</v>
      </c>
      <c r="C291" s="27" t="s">
        <v>921</v>
      </c>
      <c r="D291" s="27" t="s">
        <v>922</v>
      </c>
      <c r="E291" s="28" t="s">
        <v>46</v>
      </c>
      <c r="F291" s="29" t="s">
        <v>46</v>
      </c>
      <c r="G291" s="30" t="s">
        <v>46</v>
      </c>
      <c r="H291" s="31"/>
      <c r="I291" s="31" t="s">
        <v>47</v>
      </c>
      <c r="J291" s="32" t="n">
        <v>1.0</v>
      </c>
      <c r="K291" s="33" t="n">
        <f>722000</f>
        <v>722000.0</v>
      </c>
      <c r="L291" s="34" t="s">
        <v>48</v>
      </c>
      <c r="M291" s="33" t="n">
        <f>726000</f>
        <v>726000.0</v>
      </c>
      <c r="N291" s="34" t="s">
        <v>48</v>
      </c>
      <c r="O291" s="33" t="n">
        <f>608000</f>
        <v>608000.0</v>
      </c>
      <c r="P291" s="34" t="s">
        <v>73</v>
      </c>
      <c r="Q291" s="33" t="n">
        <f>643000</f>
        <v>643000.0</v>
      </c>
      <c r="R291" s="34" t="s">
        <v>49</v>
      </c>
      <c r="S291" s="35" t="n">
        <f>645857.14</f>
        <v>645857.14</v>
      </c>
      <c r="T291" s="32" t="n">
        <f>163969</f>
        <v>163969.0</v>
      </c>
      <c r="U291" s="32" t="n">
        <f>26821</f>
        <v>26821.0</v>
      </c>
      <c r="V291" s="32" t="n">
        <f>106350655473</f>
        <v>1.06350655473E11</v>
      </c>
      <c r="W291" s="32" t="n">
        <f>17396366473</f>
        <v>1.7396366473E10</v>
      </c>
      <c r="X291" s="36" t="n">
        <f>21</f>
        <v>21.0</v>
      </c>
    </row>
    <row r="292">
      <c r="A292" s="27" t="s">
        <v>42</v>
      </c>
      <c r="B292" s="27" t="s">
        <v>923</v>
      </c>
      <c r="C292" s="27" t="s">
        <v>924</v>
      </c>
      <c r="D292" s="27" t="s">
        <v>925</v>
      </c>
      <c r="E292" s="28" t="s">
        <v>46</v>
      </c>
      <c r="F292" s="29" t="s">
        <v>46</v>
      </c>
      <c r="G292" s="30" t="s">
        <v>46</v>
      </c>
      <c r="H292" s="31"/>
      <c r="I292" s="31" t="s">
        <v>47</v>
      </c>
      <c r="J292" s="32" t="n">
        <v>1.0</v>
      </c>
      <c r="K292" s="33" t="n">
        <f>639000</f>
        <v>639000.0</v>
      </c>
      <c r="L292" s="34" t="s">
        <v>48</v>
      </c>
      <c r="M292" s="33" t="n">
        <f>647000</f>
        <v>647000.0</v>
      </c>
      <c r="N292" s="34" t="s">
        <v>96</v>
      </c>
      <c r="O292" s="33" t="n">
        <f>565000</f>
        <v>565000.0</v>
      </c>
      <c r="P292" s="34" t="s">
        <v>92</v>
      </c>
      <c r="Q292" s="33" t="n">
        <f>584000</f>
        <v>584000.0</v>
      </c>
      <c r="R292" s="34" t="s">
        <v>49</v>
      </c>
      <c r="S292" s="35" t="n">
        <f>596095.24</f>
        <v>596095.24</v>
      </c>
      <c r="T292" s="32" t="n">
        <f>139173</f>
        <v>139173.0</v>
      </c>
      <c r="U292" s="32" t="n">
        <f>23829</f>
        <v>23829.0</v>
      </c>
      <c r="V292" s="32" t="n">
        <f>83036424208</f>
        <v>8.3036424208E10</v>
      </c>
      <c r="W292" s="32" t="n">
        <f>14210731208</f>
        <v>1.4210731208E10</v>
      </c>
      <c r="X292" s="36" t="n">
        <f>21</f>
        <v>21.0</v>
      </c>
    </row>
    <row r="293">
      <c r="A293" s="27" t="s">
        <v>42</v>
      </c>
      <c r="B293" s="27" t="s">
        <v>926</v>
      </c>
      <c r="C293" s="27" t="s">
        <v>927</v>
      </c>
      <c r="D293" s="27" t="s">
        <v>928</v>
      </c>
      <c r="E293" s="28" t="s">
        <v>46</v>
      </c>
      <c r="F293" s="29" t="s">
        <v>46</v>
      </c>
      <c r="G293" s="30" t="s">
        <v>46</v>
      </c>
      <c r="H293" s="31"/>
      <c r="I293" s="31" t="s">
        <v>47</v>
      </c>
      <c r="J293" s="32" t="n">
        <v>1.0</v>
      </c>
      <c r="K293" s="33" t="n">
        <f>122200</f>
        <v>122200.0</v>
      </c>
      <c r="L293" s="34" t="s">
        <v>48</v>
      </c>
      <c r="M293" s="33" t="n">
        <f>127600</f>
        <v>127600.0</v>
      </c>
      <c r="N293" s="34" t="s">
        <v>188</v>
      </c>
      <c r="O293" s="33" t="n">
        <f>98000</f>
        <v>98000.0</v>
      </c>
      <c r="P293" s="34" t="s">
        <v>50</v>
      </c>
      <c r="Q293" s="33" t="n">
        <f>118400</f>
        <v>118400.0</v>
      </c>
      <c r="R293" s="34" t="s">
        <v>49</v>
      </c>
      <c r="S293" s="35" t="n">
        <f>114057.14</f>
        <v>114057.14</v>
      </c>
      <c r="T293" s="32" t="n">
        <f>671192</f>
        <v>671192.0</v>
      </c>
      <c r="U293" s="32" t="n">
        <f>71780</f>
        <v>71780.0</v>
      </c>
      <c r="V293" s="32" t="n">
        <f>76436297150</f>
        <v>7.643629715E10</v>
      </c>
      <c r="W293" s="32" t="n">
        <f>8190522650</f>
        <v>8.19052265E9</v>
      </c>
      <c r="X293" s="36" t="n">
        <f>21</f>
        <v>21.0</v>
      </c>
    </row>
    <row r="294">
      <c r="A294" s="27" t="s">
        <v>42</v>
      </c>
      <c r="B294" s="27" t="s">
        <v>929</v>
      </c>
      <c r="C294" s="27" t="s">
        <v>930</v>
      </c>
      <c r="D294" s="27" t="s">
        <v>931</v>
      </c>
      <c r="E294" s="28" t="s">
        <v>46</v>
      </c>
      <c r="F294" s="29" t="s">
        <v>46</v>
      </c>
      <c r="G294" s="30" t="s">
        <v>46</v>
      </c>
      <c r="H294" s="31"/>
      <c r="I294" s="31" t="s">
        <v>47</v>
      </c>
      <c r="J294" s="32" t="n">
        <v>1.0</v>
      </c>
      <c r="K294" s="33" t="n">
        <f>143500</f>
        <v>143500.0</v>
      </c>
      <c r="L294" s="34" t="s">
        <v>48</v>
      </c>
      <c r="M294" s="33" t="n">
        <f>145300</f>
        <v>145300.0</v>
      </c>
      <c r="N294" s="34" t="s">
        <v>96</v>
      </c>
      <c r="O294" s="33" t="n">
        <f>119200</f>
        <v>119200.0</v>
      </c>
      <c r="P294" s="34" t="s">
        <v>92</v>
      </c>
      <c r="Q294" s="33" t="n">
        <f>129700</f>
        <v>129700.0</v>
      </c>
      <c r="R294" s="34" t="s">
        <v>49</v>
      </c>
      <c r="S294" s="35" t="n">
        <f>132604.76</f>
        <v>132604.76</v>
      </c>
      <c r="T294" s="32" t="n">
        <f>397049</f>
        <v>397049.0</v>
      </c>
      <c r="U294" s="32" t="n">
        <f>53794</f>
        <v>53794.0</v>
      </c>
      <c r="V294" s="32" t="n">
        <f>52542419448</f>
        <v>5.2542419448E10</v>
      </c>
      <c r="W294" s="32" t="n">
        <f>7176779048</f>
        <v>7.176779048E9</v>
      </c>
      <c r="X294" s="36" t="n">
        <f>21</f>
        <v>21.0</v>
      </c>
    </row>
    <row r="295">
      <c r="A295" s="27" t="s">
        <v>42</v>
      </c>
      <c r="B295" s="27" t="s">
        <v>932</v>
      </c>
      <c r="C295" s="27" t="s">
        <v>933</v>
      </c>
      <c r="D295" s="27" t="s">
        <v>934</v>
      </c>
      <c r="E295" s="28" t="s">
        <v>46</v>
      </c>
      <c r="F295" s="29" t="s">
        <v>46</v>
      </c>
      <c r="G295" s="30" t="s">
        <v>46</v>
      </c>
      <c r="H295" s="31"/>
      <c r="I295" s="31" t="s">
        <v>47</v>
      </c>
      <c r="J295" s="32" t="n">
        <v>1.0</v>
      </c>
      <c r="K295" s="33" t="n">
        <f>322500</f>
        <v>322500.0</v>
      </c>
      <c r="L295" s="34" t="s">
        <v>48</v>
      </c>
      <c r="M295" s="33" t="n">
        <f>366000</f>
        <v>366000.0</v>
      </c>
      <c r="N295" s="34" t="s">
        <v>96</v>
      </c>
      <c r="O295" s="33" t="n">
        <f>294000</f>
        <v>294000.0</v>
      </c>
      <c r="P295" s="34" t="s">
        <v>92</v>
      </c>
      <c r="Q295" s="33" t="n">
        <f>299000</f>
        <v>299000.0</v>
      </c>
      <c r="R295" s="34" t="s">
        <v>49</v>
      </c>
      <c r="S295" s="35" t="n">
        <f>315661.9</f>
        <v>315661.9</v>
      </c>
      <c r="T295" s="32" t="n">
        <f>141865</f>
        <v>141865.0</v>
      </c>
      <c r="U295" s="32" t="n">
        <f>14496</f>
        <v>14496.0</v>
      </c>
      <c r="V295" s="32" t="n">
        <f>44636047225</f>
        <v>4.4636047225E10</v>
      </c>
      <c r="W295" s="32" t="n">
        <f>4606504925</f>
        <v>4.606504925E9</v>
      </c>
      <c r="X295" s="36" t="n">
        <f>21</f>
        <v>21.0</v>
      </c>
    </row>
    <row r="296">
      <c r="A296" s="27" t="s">
        <v>42</v>
      </c>
      <c r="B296" s="27" t="s">
        <v>935</v>
      </c>
      <c r="C296" s="27" t="s">
        <v>936</v>
      </c>
      <c r="D296" s="27" t="s">
        <v>937</v>
      </c>
      <c r="E296" s="28" t="s">
        <v>46</v>
      </c>
      <c r="F296" s="29" t="s">
        <v>46</v>
      </c>
      <c r="G296" s="30" t="s">
        <v>46</v>
      </c>
      <c r="H296" s="31"/>
      <c r="I296" s="31" t="s">
        <v>47</v>
      </c>
      <c r="J296" s="32" t="n">
        <v>1.0</v>
      </c>
      <c r="K296" s="33" t="n">
        <f>116300</f>
        <v>116300.0</v>
      </c>
      <c r="L296" s="34" t="s">
        <v>48</v>
      </c>
      <c r="M296" s="33" t="n">
        <f>117000</f>
        <v>117000.0</v>
      </c>
      <c r="N296" s="34" t="s">
        <v>48</v>
      </c>
      <c r="O296" s="33" t="n">
        <f>94100</f>
        <v>94100.0</v>
      </c>
      <c r="P296" s="34" t="s">
        <v>92</v>
      </c>
      <c r="Q296" s="33" t="n">
        <f>108200</f>
        <v>108200.0</v>
      </c>
      <c r="R296" s="34" t="s">
        <v>49</v>
      </c>
      <c r="S296" s="35" t="n">
        <f>107228.57</f>
        <v>107228.57</v>
      </c>
      <c r="T296" s="32" t="n">
        <f>201467</f>
        <v>201467.0</v>
      </c>
      <c r="U296" s="32" t="n">
        <f>28855</f>
        <v>28855.0</v>
      </c>
      <c r="V296" s="32" t="n">
        <f>21381414634</f>
        <v>2.1381414634E10</v>
      </c>
      <c r="W296" s="32" t="n">
        <f>3090004434</f>
        <v>3.090004434E9</v>
      </c>
      <c r="X296" s="36" t="n">
        <f>21</f>
        <v>21.0</v>
      </c>
    </row>
    <row r="297">
      <c r="A297" s="27" t="s">
        <v>42</v>
      </c>
      <c r="B297" s="27" t="s">
        <v>938</v>
      </c>
      <c r="C297" s="27" t="s">
        <v>939</v>
      </c>
      <c r="D297" s="27" t="s">
        <v>940</v>
      </c>
      <c r="E297" s="28" t="s">
        <v>46</v>
      </c>
      <c r="F297" s="29" t="s">
        <v>46</v>
      </c>
      <c r="G297" s="30" t="s">
        <v>46</v>
      </c>
      <c r="H297" s="31"/>
      <c r="I297" s="31" t="s">
        <v>47</v>
      </c>
      <c r="J297" s="32" t="n">
        <v>1.0</v>
      </c>
      <c r="K297" s="33" t="n">
        <f>140000</f>
        <v>140000.0</v>
      </c>
      <c r="L297" s="34" t="s">
        <v>48</v>
      </c>
      <c r="M297" s="33" t="n">
        <f>149600</f>
        <v>149600.0</v>
      </c>
      <c r="N297" s="34" t="s">
        <v>107</v>
      </c>
      <c r="O297" s="33" t="n">
        <f>113100</f>
        <v>113100.0</v>
      </c>
      <c r="P297" s="34" t="s">
        <v>92</v>
      </c>
      <c r="Q297" s="33" t="n">
        <f>144000</f>
        <v>144000.0</v>
      </c>
      <c r="R297" s="34" t="s">
        <v>49</v>
      </c>
      <c r="S297" s="35" t="n">
        <f>132809.52</f>
        <v>132809.52</v>
      </c>
      <c r="T297" s="32" t="n">
        <f>116023</f>
        <v>116023.0</v>
      </c>
      <c r="U297" s="32" t="n">
        <f>15292</f>
        <v>15292.0</v>
      </c>
      <c r="V297" s="32" t="n">
        <f>15272252154</f>
        <v>1.5272252154E10</v>
      </c>
      <c r="W297" s="32" t="n">
        <f>2035319754</f>
        <v>2.035319754E9</v>
      </c>
      <c r="X297" s="36" t="n">
        <f>21</f>
        <v>21.0</v>
      </c>
    </row>
    <row r="298">
      <c r="A298" s="27" t="s">
        <v>42</v>
      </c>
      <c r="B298" s="27" t="s">
        <v>941</v>
      </c>
      <c r="C298" s="27" t="s">
        <v>942</v>
      </c>
      <c r="D298" s="27" t="s">
        <v>943</v>
      </c>
      <c r="E298" s="28" t="s">
        <v>46</v>
      </c>
      <c r="F298" s="29" t="s">
        <v>46</v>
      </c>
      <c r="G298" s="30" t="s">
        <v>46</v>
      </c>
      <c r="H298" s="31"/>
      <c r="I298" s="31" t="s">
        <v>47</v>
      </c>
      <c r="J298" s="32" t="n">
        <v>1.0</v>
      </c>
      <c r="K298" s="33" t="n">
        <f>90200</f>
        <v>90200.0</v>
      </c>
      <c r="L298" s="34" t="s">
        <v>48</v>
      </c>
      <c r="M298" s="33" t="n">
        <f>93300</f>
        <v>93300.0</v>
      </c>
      <c r="N298" s="34" t="s">
        <v>107</v>
      </c>
      <c r="O298" s="33" t="n">
        <f>77100</f>
        <v>77100.0</v>
      </c>
      <c r="P298" s="34" t="s">
        <v>92</v>
      </c>
      <c r="Q298" s="33" t="n">
        <f>92100</f>
        <v>92100.0</v>
      </c>
      <c r="R298" s="34" t="s">
        <v>49</v>
      </c>
      <c r="S298" s="35" t="n">
        <f>87314.29</f>
        <v>87314.29</v>
      </c>
      <c r="T298" s="32" t="n">
        <f>136177</f>
        <v>136177.0</v>
      </c>
      <c r="U298" s="32" t="n">
        <f>14826</f>
        <v>14826.0</v>
      </c>
      <c r="V298" s="32" t="n">
        <f>11711623553</f>
        <v>1.1711623553E10</v>
      </c>
      <c r="W298" s="32" t="n">
        <f>1274101853</f>
        <v>1.274101853E9</v>
      </c>
      <c r="X298" s="36" t="n">
        <f>21</f>
        <v>21.0</v>
      </c>
    </row>
    <row r="299">
      <c r="A299" s="27" t="s">
        <v>42</v>
      </c>
      <c r="B299" s="27" t="s">
        <v>944</v>
      </c>
      <c r="C299" s="27" t="s">
        <v>945</v>
      </c>
      <c r="D299" s="27" t="s">
        <v>946</v>
      </c>
      <c r="E299" s="28" t="s">
        <v>46</v>
      </c>
      <c r="F299" s="29" t="s">
        <v>46</v>
      </c>
      <c r="G299" s="30" t="s">
        <v>46</v>
      </c>
      <c r="H299" s="31"/>
      <c r="I299" s="31" t="s">
        <v>47</v>
      </c>
      <c r="J299" s="32" t="n">
        <v>1.0</v>
      </c>
      <c r="K299" s="33" t="n">
        <f>108000</f>
        <v>108000.0</v>
      </c>
      <c r="L299" s="34" t="s">
        <v>48</v>
      </c>
      <c r="M299" s="33" t="n">
        <f>117900</f>
        <v>117900.0</v>
      </c>
      <c r="N299" s="34" t="s">
        <v>188</v>
      </c>
      <c r="O299" s="33" t="n">
        <f>91500</f>
        <v>91500.0</v>
      </c>
      <c r="P299" s="34" t="s">
        <v>61</v>
      </c>
      <c r="Q299" s="33" t="n">
        <f>108800</f>
        <v>108800.0</v>
      </c>
      <c r="R299" s="34" t="s">
        <v>49</v>
      </c>
      <c r="S299" s="35" t="n">
        <f>107519.05</f>
        <v>107519.05</v>
      </c>
      <c r="T299" s="32" t="n">
        <f>528466</f>
        <v>528466.0</v>
      </c>
      <c r="U299" s="32" t="n">
        <f>110172</f>
        <v>110172.0</v>
      </c>
      <c r="V299" s="32" t="n">
        <f>56343401491</f>
        <v>5.6343401491E10</v>
      </c>
      <c r="W299" s="32" t="n">
        <f>11801164591</f>
        <v>1.1801164591E10</v>
      </c>
      <c r="X299" s="36" t="n">
        <f>21</f>
        <v>21.0</v>
      </c>
    </row>
    <row r="300">
      <c r="A300" s="27" t="s">
        <v>42</v>
      </c>
      <c r="B300" s="27" t="s">
        <v>947</v>
      </c>
      <c r="C300" s="27" t="s">
        <v>948</v>
      </c>
      <c r="D300" s="27" t="s">
        <v>949</v>
      </c>
      <c r="E300" s="28" t="s">
        <v>46</v>
      </c>
      <c r="F300" s="29" t="s">
        <v>46</v>
      </c>
      <c r="G300" s="30" t="s">
        <v>46</v>
      </c>
      <c r="H300" s="31"/>
      <c r="I300" s="31" t="s">
        <v>47</v>
      </c>
      <c r="J300" s="32" t="n">
        <v>1.0</v>
      </c>
      <c r="K300" s="33" t="n">
        <f>129800</f>
        <v>129800.0</v>
      </c>
      <c r="L300" s="34" t="s">
        <v>48</v>
      </c>
      <c r="M300" s="33" t="n">
        <f>129800</f>
        <v>129800.0</v>
      </c>
      <c r="N300" s="34" t="s">
        <v>48</v>
      </c>
      <c r="O300" s="33" t="n">
        <f>110300</f>
        <v>110300.0</v>
      </c>
      <c r="P300" s="34" t="s">
        <v>92</v>
      </c>
      <c r="Q300" s="33" t="n">
        <f>119900</f>
        <v>119900.0</v>
      </c>
      <c r="R300" s="34" t="s">
        <v>49</v>
      </c>
      <c r="S300" s="35" t="n">
        <f>120438.1</f>
        <v>120438.1</v>
      </c>
      <c r="T300" s="32" t="n">
        <f>127043</f>
        <v>127043.0</v>
      </c>
      <c r="U300" s="32" t="n">
        <f>16614</f>
        <v>16614.0</v>
      </c>
      <c r="V300" s="32" t="n">
        <f>15238383229</f>
        <v>1.5238383229E10</v>
      </c>
      <c r="W300" s="32" t="n">
        <f>2002280229</f>
        <v>2.002280229E9</v>
      </c>
      <c r="X300" s="36" t="n">
        <f>21</f>
        <v>21.0</v>
      </c>
    </row>
    <row r="301">
      <c r="A301" s="27" t="s">
        <v>42</v>
      </c>
      <c r="B301" s="27" t="s">
        <v>950</v>
      </c>
      <c r="C301" s="27" t="s">
        <v>951</v>
      </c>
      <c r="D301" s="27" t="s">
        <v>952</v>
      </c>
      <c r="E301" s="28" t="s">
        <v>46</v>
      </c>
      <c r="F301" s="29" t="s">
        <v>46</v>
      </c>
      <c r="G301" s="30" t="s">
        <v>46</v>
      </c>
      <c r="H301" s="31"/>
      <c r="I301" s="31" t="s">
        <v>47</v>
      </c>
      <c r="J301" s="32" t="n">
        <v>1.0</v>
      </c>
      <c r="K301" s="33" t="n">
        <f>24120</f>
        <v>24120.0</v>
      </c>
      <c r="L301" s="34" t="s">
        <v>48</v>
      </c>
      <c r="M301" s="33" t="n">
        <f>32000</f>
        <v>32000.0</v>
      </c>
      <c r="N301" s="34" t="s">
        <v>103</v>
      </c>
      <c r="O301" s="33" t="n">
        <f>20610</f>
        <v>20610.0</v>
      </c>
      <c r="P301" s="34" t="s">
        <v>61</v>
      </c>
      <c r="Q301" s="33" t="n">
        <f>27970</f>
        <v>27970.0</v>
      </c>
      <c r="R301" s="34" t="s">
        <v>49</v>
      </c>
      <c r="S301" s="35" t="n">
        <f>26605.24</f>
        <v>26605.24</v>
      </c>
      <c r="T301" s="32" t="n">
        <f>2539498</f>
        <v>2539498.0</v>
      </c>
      <c r="U301" s="32" t="n">
        <f>206009</f>
        <v>206009.0</v>
      </c>
      <c r="V301" s="32" t="n">
        <f>68318862745</f>
        <v>6.8318862745E10</v>
      </c>
      <c r="W301" s="32" t="n">
        <f>5390278115</f>
        <v>5.390278115E9</v>
      </c>
      <c r="X301" s="36" t="n">
        <f>21</f>
        <v>21.0</v>
      </c>
    </row>
    <row r="302">
      <c r="A302" s="27" t="s">
        <v>42</v>
      </c>
      <c r="B302" s="27" t="s">
        <v>953</v>
      </c>
      <c r="C302" s="27" t="s">
        <v>954</v>
      </c>
      <c r="D302" s="27" t="s">
        <v>955</v>
      </c>
      <c r="E302" s="28" t="s">
        <v>46</v>
      </c>
      <c r="F302" s="29" t="s">
        <v>46</v>
      </c>
      <c r="G302" s="30" t="s">
        <v>46</v>
      </c>
      <c r="H302" s="31"/>
      <c r="I302" s="31" t="s">
        <v>47</v>
      </c>
      <c r="J302" s="32" t="n">
        <v>1.0</v>
      </c>
      <c r="K302" s="33" t="n">
        <f>313000</f>
        <v>313000.0</v>
      </c>
      <c r="L302" s="34" t="s">
        <v>48</v>
      </c>
      <c r="M302" s="33" t="n">
        <f>321500</f>
        <v>321500.0</v>
      </c>
      <c r="N302" s="34" t="s">
        <v>188</v>
      </c>
      <c r="O302" s="33" t="n">
        <f>273800</f>
        <v>273800.0</v>
      </c>
      <c r="P302" s="34" t="s">
        <v>61</v>
      </c>
      <c r="Q302" s="33" t="n">
        <f>304000</f>
        <v>304000.0</v>
      </c>
      <c r="R302" s="34" t="s">
        <v>49</v>
      </c>
      <c r="S302" s="35" t="n">
        <f>302642.86</f>
        <v>302642.86</v>
      </c>
      <c r="T302" s="32" t="n">
        <f>92823</f>
        <v>92823.0</v>
      </c>
      <c r="U302" s="32" t="n">
        <f>10251</f>
        <v>10251.0</v>
      </c>
      <c r="V302" s="32" t="n">
        <f>27902097441</f>
        <v>2.7902097441E10</v>
      </c>
      <c r="W302" s="32" t="n">
        <f>3101432741</f>
        <v>3.101432741E9</v>
      </c>
      <c r="X302" s="36" t="n">
        <f>21</f>
        <v>21.0</v>
      </c>
    </row>
    <row r="303">
      <c r="A303" s="27" t="s">
        <v>42</v>
      </c>
      <c r="B303" s="27" t="s">
        <v>956</v>
      </c>
      <c r="C303" s="27" t="s">
        <v>957</v>
      </c>
      <c r="D303" s="27" t="s">
        <v>958</v>
      </c>
      <c r="E303" s="28" t="s">
        <v>46</v>
      </c>
      <c r="F303" s="29" t="s">
        <v>46</v>
      </c>
      <c r="G303" s="30" t="s">
        <v>46</v>
      </c>
      <c r="H303" s="31"/>
      <c r="I303" s="31" t="s">
        <v>47</v>
      </c>
      <c r="J303" s="32" t="n">
        <v>1.0</v>
      </c>
      <c r="K303" s="33" t="n">
        <f>100100</f>
        <v>100100.0</v>
      </c>
      <c r="L303" s="34" t="s">
        <v>48</v>
      </c>
      <c r="M303" s="33" t="n">
        <f>100100</f>
        <v>100100.0</v>
      </c>
      <c r="N303" s="34" t="s">
        <v>48</v>
      </c>
      <c r="O303" s="33" t="n">
        <f>83500</f>
        <v>83500.0</v>
      </c>
      <c r="P303" s="34" t="s">
        <v>92</v>
      </c>
      <c r="Q303" s="33" t="n">
        <f>95500</f>
        <v>95500.0</v>
      </c>
      <c r="R303" s="34" t="s">
        <v>49</v>
      </c>
      <c r="S303" s="35" t="n">
        <f>92328.57</f>
        <v>92328.57</v>
      </c>
      <c r="T303" s="32" t="n">
        <f>96422</f>
        <v>96422.0</v>
      </c>
      <c r="U303" s="32" t="n">
        <f>10917</f>
        <v>10917.0</v>
      </c>
      <c r="V303" s="32" t="n">
        <f>8878345975</f>
        <v>8.878345975E9</v>
      </c>
      <c r="W303" s="32" t="n">
        <f>1013747875</f>
        <v>1.013747875E9</v>
      </c>
      <c r="X303" s="36" t="n">
        <f>21</f>
        <v>21.0</v>
      </c>
    </row>
    <row r="304">
      <c r="A304" s="27" t="s">
        <v>42</v>
      </c>
      <c r="B304" s="27" t="s">
        <v>959</v>
      </c>
      <c r="C304" s="27" t="s">
        <v>960</v>
      </c>
      <c r="D304" s="27" t="s">
        <v>961</v>
      </c>
      <c r="E304" s="28" t="s">
        <v>46</v>
      </c>
      <c r="F304" s="29" t="s">
        <v>46</v>
      </c>
      <c r="G304" s="30" t="s">
        <v>46</v>
      </c>
      <c r="H304" s="31"/>
      <c r="I304" s="31" t="s">
        <v>47</v>
      </c>
      <c r="J304" s="32" t="n">
        <v>1.0</v>
      </c>
      <c r="K304" s="33" t="n">
        <f>243400</f>
        <v>243400.0</v>
      </c>
      <c r="L304" s="34" t="s">
        <v>48</v>
      </c>
      <c r="M304" s="33" t="n">
        <f>260300</f>
        <v>260300.0</v>
      </c>
      <c r="N304" s="34" t="s">
        <v>49</v>
      </c>
      <c r="O304" s="33" t="n">
        <f>212600</f>
        <v>212600.0</v>
      </c>
      <c r="P304" s="34" t="s">
        <v>61</v>
      </c>
      <c r="Q304" s="33" t="n">
        <f>253900</f>
        <v>253900.0</v>
      </c>
      <c r="R304" s="34" t="s">
        <v>49</v>
      </c>
      <c r="S304" s="35" t="n">
        <f>241400</f>
        <v>241400.0</v>
      </c>
      <c r="T304" s="32" t="n">
        <f>117732</f>
        <v>117732.0</v>
      </c>
      <c r="U304" s="32" t="n">
        <f>15832</f>
        <v>15832.0</v>
      </c>
      <c r="V304" s="32" t="n">
        <f>28205320206</f>
        <v>2.8205320206E10</v>
      </c>
      <c r="W304" s="32" t="n">
        <f>3802115006</f>
        <v>3.802115006E9</v>
      </c>
      <c r="X304" s="36" t="n">
        <f>21</f>
        <v>21.0</v>
      </c>
    </row>
    <row r="305">
      <c r="A305" s="27" t="s">
        <v>42</v>
      </c>
      <c r="B305" s="27" t="s">
        <v>962</v>
      </c>
      <c r="C305" s="27" t="s">
        <v>963</v>
      </c>
      <c r="D305" s="27" t="s">
        <v>964</v>
      </c>
      <c r="E305" s="28" t="s">
        <v>46</v>
      </c>
      <c r="F305" s="29" t="s">
        <v>46</v>
      </c>
      <c r="G305" s="30" t="s">
        <v>46</v>
      </c>
      <c r="H305" s="31"/>
      <c r="I305" s="31" t="s">
        <v>47</v>
      </c>
      <c r="J305" s="32" t="n">
        <v>1.0</v>
      </c>
      <c r="K305" s="33" t="n">
        <f>104200</f>
        <v>104200.0</v>
      </c>
      <c r="L305" s="34" t="s">
        <v>48</v>
      </c>
      <c r="M305" s="33" t="n">
        <f>112000</f>
        <v>112000.0</v>
      </c>
      <c r="N305" s="34" t="s">
        <v>107</v>
      </c>
      <c r="O305" s="33" t="n">
        <f>96600</f>
        <v>96600.0</v>
      </c>
      <c r="P305" s="34" t="s">
        <v>92</v>
      </c>
      <c r="Q305" s="33" t="n">
        <f>108700</f>
        <v>108700.0</v>
      </c>
      <c r="R305" s="34" t="s">
        <v>49</v>
      </c>
      <c r="S305" s="35" t="n">
        <f>104166.67</f>
        <v>104166.67</v>
      </c>
      <c r="T305" s="32" t="n">
        <f>131443</f>
        <v>131443.0</v>
      </c>
      <c r="U305" s="32" t="n">
        <f>13208</f>
        <v>13208.0</v>
      </c>
      <c r="V305" s="32" t="n">
        <f>13645072225</f>
        <v>1.3645072225E10</v>
      </c>
      <c r="W305" s="32" t="n">
        <f>1372967225</f>
        <v>1.372967225E9</v>
      </c>
      <c r="X305" s="36" t="n">
        <f>21</f>
        <v>21.0</v>
      </c>
    </row>
    <row r="306">
      <c r="A306" s="27" t="s">
        <v>42</v>
      </c>
      <c r="B306" s="27" t="s">
        <v>965</v>
      </c>
      <c r="C306" s="27" t="s">
        <v>966</v>
      </c>
      <c r="D306" s="27" t="s">
        <v>967</v>
      </c>
      <c r="E306" s="28" t="s">
        <v>46</v>
      </c>
      <c r="F306" s="29" t="s">
        <v>46</v>
      </c>
      <c r="G306" s="30" t="s">
        <v>46</v>
      </c>
      <c r="H306" s="31"/>
      <c r="I306" s="31" t="s">
        <v>47</v>
      </c>
      <c r="J306" s="32" t="n">
        <v>1.0</v>
      </c>
      <c r="K306" s="33" t="n">
        <f>566000</f>
        <v>566000.0</v>
      </c>
      <c r="L306" s="34" t="s">
        <v>48</v>
      </c>
      <c r="M306" s="33" t="n">
        <f>574000</f>
        <v>574000.0</v>
      </c>
      <c r="N306" s="34" t="s">
        <v>87</v>
      </c>
      <c r="O306" s="33" t="n">
        <f>462500</f>
        <v>462500.0</v>
      </c>
      <c r="P306" s="34" t="s">
        <v>92</v>
      </c>
      <c r="Q306" s="33" t="n">
        <f>539000</f>
        <v>539000.0</v>
      </c>
      <c r="R306" s="34" t="s">
        <v>49</v>
      </c>
      <c r="S306" s="35" t="n">
        <f>531785.71</f>
        <v>531785.71</v>
      </c>
      <c r="T306" s="32" t="n">
        <f>79793</f>
        <v>79793.0</v>
      </c>
      <c r="U306" s="32" t="n">
        <f>12937</f>
        <v>12937.0</v>
      </c>
      <c r="V306" s="32" t="n">
        <f>42276737018</f>
        <v>4.2276737018E10</v>
      </c>
      <c r="W306" s="32" t="n">
        <f>6874166018</f>
        <v>6.874166018E9</v>
      </c>
      <c r="X306" s="36" t="n">
        <f>21</f>
        <v>21.0</v>
      </c>
    </row>
    <row r="307">
      <c r="A307" s="27" t="s">
        <v>42</v>
      </c>
      <c r="B307" s="27" t="s">
        <v>968</v>
      </c>
      <c r="C307" s="27" t="s">
        <v>969</v>
      </c>
      <c r="D307" s="27" t="s">
        <v>970</v>
      </c>
      <c r="E307" s="28" t="s">
        <v>46</v>
      </c>
      <c r="F307" s="29" t="s">
        <v>46</v>
      </c>
      <c r="G307" s="30" t="s">
        <v>46</v>
      </c>
      <c r="H307" s="31"/>
      <c r="I307" s="31" t="s">
        <v>47</v>
      </c>
      <c r="J307" s="32" t="n">
        <v>1.0</v>
      </c>
      <c r="K307" s="33" t="n">
        <f>74700</f>
        <v>74700.0</v>
      </c>
      <c r="L307" s="34" t="s">
        <v>48</v>
      </c>
      <c r="M307" s="33" t="n">
        <f>74700</f>
        <v>74700.0</v>
      </c>
      <c r="N307" s="34" t="s">
        <v>48</v>
      </c>
      <c r="O307" s="33" t="n">
        <f>59400</f>
        <v>59400.0</v>
      </c>
      <c r="P307" s="34" t="s">
        <v>92</v>
      </c>
      <c r="Q307" s="33" t="n">
        <f>68400</f>
        <v>68400.0</v>
      </c>
      <c r="R307" s="34" t="s">
        <v>49</v>
      </c>
      <c r="S307" s="35" t="n">
        <f>66780.95</f>
        <v>66780.95</v>
      </c>
      <c r="T307" s="32" t="n">
        <f>244463</f>
        <v>244463.0</v>
      </c>
      <c r="U307" s="32" t="n">
        <f>38215</f>
        <v>38215.0</v>
      </c>
      <c r="V307" s="32" t="n">
        <f>16248482247</f>
        <v>1.6248482247E10</v>
      </c>
      <c r="W307" s="32" t="n">
        <f>2548754047</f>
        <v>2.548754047E9</v>
      </c>
      <c r="X307" s="36" t="n">
        <f>21</f>
        <v>21.0</v>
      </c>
    </row>
    <row r="308">
      <c r="A308" s="27" t="s">
        <v>42</v>
      </c>
      <c r="B308" s="27" t="s">
        <v>971</v>
      </c>
      <c r="C308" s="27" t="s">
        <v>972</v>
      </c>
      <c r="D308" s="27" t="s">
        <v>973</v>
      </c>
      <c r="E308" s="28" t="s">
        <v>46</v>
      </c>
      <c r="F308" s="29" t="s">
        <v>46</v>
      </c>
      <c r="G308" s="30" t="s">
        <v>46</v>
      </c>
      <c r="H308" s="31"/>
      <c r="I308" s="31" t="s">
        <v>47</v>
      </c>
      <c r="J308" s="32" t="n">
        <v>1.0</v>
      </c>
      <c r="K308" s="33" t="n">
        <f>604000</f>
        <v>604000.0</v>
      </c>
      <c r="L308" s="34" t="s">
        <v>48</v>
      </c>
      <c r="M308" s="33" t="n">
        <f>629000</f>
        <v>629000.0</v>
      </c>
      <c r="N308" s="34" t="s">
        <v>103</v>
      </c>
      <c r="O308" s="33" t="n">
        <f>541000</f>
        <v>541000.0</v>
      </c>
      <c r="P308" s="34" t="s">
        <v>61</v>
      </c>
      <c r="Q308" s="33" t="n">
        <f>597000</f>
        <v>597000.0</v>
      </c>
      <c r="R308" s="34" t="s">
        <v>49</v>
      </c>
      <c r="S308" s="35" t="n">
        <f>583380.95</f>
        <v>583380.95</v>
      </c>
      <c r="T308" s="32" t="n">
        <f>57470</f>
        <v>57470.0</v>
      </c>
      <c r="U308" s="32" t="n">
        <f>6287</f>
        <v>6287.0</v>
      </c>
      <c r="V308" s="32" t="n">
        <f>33226847059</f>
        <v>3.3226847059E10</v>
      </c>
      <c r="W308" s="32" t="n">
        <f>3646994059</f>
        <v>3.646994059E9</v>
      </c>
      <c r="X308" s="36" t="n">
        <f>21</f>
        <v>21.0</v>
      </c>
    </row>
    <row r="309">
      <c r="A309" s="27" t="s">
        <v>42</v>
      </c>
      <c r="B309" s="27" t="s">
        <v>974</v>
      </c>
      <c r="C309" s="27" t="s">
        <v>975</v>
      </c>
      <c r="D309" s="27" t="s">
        <v>976</v>
      </c>
      <c r="E309" s="28" t="s">
        <v>46</v>
      </c>
      <c r="F309" s="29" t="s">
        <v>46</v>
      </c>
      <c r="G309" s="30" t="s">
        <v>46</v>
      </c>
      <c r="H309" s="31"/>
      <c r="I309" s="31" t="s">
        <v>637</v>
      </c>
      <c r="J309" s="32" t="n">
        <v>1.0</v>
      </c>
      <c r="K309" s="33" t="n">
        <f>117200</f>
        <v>117200.0</v>
      </c>
      <c r="L309" s="34" t="s">
        <v>48</v>
      </c>
      <c r="M309" s="33" t="n">
        <f>119000</f>
        <v>119000.0</v>
      </c>
      <c r="N309" s="34" t="s">
        <v>49</v>
      </c>
      <c r="O309" s="33" t="n">
        <f>101600</f>
        <v>101600.0</v>
      </c>
      <c r="P309" s="34" t="s">
        <v>61</v>
      </c>
      <c r="Q309" s="33" t="n">
        <f>116700</f>
        <v>116700.0</v>
      </c>
      <c r="R309" s="34" t="s">
        <v>49</v>
      </c>
      <c r="S309" s="35" t="n">
        <f>111952.38</f>
        <v>111952.38</v>
      </c>
      <c r="T309" s="32" t="n">
        <f>70247</f>
        <v>70247.0</v>
      </c>
      <c r="U309" s="32" t="n">
        <f>7861</f>
        <v>7861.0</v>
      </c>
      <c r="V309" s="32" t="n">
        <f>7809841921</f>
        <v>7.809841921E9</v>
      </c>
      <c r="W309" s="32" t="n">
        <f>874884521</f>
        <v>8.74884521E8</v>
      </c>
      <c r="X309" s="36" t="n">
        <f>21</f>
        <v>21.0</v>
      </c>
    </row>
    <row r="310">
      <c r="A310" s="27" t="s">
        <v>42</v>
      </c>
      <c r="B310" s="27" t="s">
        <v>977</v>
      </c>
      <c r="C310" s="27" t="s">
        <v>978</v>
      </c>
      <c r="D310" s="27" t="s">
        <v>979</v>
      </c>
      <c r="E310" s="28" t="s">
        <v>46</v>
      </c>
      <c r="F310" s="29" t="s">
        <v>46</v>
      </c>
      <c r="G310" s="30" t="s">
        <v>46</v>
      </c>
      <c r="H310" s="31"/>
      <c r="I310" s="31" t="s">
        <v>637</v>
      </c>
      <c r="J310" s="32" t="n">
        <v>1.0</v>
      </c>
      <c r="K310" s="33" t="n">
        <f>178500</f>
        <v>178500.0</v>
      </c>
      <c r="L310" s="34" t="s">
        <v>48</v>
      </c>
      <c r="M310" s="33" t="n">
        <f>192400</f>
        <v>192400.0</v>
      </c>
      <c r="N310" s="34" t="s">
        <v>307</v>
      </c>
      <c r="O310" s="33" t="n">
        <f>163000</f>
        <v>163000.0</v>
      </c>
      <c r="P310" s="34" t="s">
        <v>61</v>
      </c>
      <c r="Q310" s="33" t="n">
        <f>183400</f>
        <v>183400.0</v>
      </c>
      <c r="R310" s="34" t="s">
        <v>49</v>
      </c>
      <c r="S310" s="35" t="n">
        <f>183495.24</f>
        <v>183495.24</v>
      </c>
      <c r="T310" s="32" t="n">
        <f>21462</f>
        <v>21462.0</v>
      </c>
      <c r="U310" s="32" t="n">
        <f>2300</f>
        <v>2300.0</v>
      </c>
      <c r="V310" s="32" t="n">
        <f>3914330852</f>
        <v>3.914330852E9</v>
      </c>
      <c r="W310" s="32" t="n">
        <f>421725352</f>
        <v>4.21725352E8</v>
      </c>
      <c r="X310" s="36" t="n">
        <f>21</f>
        <v>21.0</v>
      </c>
    </row>
    <row r="311">
      <c r="A311" s="27" t="s">
        <v>42</v>
      </c>
      <c r="B311" s="27" t="s">
        <v>980</v>
      </c>
      <c r="C311" s="27" t="s">
        <v>981</v>
      </c>
      <c r="D311" s="27" t="s">
        <v>982</v>
      </c>
      <c r="E311" s="28" t="s">
        <v>46</v>
      </c>
      <c r="F311" s="29" t="s">
        <v>46</v>
      </c>
      <c r="G311" s="30" t="s">
        <v>46</v>
      </c>
      <c r="H311" s="31"/>
      <c r="I311" s="31" t="s">
        <v>47</v>
      </c>
      <c r="J311" s="32" t="n">
        <v>1.0</v>
      </c>
      <c r="K311" s="33" t="n">
        <f>268700</f>
        <v>268700.0</v>
      </c>
      <c r="L311" s="34" t="s">
        <v>48</v>
      </c>
      <c r="M311" s="33" t="n">
        <f>268700</f>
        <v>268700.0</v>
      </c>
      <c r="N311" s="34" t="s">
        <v>48</v>
      </c>
      <c r="O311" s="33" t="n">
        <f>233600</f>
        <v>233600.0</v>
      </c>
      <c r="P311" s="34" t="s">
        <v>317</v>
      </c>
      <c r="Q311" s="33" t="n">
        <f>260500</f>
        <v>260500.0</v>
      </c>
      <c r="R311" s="34" t="s">
        <v>49</v>
      </c>
      <c r="S311" s="35" t="n">
        <f>250776.19</f>
        <v>250776.19</v>
      </c>
      <c r="T311" s="32" t="n">
        <f>243074</f>
        <v>243074.0</v>
      </c>
      <c r="U311" s="32" t="n">
        <f>29326</f>
        <v>29326.0</v>
      </c>
      <c r="V311" s="32" t="n">
        <f>60942584848</f>
        <v>6.0942584848E10</v>
      </c>
      <c r="W311" s="32" t="n">
        <f>7355806148</f>
        <v>7.355806148E9</v>
      </c>
      <c r="X311" s="36" t="n">
        <f>21</f>
        <v>21.0</v>
      </c>
    </row>
    <row r="312">
      <c r="A312" s="27" t="s">
        <v>42</v>
      </c>
      <c r="B312" s="27" t="s">
        <v>983</v>
      </c>
      <c r="C312" s="27" t="s">
        <v>984</v>
      </c>
      <c r="D312" s="27" t="s">
        <v>985</v>
      </c>
      <c r="E312" s="28" t="s">
        <v>46</v>
      </c>
      <c r="F312" s="29" t="s">
        <v>46</v>
      </c>
      <c r="G312" s="30" t="s">
        <v>46</v>
      </c>
      <c r="H312" s="31"/>
      <c r="I312" s="31" t="s">
        <v>47</v>
      </c>
      <c r="J312" s="32" t="n">
        <v>1.0</v>
      </c>
      <c r="K312" s="33" t="n">
        <f>31800</f>
        <v>31800.0</v>
      </c>
      <c r="L312" s="34" t="s">
        <v>48</v>
      </c>
      <c r="M312" s="33" t="n">
        <f>40400</f>
        <v>40400.0</v>
      </c>
      <c r="N312" s="34" t="s">
        <v>188</v>
      </c>
      <c r="O312" s="33" t="n">
        <f>26540</f>
        <v>26540.0</v>
      </c>
      <c r="P312" s="34" t="s">
        <v>61</v>
      </c>
      <c r="Q312" s="33" t="n">
        <f>36000</f>
        <v>36000.0</v>
      </c>
      <c r="R312" s="34" t="s">
        <v>49</v>
      </c>
      <c r="S312" s="35" t="n">
        <f>34494.29</f>
        <v>34494.29</v>
      </c>
      <c r="T312" s="32" t="n">
        <f>1654087</f>
        <v>1654087.0</v>
      </c>
      <c r="U312" s="32" t="n">
        <f>224382</f>
        <v>224382.0</v>
      </c>
      <c r="V312" s="32" t="n">
        <f>55892270291</f>
        <v>5.5892270291E10</v>
      </c>
      <c r="W312" s="32" t="n">
        <f>7385535581</f>
        <v>7.385535581E9</v>
      </c>
      <c r="X312" s="36" t="n">
        <f>21</f>
        <v>21.0</v>
      </c>
    </row>
    <row r="313">
      <c r="A313" s="27" t="s">
        <v>42</v>
      </c>
      <c r="B313" s="27" t="s">
        <v>986</v>
      </c>
      <c r="C313" s="27" t="s">
        <v>987</v>
      </c>
      <c r="D313" s="27" t="s">
        <v>988</v>
      </c>
      <c r="E313" s="28" t="s">
        <v>46</v>
      </c>
      <c r="F313" s="29" t="s">
        <v>46</v>
      </c>
      <c r="G313" s="30" t="s">
        <v>46</v>
      </c>
      <c r="H313" s="31"/>
      <c r="I313" s="31" t="s">
        <v>47</v>
      </c>
      <c r="J313" s="32" t="n">
        <v>1.0</v>
      </c>
      <c r="K313" s="33" t="n">
        <f>90800</f>
        <v>90800.0</v>
      </c>
      <c r="L313" s="34" t="s">
        <v>48</v>
      </c>
      <c r="M313" s="33" t="n">
        <f>92200</f>
        <v>92200.0</v>
      </c>
      <c r="N313" s="34" t="s">
        <v>96</v>
      </c>
      <c r="O313" s="33" t="n">
        <f>80400</f>
        <v>80400.0</v>
      </c>
      <c r="P313" s="34" t="s">
        <v>61</v>
      </c>
      <c r="Q313" s="33" t="n">
        <f>90500</f>
        <v>90500.0</v>
      </c>
      <c r="R313" s="34" t="s">
        <v>49</v>
      </c>
      <c r="S313" s="35" t="n">
        <f>88219.05</f>
        <v>88219.05</v>
      </c>
      <c r="T313" s="32" t="n">
        <f>289365</f>
        <v>289365.0</v>
      </c>
      <c r="U313" s="32" t="n">
        <f>63759</f>
        <v>63759.0</v>
      </c>
      <c r="V313" s="32" t="n">
        <f>25432526860</f>
        <v>2.543252686E10</v>
      </c>
      <c r="W313" s="32" t="n">
        <f>5606561960</f>
        <v>5.60656196E9</v>
      </c>
      <c r="X313" s="36" t="n">
        <f>21</f>
        <v>21.0</v>
      </c>
    </row>
    <row r="314">
      <c r="A314" s="27" t="s">
        <v>42</v>
      </c>
      <c r="B314" s="27" t="s">
        <v>989</v>
      </c>
      <c r="C314" s="27" t="s">
        <v>990</v>
      </c>
      <c r="D314" s="27" t="s">
        <v>991</v>
      </c>
      <c r="E314" s="28" t="s">
        <v>46</v>
      </c>
      <c r="F314" s="29" t="s">
        <v>46</v>
      </c>
      <c r="G314" s="30" t="s">
        <v>46</v>
      </c>
      <c r="H314" s="31"/>
      <c r="I314" s="31" t="s">
        <v>47</v>
      </c>
      <c r="J314" s="32" t="n">
        <v>1.0</v>
      </c>
      <c r="K314" s="33" t="n">
        <f>124200</f>
        <v>124200.0</v>
      </c>
      <c r="L314" s="34" t="s">
        <v>48</v>
      </c>
      <c r="M314" s="33" t="n">
        <f>126700</f>
        <v>126700.0</v>
      </c>
      <c r="N314" s="34" t="s">
        <v>48</v>
      </c>
      <c r="O314" s="33" t="n">
        <f>104000</f>
        <v>104000.0</v>
      </c>
      <c r="P314" s="34" t="s">
        <v>92</v>
      </c>
      <c r="Q314" s="33" t="n">
        <f>116200</f>
        <v>116200.0</v>
      </c>
      <c r="R314" s="34" t="s">
        <v>49</v>
      </c>
      <c r="S314" s="35" t="n">
        <f>116957.14</f>
        <v>116957.14</v>
      </c>
      <c r="T314" s="32" t="n">
        <f>151540</f>
        <v>151540.0</v>
      </c>
      <c r="U314" s="32" t="n">
        <f>24021</f>
        <v>24021.0</v>
      </c>
      <c r="V314" s="32" t="n">
        <f>17583822356</f>
        <v>1.7583822356E10</v>
      </c>
      <c r="W314" s="32" t="n">
        <f>2804681056</f>
        <v>2.804681056E9</v>
      </c>
      <c r="X314" s="36" t="n">
        <f>21</f>
        <v>21.0</v>
      </c>
    </row>
    <row r="315">
      <c r="A315" s="27" t="s">
        <v>42</v>
      </c>
      <c r="B315" s="27" t="s">
        <v>992</v>
      </c>
      <c r="C315" s="27" t="s">
        <v>993</v>
      </c>
      <c r="D315" s="27" t="s">
        <v>994</v>
      </c>
      <c r="E315" s="28" t="s">
        <v>46</v>
      </c>
      <c r="F315" s="29" t="s">
        <v>46</v>
      </c>
      <c r="G315" s="30" t="s">
        <v>46</v>
      </c>
      <c r="H315" s="31"/>
      <c r="I315" s="31" t="s">
        <v>47</v>
      </c>
      <c r="J315" s="32" t="n">
        <v>1.0</v>
      </c>
      <c r="K315" s="33" t="n">
        <f>108400</f>
        <v>108400.0</v>
      </c>
      <c r="L315" s="34" t="s">
        <v>48</v>
      </c>
      <c r="M315" s="33" t="n">
        <f>116100</f>
        <v>116100.0</v>
      </c>
      <c r="N315" s="34" t="s">
        <v>86</v>
      </c>
      <c r="O315" s="33" t="n">
        <f>105100</f>
        <v>105100.0</v>
      </c>
      <c r="P315" s="34" t="s">
        <v>61</v>
      </c>
      <c r="Q315" s="33" t="n">
        <f>114600</f>
        <v>114600.0</v>
      </c>
      <c r="R315" s="34" t="s">
        <v>49</v>
      </c>
      <c r="S315" s="35" t="n">
        <f>112809.52</f>
        <v>112809.52</v>
      </c>
      <c r="T315" s="32" t="n">
        <f>11484</f>
        <v>11484.0</v>
      </c>
      <c r="U315" s="32" t="n">
        <f>1760</f>
        <v>1760.0</v>
      </c>
      <c r="V315" s="32" t="n">
        <f>1291217500</f>
        <v>1.2912175E9</v>
      </c>
      <c r="W315" s="32" t="n">
        <f>199156400</f>
        <v>1.991564E8</v>
      </c>
      <c r="X315" s="36" t="n">
        <f>21</f>
        <v>21.0</v>
      </c>
    </row>
    <row r="316">
      <c r="A316" s="27" t="s">
        <v>42</v>
      </c>
      <c r="B316" s="27" t="s">
        <v>995</v>
      </c>
      <c r="C316" s="27" t="s">
        <v>996</v>
      </c>
      <c r="D316" s="27" t="s">
        <v>997</v>
      </c>
      <c r="E316" s="28" t="s">
        <v>46</v>
      </c>
      <c r="F316" s="29" t="s">
        <v>46</v>
      </c>
      <c r="G316" s="30" t="s">
        <v>46</v>
      </c>
      <c r="H316" s="31"/>
      <c r="I316" s="31" t="s">
        <v>637</v>
      </c>
      <c r="J316" s="32" t="n">
        <v>1.0</v>
      </c>
      <c r="K316" s="33" t="n">
        <f>59700</f>
        <v>59700.0</v>
      </c>
      <c r="L316" s="34" t="s">
        <v>48</v>
      </c>
      <c r="M316" s="33" t="n">
        <f>61300</f>
        <v>61300.0</v>
      </c>
      <c r="N316" s="34" t="s">
        <v>171</v>
      </c>
      <c r="O316" s="33" t="n">
        <f>57200</f>
        <v>57200.0</v>
      </c>
      <c r="P316" s="34" t="s">
        <v>92</v>
      </c>
      <c r="Q316" s="33" t="n">
        <f>58800</f>
        <v>58800.0</v>
      </c>
      <c r="R316" s="34" t="s">
        <v>49</v>
      </c>
      <c r="S316" s="35" t="n">
        <f>59742.86</f>
        <v>59742.86</v>
      </c>
      <c r="T316" s="32" t="n">
        <f>4779</f>
        <v>4779.0</v>
      </c>
      <c r="U316" s="32" t="n">
        <f>254</f>
        <v>254.0</v>
      </c>
      <c r="V316" s="32" t="n">
        <f>284967550</f>
        <v>2.8496755E8</v>
      </c>
      <c r="W316" s="32" t="n">
        <f>15094150</f>
        <v>1.509415E7</v>
      </c>
      <c r="X316" s="36" t="n">
        <f>21</f>
        <v>21.0</v>
      </c>
    </row>
    <row r="317">
      <c r="A317" s="27" t="s">
        <v>42</v>
      </c>
      <c r="B317" s="27" t="s">
        <v>998</v>
      </c>
      <c r="C317" s="27" t="s">
        <v>999</v>
      </c>
      <c r="D317" s="27" t="s">
        <v>1000</v>
      </c>
      <c r="E317" s="28" t="s">
        <v>46</v>
      </c>
      <c r="F317" s="29" t="s">
        <v>46</v>
      </c>
      <c r="G317" s="30" t="s">
        <v>46</v>
      </c>
      <c r="H317" s="31"/>
      <c r="I317" s="31" t="s">
        <v>637</v>
      </c>
      <c r="J317" s="32" t="n">
        <v>1.0</v>
      </c>
      <c r="K317" s="33" t="n">
        <f>90000</f>
        <v>90000.0</v>
      </c>
      <c r="L317" s="34" t="s">
        <v>48</v>
      </c>
      <c r="M317" s="33" t="n">
        <f>97000</f>
        <v>97000.0</v>
      </c>
      <c r="N317" s="34" t="s">
        <v>96</v>
      </c>
      <c r="O317" s="33" t="n">
        <f>89000</f>
        <v>89000.0</v>
      </c>
      <c r="P317" s="34" t="s">
        <v>61</v>
      </c>
      <c r="Q317" s="33" t="n">
        <f>92500</f>
        <v>92500.0</v>
      </c>
      <c r="R317" s="34" t="s">
        <v>49</v>
      </c>
      <c r="S317" s="35" t="n">
        <f>94147.62</f>
        <v>94147.62</v>
      </c>
      <c r="T317" s="32" t="n">
        <f>11335</f>
        <v>11335.0</v>
      </c>
      <c r="U317" s="32" t="n">
        <f>974</f>
        <v>974.0</v>
      </c>
      <c r="V317" s="32" t="n">
        <f>1066284200</f>
        <v>1.0662842E9</v>
      </c>
      <c r="W317" s="32" t="n">
        <f>91395700</f>
        <v>9.13957E7</v>
      </c>
      <c r="X317" s="36" t="n">
        <f>21</f>
        <v>21.0</v>
      </c>
    </row>
    <row r="318">
      <c r="A318" s="27" t="s">
        <v>42</v>
      </c>
      <c r="B318" s="27" t="s">
        <v>1001</v>
      </c>
      <c r="C318" s="27" t="s">
        <v>1002</v>
      </c>
      <c r="D318" s="27" t="s">
        <v>1003</v>
      </c>
      <c r="E318" s="28" t="s">
        <v>46</v>
      </c>
      <c r="F318" s="29" t="s">
        <v>46</v>
      </c>
      <c r="G318" s="30" t="s">
        <v>46</v>
      </c>
      <c r="H318" s="31"/>
      <c r="I318" s="31" t="s">
        <v>637</v>
      </c>
      <c r="J318" s="32" t="n">
        <v>1.0</v>
      </c>
      <c r="K318" s="33" t="n">
        <f>108100</f>
        <v>108100.0</v>
      </c>
      <c r="L318" s="34" t="s">
        <v>48</v>
      </c>
      <c r="M318" s="33" t="n">
        <f>118700</f>
        <v>118700.0</v>
      </c>
      <c r="N318" s="34" t="s">
        <v>96</v>
      </c>
      <c r="O318" s="33" t="n">
        <f>105000</f>
        <v>105000.0</v>
      </c>
      <c r="P318" s="34" t="s">
        <v>61</v>
      </c>
      <c r="Q318" s="33" t="n">
        <f>107100</f>
        <v>107100.0</v>
      </c>
      <c r="R318" s="34" t="s">
        <v>49</v>
      </c>
      <c r="S318" s="35" t="n">
        <f>112080.95</f>
        <v>112080.95</v>
      </c>
      <c r="T318" s="32" t="n">
        <f>11523</f>
        <v>11523.0</v>
      </c>
      <c r="U318" s="32" t="n">
        <f>630</f>
        <v>630.0</v>
      </c>
      <c r="V318" s="32" t="n">
        <f>1283764640</f>
        <v>1.28376464E9</v>
      </c>
      <c r="W318" s="32" t="n">
        <f>70893340</f>
        <v>7.089334E7</v>
      </c>
      <c r="X318" s="36" t="n">
        <f>21</f>
        <v>21.0</v>
      </c>
    </row>
    <row r="319">
      <c r="A319" s="27" t="s">
        <v>42</v>
      </c>
      <c r="B319" s="27" t="s">
        <v>1004</v>
      </c>
      <c r="C319" s="27" t="s">
        <v>1005</v>
      </c>
      <c r="D319" s="27" t="s">
        <v>1006</v>
      </c>
      <c r="E319" s="28" t="s">
        <v>46</v>
      </c>
      <c r="F319" s="29" t="s">
        <v>46</v>
      </c>
      <c r="G319" s="30" t="s">
        <v>46</v>
      </c>
      <c r="H319" s="31"/>
      <c r="I319" s="31" t="s">
        <v>637</v>
      </c>
      <c r="J319" s="32" t="n">
        <v>1.0</v>
      </c>
      <c r="K319" s="33" t="n">
        <f>90000</f>
        <v>90000.0</v>
      </c>
      <c r="L319" s="34" t="s">
        <v>48</v>
      </c>
      <c r="M319" s="33" t="n">
        <f>101500</f>
        <v>101500.0</v>
      </c>
      <c r="N319" s="34" t="s">
        <v>96</v>
      </c>
      <c r="O319" s="33" t="n">
        <f>89100</f>
        <v>89100.0</v>
      </c>
      <c r="P319" s="34" t="s">
        <v>61</v>
      </c>
      <c r="Q319" s="33" t="n">
        <f>93000</f>
        <v>93000.0</v>
      </c>
      <c r="R319" s="34" t="s">
        <v>49</v>
      </c>
      <c r="S319" s="35" t="n">
        <f>97266.67</f>
        <v>97266.67</v>
      </c>
      <c r="T319" s="32" t="n">
        <f>4476</f>
        <v>4476.0</v>
      </c>
      <c r="U319" s="32" t="n">
        <f>289</f>
        <v>289.0</v>
      </c>
      <c r="V319" s="32" t="n">
        <f>432276050</f>
        <v>4.3227605E8</v>
      </c>
      <c r="W319" s="32" t="n">
        <f>28505750</f>
        <v>2.850575E7</v>
      </c>
      <c r="X319" s="36" t="n">
        <f>21</f>
        <v>21.0</v>
      </c>
    </row>
    <row r="320">
      <c r="A320" s="27" t="s">
        <v>42</v>
      </c>
      <c r="B320" s="27" t="s">
        <v>1007</v>
      </c>
      <c r="C320" s="27" t="s">
        <v>1008</v>
      </c>
      <c r="D320" s="27" t="s">
        <v>1009</v>
      </c>
      <c r="E320" s="28" t="s">
        <v>46</v>
      </c>
      <c r="F320" s="29" t="s">
        <v>46</v>
      </c>
      <c r="G320" s="30" t="s">
        <v>46</v>
      </c>
      <c r="H320" s="31"/>
      <c r="I320" s="31" t="s">
        <v>637</v>
      </c>
      <c r="J320" s="32" t="n">
        <v>1.0</v>
      </c>
      <c r="K320" s="33" t="n">
        <f>85600</f>
        <v>85600.0</v>
      </c>
      <c r="L320" s="34" t="s">
        <v>48</v>
      </c>
      <c r="M320" s="33" t="n">
        <f>92100</f>
        <v>92100.0</v>
      </c>
      <c r="N320" s="34" t="s">
        <v>86</v>
      </c>
      <c r="O320" s="33" t="n">
        <f>84000</f>
        <v>84000.0</v>
      </c>
      <c r="P320" s="34" t="s">
        <v>107</v>
      </c>
      <c r="Q320" s="33" t="n">
        <f>84800</f>
        <v>84800.0</v>
      </c>
      <c r="R320" s="34" t="s">
        <v>49</v>
      </c>
      <c r="S320" s="35" t="n">
        <f>87990.48</f>
        <v>87990.48</v>
      </c>
      <c r="T320" s="32" t="n">
        <f>6243</f>
        <v>6243.0</v>
      </c>
      <c r="U320" s="32" t="n">
        <f>294</f>
        <v>294.0</v>
      </c>
      <c r="V320" s="32" t="n">
        <f>545895950</f>
        <v>5.4589595E8</v>
      </c>
      <c r="W320" s="32" t="n">
        <f>26582450</f>
        <v>2.658245E7</v>
      </c>
      <c r="X320" s="36" t="n">
        <f>21</f>
        <v>21.0</v>
      </c>
    </row>
    <row r="321">
      <c r="A321" s="27" t="s">
        <v>42</v>
      </c>
      <c r="B321" s="27" t="s">
        <v>1010</v>
      </c>
      <c r="C321" s="27" t="s">
        <v>1011</v>
      </c>
      <c r="D321" s="27" t="s">
        <v>1012</v>
      </c>
      <c r="E321" s="28" t="s">
        <v>46</v>
      </c>
      <c r="F321" s="29" t="s">
        <v>46</v>
      </c>
      <c r="G321" s="30" t="s">
        <v>46</v>
      </c>
      <c r="H321" s="31"/>
      <c r="I321" s="31" t="s">
        <v>637</v>
      </c>
      <c r="J321" s="32" t="n">
        <v>1.0</v>
      </c>
      <c r="K321" s="33" t="n">
        <f>89500</f>
        <v>89500.0</v>
      </c>
      <c r="L321" s="34" t="s">
        <v>48</v>
      </c>
      <c r="M321" s="33" t="n">
        <f>95100</f>
        <v>95100.0</v>
      </c>
      <c r="N321" s="34" t="s">
        <v>65</v>
      </c>
      <c r="O321" s="33" t="n">
        <f>86000</f>
        <v>86000.0</v>
      </c>
      <c r="P321" s="34" t="s">
        <v>61</v>
      </c>
      <c r="Q321" s="33" t="n">
        <f>92000</f>
        <v>92000.0</v>
      </c>
      <c r="R321" s="34" t="s">
        <v>49</v>
      </c>
      <c r="S321" s="35" t="n">
        <f>91585.71</f>
        <v>91585.71</v>
      </c>
      <c r="T321" s="32" t="n">
        <f>3134</f>
        <v>3134.0</v>
      </c>
      <c r="U321" s="32" t="n">
        <f>131</f>
        <v>131.0</v>
      </c>
      <c r="V321" s="32" t="n">
        <f>285390470</f>
        <v>2.8539047E8</v>
      </c>
      <c r="W321" s="32" t="n">
        <f>12106370</f>
        <v>1.210637E7</v>
      </c>
      <c r="X321" s="36" t="n">
        <f>21</f>
        <v>21.0</v>
      </c>
    </row>
  </sheetData>
  <mergeCells count="3">
    <mergeCell ref="N1:X3"/>
    <mergeCell ref="A2:M2"/>
    <mergeCell ref="A3:M3"/>
  </mergeCells>
  <phoneticPr fontId="3"/>
  <printOptions horizontalCentered="1"/>
  <pageMargins bottom="0.59055118110236227" footer="0.27559055118110237" header="0.27559055118110237" left="0.39370078740157483" right="0.39370078740157483" top="0.39370078740157483"/>
  <pageSetup fitToHeight="0" orientation="landscape" paperSize="9" r:id="rId1" scale="32"/>
  <headerFooter>
    <oddFooter>&amp;C&amp;P/&amp;N&amp;RCopyright (c) Tokyo Stock Exchange, Inc. All Rights Reserved.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BO_EM0004</vt:lpstr>
      <vt:lpstr>BO_EM0004!Print_Titles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2018-10-04T04:21:09Z</dcterms:created>
  <dcterms:modified xsi:type="dcterms:W3CDTF">2019-03-19T12:06:25Z</dcterms:modified>
</cp:coreProperties>
</file>