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<sst xmlns="http://schemas.openxmlformats.org/spreadsheetml/2006/main" count="3830" uniqueCount="1011">
  <si>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</si>
  <si>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</si>
  <si>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</si>
  <si>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</si>
  <si>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</si>
  <si>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</si>
  <si>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</si>
  <si>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</si>
  <si>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</si>
  <si>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</si>
  <si>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</si>
  <si>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</si>
  <si>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</si>
  <si>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</si>
  <si>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</si>
  <si>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</si>
  <si>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</si>
  <si>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</si>
  <si>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</si>
  <si>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</si>
  <si>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</si>
  <si>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</si>
  <si>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</si>
  <si>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</si>
  <si>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</si>
  <si>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</si>
  <si>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</si>
  <si>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</si>
  <si>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</si>
  <si>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</si>
  <si>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</si>
  <si>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</si>
  <si>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</si>
  <si>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</si>
  <si>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</si>
  <si>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</si>
  <si>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</si>
  <si>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</si>
  <si>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</si>
  <si>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</si>
  <si>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</si>
  <si>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</si>
  <si>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2020/05</t>
  </si>
  <si>
    <t>1305</t>
  </si>
  <si>
    <t>ダイワ上場投信－トピックス　受益証券</t>
  </si>
  <si>
    <t>Daiwa ETF-TOPIX</t>
  </si>
  <si>
    <t/>
  </si>
  <si>
    <t>貸借</t>
  </si>
  <si>
    <t>1</t>
  </si>
  <si>
    <t>28</t>
  </si>
  <si>
    <t>7</t>
  </si>
  <si>
    <t>29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</si>
  <si>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</si>
  <si>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</si>
  <si>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</si>
  <si>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</si>
  <si>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</si>
  <si>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</si>
  <si>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</si>
  <si>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</si>
  <si>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</si>
  <si>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11</t>
  </si>
  <si>
    <t>1311</t>
  </si>
  <si>
    <t>ＴＯＰＩＸ　Ｃｏｒｅ　３０　連動型上場投資信託　受益証券</t>
  </si>
  <si>
    <t>TOPIX Core 30 Exchange Traded Fund</t>
  </si>
  <si>
    <t>1312</t>
  </si>
  <si>
    <t>ラッセル野村小型コア・インデックス連動型上場投資信託　受益証券</t>
  </si>
  <si>
    <t>Russell/Nomura Small Cap Core Index Linked ETF</t>
  </si>
  <si>
    <t>18</t>
  </si>
  <si>
    <t>1313</t>
  </si>
  <si>
    <t>サムスンＫＯＤＥＸ２００証券上場指数投資信託[株式]　受益証券</t>
  </si>
  <si>
    <t>SAMSUNG KODEX200 SECURITIES EXCHANGE TRADED FUND [STOCK]</t>
  </si>
  <si>
    <t>22</t>
  </si>
  <si>
    <t>1319</t>
  </si>
  <si>
    <t>日経３００株価指数連動型上場投資信託　受益証券</t>
  </si>
  <si>
    <t>Nikkei 300 Stock Index Listed Fund</t>
  </si>
  <si>
    <t>1320</t>
  </si>
  <si>
    <t>ダイワ上場投信－日経２２５　受益証券</t>
  </si>
  <si>
    <t>Daiwa ETF-Nikkei 225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</si>
  <si>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</si>
  <si>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</si>
  <si>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</si>
  <si>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</si>
  <si>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</si>
  <si>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</si>
  <si>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12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</si>
  <si>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</si>
  <si>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</si>
  <si>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</si>
  <si>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</si>
  <si>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</si>
  <si>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</si>
  <si>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21</t>
  </si>
  <si>
    <t>1325</t>
  </si>
  <si>
    <t>ＮＥＸＴ　ＦＵＮＤＳ　ブラジル株式指数・ボベスパ連動型上場投信　受益証券</t>
  </si>
  <si>
    <t>NEXT FUNDS Ibovespa Linked Exchange Traded Fund</t>
  </si>
  <si>
    <t>8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</si>
  <si>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</si>
  <si>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</si>
  <si>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</si>
  <si>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</si>
  <si>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</si>
  <si>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</si>
  <si>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25</t>
  </si>
  <si>
    <t>1328</t>
  </si>
  <si>
    <t>金価格連動型上場投資信託　受益証券</t>
  </si>
  <si>
    <t>Gold-Price-Linked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</si>
  <si>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</si>
  <si>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</si>
  <si>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</si>
  <si>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</si>
  <si>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</si>
  <si>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</si>
  <si>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</si>
  <si>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</si>
  <si>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</si>
  <si>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15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</si>
  <si>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</si>
  <si>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</si>
  <si>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</si>
  <si>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</si>
  <si>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</si>
  <si>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</si>
  <si>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</si>
  <si>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</si>
  <si>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</si>
  <si>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</si>
  <si>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</si>
  <si>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</si>
  <si>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</si>
  <si>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</si>
  <si>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</si>
  <si>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</si>
  <si>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</si>
  <si>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</si>
  <si>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</si>
  <si>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</si>
  <si>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</si>
  <si>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</si>
  <si>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</si>
  <si>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</si>
  <si>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</si>
  <si>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</si>
  <si>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</si>
  <si>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</si>
  <si>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</si>
  <si>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</si>
  <si>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</si>
  <si>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</si>
  <si>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</si>
  <si>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</si>
  <si>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</si>
  <si>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</si>
  <si>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</si>
  <si>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</si>
  <si>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</si>
  <si>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</si>
  <si>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</si>
  <si>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</si>
  <si>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</si>
  <si>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</si>
  <si>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</si>
  <si>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</si>
  <si>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</si>
  <si>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</si>
  <si>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</si>
  <si>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</si>
  <si>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</si>
  <si>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</si>
  <si>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</si>
  <si>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</si>
  <si>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</si>
  <si>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</si>
  <si>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</si>
  <si>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19</t>
  </si>
  <si>
    <t>13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</si>
  <si>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</si>
  <si>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</si>
  <si>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</si>
  <si>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</si>
  <si>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</si>
  <si>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</si>
  <si>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</si>
  <si>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</si>
  <si>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</si>
  <si>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</si>
  <si>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</si>
  <si>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</si>
  <si>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</si>
  <si>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</si>
  <si>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</si>
  <si>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</si>
  <si>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</si>
  <si>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</si>
  <si>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</si>
  <si>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</si>
  <si>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</si>
  <si>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</si>
  <si>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</si>
  <si>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</si>
  <si>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</si>
  <si>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</si>
  <si>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</si>
  <si>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</si>
  <si>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</si>
  <si>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</si>
  <si>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</si>
  <si>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</si>
  <si>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</si>
  <si>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</si>
  <si>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</si>
  <si>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</si>
  <si>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</si>
  <si>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</si>
  <si>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</si>
  <si>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</si>
  <si>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</si>
  <si>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</si>
  <si>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</si>
  <si>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</si>
  <si>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</si>
  <si>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</si>
  <si>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</si>
  <si>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</si>
  <si>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</si>
  <si>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</si>
  <si>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</si>
  <si>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</si>
  <si>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</si>
  <si>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</si>
  <si>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</si>
  <si>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</si>
  <si>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</si>
  <si>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</si>
  <si>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</si>
  <si>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</si>
  <si>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</si>
  <si>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</si>
  <si>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</si>
  <si>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</si>
  <si>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</si>
  <si>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</si>
  <si>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</si>
  <si>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</si>
  <si>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</si>
  <si>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</si>
  <si>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</si>
  <si>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</si>
  <si>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</si>
  <si>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</si>
  <si>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</si>
  <si>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</si>
  <si>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</si>
  <si>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</si>
  <si>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</si>
  <si>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</si>
  <si>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</si>
  <si>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</si>
  <si>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</si>
  <si>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</si>
  <si>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</si>
  <si>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</si>
  <si>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</si>
  <si>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</si>
  <si>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</si>
  <si>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</si>
  <si>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</si>
  <si>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</si>
  <si>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</si>
  <si>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</si>
  <si>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</si>
  <si>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</si>
  <si>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</si>
  <si>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</si>
  <si>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</si>
  <si>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</si>
  <si>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</si>
  <si>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</si>
  <si>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</si>
  <si>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</si>
  <si>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</si>
  <si>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</si>
  <si>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</si>
  <si>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</si>
  <si>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</si>
  <si>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</si>
  <si>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</si>
  <si>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</si>
  <si>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</si>
  <si>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</si>
  <si>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</si>
  <si>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</si>
  <si>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</si>
  <si>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</si>
  <si>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</si>
  <si>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</si>
  <si>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</si>
  <si>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</si>
  <si>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</si>
  <si>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26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</si>
  <si>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</si>
  <si>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</si>
  <si>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</si>
  <si>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</si>
  <si>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</si>
  <si>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</si>
  <si>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</si>
  <si>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</si>
  <si>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</si>
  <si>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</si>
  <si>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</si>
  <si>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</si>
  <si>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</si>
  <si>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</si>
  <si>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</si>
  <si>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</si>
  <si>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</si>
  <si>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</si>
  <si>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</si>
  <si>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</si>
  <si>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</si>
  <si>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</si>
  <si>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</si>
  <si>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</si>
  <si>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</si>
  <si>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</si>
  <si>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</si>
  <si>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</si>
  <si>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</si>
  <si>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</si>
  <si>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</si>
  <si>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</si>
  <si>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</si>
  <si>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</si>
  <si>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</si>
  <si>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</si>
  <si>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</si>
  <si>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</si>
  <si>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</si>
  <si>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</si>
  <si>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</si>
  <si>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</si>
  <si>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</si>
  <si>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</si>
  <si>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</si>
  <si>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</si>
  <si>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</si>
  <si>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</si>
  <si>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</si>
  <si>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</si>
  <si>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</si>
  <si>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</si>
  <si>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</si>
  <si>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</si>
  <si>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</si>
  <si>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</si>
  <si>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</si>
  <si>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</si>
  <si>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</si>
  <si>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</si>
  <si>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</si>
  <si>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</si>
  <si>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</si>
  <si>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</si>
  <si>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</si>
  <si>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</si>
  <si>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</si>
  <si>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</si>
  <si>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</si>
  <si>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</si>
  <si>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</si>
  <si>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</si>
  <si>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</si>
  <si>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</si>
  <si>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</si>
  <si>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</si>
  <si>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</si>
  <si>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</si>
  <si>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</si>
  <si>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</si>
  <si>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</si>
  <si>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</si>
  <si>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</si>
  <si>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</si>
  <si>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</si>
  <si>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</si>
  <si>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</si>
  <si>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</si>
  <si>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</si>
  <si>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</si>
  <si>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</si>
  <si>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</si>
  <si>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</si>
  <si>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</si>
  <si>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</si>
  <si>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</si>
  <si>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</si>
  <si>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</si>
  <si>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</si>
  <si>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</si>
  <si>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</si>
  <si>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</si>
  <si>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</si>
  <si>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</si>
  <si>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</si>
  <si>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</si>
  <si>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</si>
  <si>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</si>
  <si>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</si>
  <si>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</si>
  <si>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</si>
  <si>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</si>
  <si>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</si>
  <si>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</si>
  <si>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</si>
  <si>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</si>
  <si>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</si>
  <si>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</si>
  <si>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</si>
  <si>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</si>
  <si>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</si>
  <si>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</si>
  <si>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</si>
  <si>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</si>
  <si>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</si>
  <si>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</si>
  <si>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</si>
  <si>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</si>
  <si>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</si>
  <si>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</si>
  <si>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</si>
  <si>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</si>
  <si>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</si>
  <si>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</si>
  <si>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</si>
  <si>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</si>
  <si>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</si>
  <si>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</si>
  <si>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</si>
  <si>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</si>
  <si>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</si>
  <si>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</si>
  <si>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</si>
  <si>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</si>
  <si>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</si>
  <si>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</si>
  <si>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</si>
  <si>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</si>
  <si>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</si>
  <si>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</si>
  <si>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</si>
  <si>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1613</t>
  </si>
  <si>
    <t>東証電気機器株価指数連動型上場投資信託　受益証券</t>
  </si>
  <si>
    <t>TOPIX Electric Appliances Exchange Traded Fund</t>
  </si>
  <si>
    <t>整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</si>
  <si>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</si>
  <si>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</si>
  <si>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</si>
  <si>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</si>
  <si>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</si>
  <si>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</si>
  <si>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</si>
  <si>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</si>
  <si>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</si>
  <si>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27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</si>
  <si>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</si>
  <si>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</si>
  <si>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</si>
  <si>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</si>
  <si>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</si>
  <si>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</si>
  <si>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</si>
  <si>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</si>
  <si>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</si>
  <si>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</si>
  <si>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</si>
  <si>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</si>
  <si>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</si>
  <si>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</si>
  <si>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</si>
  <si>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</si>
  <si>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</si>
  <si>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</si>
  <si>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</si>
  <si>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</si>
  <si>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</si>
  <si>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</si>
  <si>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</si>
  <si>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</si>
  <si>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</si>
  <si>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</si>
  <si>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</si>
  <si>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</si>
  <si>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</si>
  <si>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</si>
  <si>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</si>
  <si>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</si>
  <si>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</si>
  <si>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</si>
  <si>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</si>
  <si>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</si>
  <si>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</si>
  <si>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</si>
  <si>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</si>
  <si>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</si>
  <si>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</si>
  <si>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</si>
  <si>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</si>
  <si>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</si>
  <si>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</si>
  <si>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</si>
  <si>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</si>
  <si>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</si>
  <si>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</si>
  <si>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</si>
  <si>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</si>
  <si>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</si>
  <si>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</si>
  <si>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</si>
  <si>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</si>
  <si>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</si>
  <si>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</si>
  <si>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</si>
  <si>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</si>
  <si>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</si>
  <si>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</si>
  <si>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</si>
  <si>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</si>
  <si>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</si>
  <si>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</si>
  <si>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</si>
  <si>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</si>
  <si>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</si>
  <si>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</si>
  <si>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</si>
  <si>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</si>
  <si>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</si>
  <si>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</si>
  <si>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</si>
  <si>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</si>
  <si>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</si>
  <si>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</si>
  <si>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</si>
  <si>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</si>
  <si>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</si>
  <si>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</si>
  <si>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</si>
  <si>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</si>
  <si>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</si>
  <si>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</si>
  <si>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</si>
  <si>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</si>
  <si>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</si>
  <si>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</si>
  <si>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</si>
  <si>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20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</si>
  <si>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</si>
  <si>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</si>
  <si>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</si>
  <si>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</si>
  <si>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</si>
  <si>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</si>
  <si>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</si>
  <si>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</si>
  <si>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</si>
  <si>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</si>
  <si>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</si>
  <si>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</si>
  <si>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</si>
  <si>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</si>
  <si>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</si>
  <si>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</si>
  <si>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</si>
  <si>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</si>
  <si>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</si>
  <si>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</si>
  <si>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</si>
  <si>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</si>
  <si>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日経・東商取白金指数連動型上場投信　受益証券</t>
  </si>
  <si>
    <t>NEXT FUNDS Nikkei-TOCOM Platinum Index Linked Exchange</t>
  </si>
  <si>
    <t>1683</t>
  </si>
  <si>
    <t>Ｏｎｅ　ＥＴＦ　国内金先物　受益証券</t>
  </si>
  <si>
    <t>One ETF Gold</t>
  </si>
  <si>
    <t>確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</si>
  <si>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</si>
  <si>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</si>
  <si>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</si>
  <si>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</si>
  <si>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</si>
  <si>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</si>
  <si>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</si>
  <si>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</si>
  <si>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</si>
  <si>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</si>
  <si>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</si>
  <si>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</si>
  <si>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</si>
  <si>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</si>
  <si>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</si>
  <si>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</si>
  <si>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</si>
  <si>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</si>
  <si>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</si>
  <si>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</si>
  <si>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</si>
  <si>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</si>
  <si>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</si>
  <si>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</si>
  <si>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</si>
  <si>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</si>
  <si>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</si>
  <si>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</si>
  <si>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</si>
  <si>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</si>
  <si>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</si>
  <si>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</si>
  <si>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</si>
  <si>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</si>
  <si>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</si>
  <si>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</si>
  <si>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</si>
  <si>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</si>
  <si>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</si>
  <si>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</si>
  <si>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</si>
  <si>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</si>
  <si>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</si>
  <si>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</si>
  <si>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</si>
  <si>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</si>
  <si>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</si>
  <si>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</si>
  <si>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</si>
  <si>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</si>
  <si>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</si>
  <si>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</si>
  <si>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</si>
  <si>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</si>
  <si>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</si>
  <si>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</si>
  <si>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</si>
  <si>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</si>
  <si>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</si>
  <si>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</si>
  <si>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</si>
  <si>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</si>
  <si>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</si>
  <si>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</si>
  <si>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</si>
  <si>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日経・ＴＯＣＯＭ　金　ダブル・ブル　ＥＴＮ　受益証券</t>
  </si>
  <si>
    <t>NEXT NOTES Nikkei-TOCOM Leveraged Gold ETN</t>
  </si>
  <si>
    <t>2037</t>
  </si>
  <si>
    <t>ＮＥＸＴ　ＮＯＴＥＳ　日経・ＴＯＣＯＭ　金　ベア　ＥＴＮ　受益証券</t>
  </si>
  <si>
    <t>NEXT NOTES Nikkei-TOCOM Inverse Gold ETN</t>
  </si>
  <si>
    <t>2038</t>
  </si>
  <si>
    <t>ＮＥＸＴ　ＮＯＴＥＳ　日経・ＴＯＣＯＭ　原油　ダブル・ブル　ＥＴＮ　受益証券</t>
  </si>
  <si>
    <t>NEXT NOTES Nikkei-TOCOM Leveraged Crude Oil ETN</t>
  </si>
  <si>
    <t>2039</t>
  </si>
  <si>
    <t>ＮＥＸＴ　ＮＯＴＥＳ　日経・ＴＯＣＯＭ　原油　ベア　ＥＴＮ　受益証券</t>
  </si>
  <si>
    <t>NEXT NOTES Nikkei-TOCOM Inverse Crude Oil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</si>
  <si>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</si>
  <si>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</si>
  <si>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</si>
  <si>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</si>
  <si>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</si>
  <si>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</si>
  <si>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</si>
  <si>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</si>
  <si>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</si>
  <si>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</si>
  <si>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</si>
  <si>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</si>
  <si>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</si>
  <si>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</si>
  <si>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</si>
  <si>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</si>
  <si>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</si>
  <si>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</si>
  <si>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</si>
  <si>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</si>
  <si>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</si>
  <si>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</si>
  <si>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</si>
  <si>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</si>
  <si>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</si>
  <si>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</si>
  <si>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</si>
  <si>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</si>
  <si>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</si>
  <si>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</si>
  <si>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</si>
  <si>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</si>
  <si>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</si>
  <si>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</si>
  <si>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</si>
  <si>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</si>
  <si>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</si>
  <si>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</si>
  <si>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</si>
  <si>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</si>
  <si>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</si>
  <si>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</si>
  <si>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</si>
  <si>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</si>
  <si>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</si>
  <si>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</si>
  <si>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</si>
  <si>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</si>
  <si>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</si>
  <si>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</si>
  <si>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</si>
  <si>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</si>
  <si>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</si>
  <si>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</si>
  <si>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</si>
  <si>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</si>
  <si>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</si>
  <si>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</si>
  <si>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</si>
  <si>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</si>
  <si>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</si>
  <si>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</si>
  <si>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</si>
  <si>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</si>
  <si>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</si>
  <si>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</si>
  <si>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</si>
  <si>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</si>
  <si>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</si>
  <si>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</si>
  <si>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</si>
  <si>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</si>
  <si>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</si>
  <si>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</si>
  <si>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</si>
  <si>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</si>
  <si>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</si>
  <si>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</si>
  <si>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</si>
  <si>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</si>
  <si>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</si>
  <si>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</si>
  <si>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</si>
  <si>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</si>
  <si>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</si>
  <si>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</si>
  <si>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</si>
  <si>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</si>
  <si>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</si>
  <si>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</si>
  <si>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</si>
  <si>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</si>
  <si>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</si>
  <si>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</si>
  <si>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</si>
  <si>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</si>
  <si>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</si>
  <si>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</si>
  <si>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</si>
  <si>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</si>
  <si>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</si>
  <si>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</si>
  <si>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</si>
  <si>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</si>
  <si>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</si>
  <si>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</si>
  <si>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</si>
  <si>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</si>
  <si>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</si>
  <si>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</si>
  <si>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</si>
  <si>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</si>
  <si>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</si>
  <si>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</si>
  <si>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</si>
  <si>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</si>
  <si>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</si>
  <si>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</si>
  <si>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</si>
  <si>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</si>
  <si>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</si>
  <si>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</si>
  <si>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</si>
  <si>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</si>
  <si>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</si>
  <si>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</si>
  <si>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</si>
  <si>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</si>
  <si>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</si>
  <si>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</si>
  <si>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</si>
  <si>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</si>
  <si>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</si>
  <si>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</si>
  <si>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</si>
  <si>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</si>
  <si>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</si>
  <si>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</si>
  <si>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</si>
  <si>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</si>
  <si>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</si>
  <si>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</si>
  <si>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</si>
  <si>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</si>
  <si>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</si>
  <si>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</si>
  <si>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</si>
  <si>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</si>
  <si>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</si>
  <si>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</si>
  <si>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</si>
  <si>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</si>
  <si>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</si>
  <si>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</si>
  <si>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</si>
  <si>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</si>
  <si>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</si>
  <si>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</si>
  <si>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</si>
  <si>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</si>
  <si>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</si>
  <si>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</si>
  <si>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</si>
  <si>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</si>
  <si>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</si>
  <si>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</si>
  <si>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</si>
  <si>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</si>
  <si>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</si>
  <si>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</si>
  <si>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</si>
  <si>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</si>
  <si>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</si>
  <si>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</si>
  <si>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</si>
  <si>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</si>
  <si>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</si>
  <si>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</si>
  <si>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</si>
  <si>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</si>
  <si>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</si>
  <si>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</si>
  <si>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</si>
  <si>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</si>
  <si>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</si>
  <si>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</si>
  <si>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</si>
  <si>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</si>
  <si>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</si>
  <si>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</si>
  <si>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</si>
  <si>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</si>
  <si>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</si>
  <si>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</si>
  <si>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</si>
  <si>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</si>
  <si>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</si>
  <si>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</si>
  <si>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</si>
  <si>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</si>
  <si>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</si>
  <si>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</si>
  <si>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</si>
  <si>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</si>
  <si>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</si>
  <si>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</si>
  <si>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</si>
  <si>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</si>
  <si>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</si>
  <si>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</si>
  <si>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</si>
  <si>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</si>
  <si>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</si>
  <si>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</si>
  <si>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</si>
  <si>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</si>
  <si>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</si>
  <si>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</si>
  <si>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</si>
  <si>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</si>
  <si>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</si>
  <si>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</si>
  <si>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</si>
  <si>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</si>
  <si>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</si>
  <si>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</si>
  <si>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</si>
  <si>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</si>
  <si>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</si>
  <si>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</si>
  <si>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</si>
  <si>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</si>
  <si>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</si>
  <si>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</si>
  <si>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3473</t>
  </si>
  <si>
    <t>さくら総合リート投資法人　投資証券</t>
  </si>
  <si>
    <t>SAKURA SOGO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</si>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</sst>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1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1547</f>
        <v>1547.0</v>
      </c>
      <c r="L7" s="34" t="s">
        <v>48</v>
      </c>
      <c r="M7" s="33" t="n">
        <f>1680</f>
        <v>1680.0</v>
      </c>
      <c r="N7" s="34" t="s">
        <v>49</v>
      </c>
      <c r="O7" s="33" t="n">
        <f>1505</f>
        <v>1505.0</v>
      </c>
      <c r="P7" s="34" t="s">
        <v>50</v>
      </c>
      <c r="Q7" s="33" t="n">
        <f>1660</f>
        <v>1660.0</v>
      </c>
      <c r="R7" s="34" t="s">
        <v>51</v>
      </c>
      <c r="S7" s="35" t="n">
        <f>1580.44</f>
        <v>1580.44</v>
      </c>
      <c r="T7" s="32" t="n">
        <f>6156910</f>
        <v>6156910.0</v>
      </c>
      <c r="U7" s="32" t="n">
        <f>3675850</f>
        <v>3675850.0</v>
      </c>
      <c r="V7" s="32" t="n">
        <f>9794314642</f>
        <v>9.794314642E9</v>
      </c>
      <c r="W7" s="32" t="n">
        <f>5851508862</f>
        <v>5.851508862E9</v>
      </c>
      <c r="X7" s="36" t="n">
        <f>18</f>
        <v>18.0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1525</f>
        <v>1525.0</v>
      </c>
      <c r="L8" s="34" t="s">
        <v>48</v>
      </c>
      <c r="M8" s="33" t="n">
        <f>1660</f>
        <v>1660.0</v>
      </c>
      <c r="N8" s="34" t="s">
        <v>49</v>
      </c>
      <c r="O8" s="33" t="n">
        <f>1486</f>
        <v>1486.0</v>
      </c>
      <c r="P8" s="34" t="s">
        <v>50</v>
      </c>
      <c r="Q8" s="33" t="n">
        <f>1640</f>
        <v>1640.0</v>
      </c>
      <c r="R8" s="34" t="s">
        <v>51</v>
      </c>
      <c r="S8" s="35" t="n">
        <f>1562.28</f>
        <v>1562.28</v>
      </c>
      <c r="T8" s="32" t="n">
        <f>47351740</f>
        <v>4.735174E7</v>
      </c>
      <c r="U8" s="32" t="n">
        <f>8520500</f>
        <v>8520500.0</v>
      </c>
      <c r="V8" s="32" t="n">
        <f>74072499811</f>
        <v>7.4072499811E10</v>
      </c>
      <c r="W8" s="32" t="n">
        <f>13507550171</f>
        <v>1.3507550171E10</v>
      </c>
      <c r="X8" s="36" t="n">
        <f>18</f>
        <v>18.0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1511</f>
        <v>1511.0</v>
      </c>
      <c r="L9" s="34" t="s">
        <v>48</v>
      </c>
      <c r="M9" s="33" t="n">
        <f>1642</f>
        <v>1642.0</v>
      </c>
      <c r="N9" s="34" t="s">
        <v>49</v>
      </c>
      <c r="O9" s="33" t="n">
        <f>1471</f>
        <v>1471.0</v>
      </c>
      <c r="P9" s="34" t="s">
        <v>50</v>
      </c>
      <c r="Q9" s="33" t="n">
        <f>1619</f>
        <v>1619.0</v>
      </c>
      <c r="R9" s="34" t="s">
        <v>51</v>
      </c>
      <c r="S9" s="35" t="n">
        <f>1544.67</f>
        <v>1544.67</v>
      </c>
      <c r="T9" s="32" t="n">
        <f>7821600</f>
        <v>7821600.0</v>
      </c>
      <c r="U9" s="32" t="n">
        <f>3867800</f>
        <v>3867800.0</v>
      </c>
      <c r="V9" s="32" t="n">
        <f>12227839300</f>
        <v>1.22278393E10</v>
      </c>
      <c r="W9" s="32" t="n">
        <f>6054386900</f>
        <v>6.0543869E9</v>
      </c>
      <c r="X9" s="36" t="n">
        <f>18</f>
        <v>18.0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31900</f>
        <v>31900.0</v>
      </c>
      <c r="L10" s="34" t="s">
        <v>48</v>
      </c>
      <c r="M10" s="33" t="n">
        <f>32850</f>
        <v>32850.0</v>
      </c>
      <c r="N10" s="34" t="s">
        <v>61</v>
      </c>
      <c r="O10" s="33" t="n">
        <f>30850</f>
        <v>30850.0</v>
      </c>
      <c r="P10" s="34" t="s">
        <v>48</v>
      </c>
      <c r="Q10" s="33" t="n">
        <f>31150</f>
        <v>31150.0</v>
      </c>
      <c r="R10" s="34" t="s">
        <v>51</v>
      </c>
      <c r="S10" s="35" t="n">
        <f>31769.44</f>
        <v>31769.44</v>
      </c>
      <c r="T10" s="32" t="n">
        <f>5319</f>
        <v>5319.0</v>
      </c>
      <c r="U10" s="32" t="n">
        <f>3</f>
        <v>3.0</v>
      </c>
      <c r="V10" s="32" t="n">
        <f>168912750</f>
        <v>1.6891275E8</v>
      </c>
      <c r="W10" s="32" t="n">
        <f>93900</f>
        <v>93900.0</v>
      </c>
      <c r="X10" s="36" t="n">
        <f>18</f>
        <v>18.0</v>
      </c>
    </row>
    <row r="11">
      <c r="A11" s="27" t="s">
        <v>42</v>
      </c>
      <c r="B11" s="27" t="s">
        <v>62</v>
      </c>
      <c r="C11" s="27" t="s">
        <v>63</v>
      </c>
      <c r="D11" s="27" t="s">
        <v>64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660</f>
        <v>660.0</v>
      </c>
      <c r="L11" s="34" t="s">
        <v>48</v>
      </c>
      <c r="M11" s="33" t="n">
        <f>746</f>
        <v>746.0</v>
      </c>
      <c r="N11" s="34" t="s">
        <v>49</v>
      </c>
      <c r="O11" s="33" t="n">
        <f>643</f>
        <v>643.0</v>
      </c>
      <c r="P11" s="34" t="s">
        <v>48</v>
      </c>
      <c r="Q11" s="33" t="n">
        <f>740</f>
        <v>740.0</v>
      </c>
      <c r="R11" s="34" t="s">
        <v>51</v>
      </c>
      <c r="S11" s="35" t="n">
        <f>682.61</f>
        <v>682.61</v>
      </c>
      <c r="T11" s="32" t="n">
        <f>220650</f>
        <v>220650.0</v>
      </c>
      <c r="U11" s="32" t="str">
        <f>"－"</f>
        <v>－</v>
      </c>
      <c r="V11" s="32" t="n">
        <f>153800300</f>
        <v>1.538003E8</v>
      </c>
      <c r="W11" s="32" t="str">
        <f>"－"</f>
        <v>－</v>
      </c>
      <c r="X11" s="36" t="n">
        <f>18</f>
        <v>18.0</v>
      </c>
    </row>
    <row r="12">
      <c r="A12" s="27" t="s">
        <v>42</v>
      </c>
      <c r="B12" s="27" t="s">
        <v>65</v>
      </c>
      <c r="C12" s="27" t="s">
        <v>66</v>
      </c>
      <c r="D12" s="27" t="s">
        <v>67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17040</f>
        <v>17040.0</v>
      </c>
      <c r="L12" s="34" t="s">
        <v>48</v>
      </c>
      <c r="M12" s="33" t="n">
        <f>18780</f>
        <v>18780.0</v>
      </c>
      <c r="N12" s="34" t="s">
        <v>51</v>
      </c>
      <c r="O12" s="33" t="n">
        <f>16600</f>
        <v>16600.0</v>
      </c>
      <c r="P12" s="34" t="s">
        <v>68</v>
      </c>
      <c r="Q12" s="33" t="n">
        <f>18330</f>
        <v>18330.0</v>
      </c>
      <c r="R12" s="34" t="s">
        <v>51</v>
      </c>
      <c r="S12" s="35" t="n">
        <f>17557.06</f>
        <v>17557.06</v>
      </c>
      <c r="T12" s="32" t="n">
        <f>1247</f>
        <v>1247.0</v>
      </c>
      <c r="U12" s="32" t="str">
        <f>"－"</f>
        <v>－</v>
      </c>
      <c r="V12" s="32" t="n">
        <f>22350530</f>
        <v>2.235053E7</v>
      </c>
      <c r="W12" s="32" t="str">
        <f>"－"</f>
        <v>－</v>
      </c>
      <c r="X12" s="36" t="n">
        <f>17</f>
        <v>17.0</v>
      </c>
    </row>
    <row r="13">
      <c r="A13" s="27" t="s">
        <v>42</v>
      </c>
      <c r="B13" s="27" t="s">
        <v>69</v>
      </c>
      <c r="C13" s="27" t="s">
        <v>70</v>
      </c>
      <c r="D13" s="27" t="s">
        <v>71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2300</f>
        <v>2300.0</v>
      </c>
      <c r="L13" s="34" t="s">
        <v>48</v>
      </c>
      <c r="M13" s="33" t="n">
        <f>2398</f>
        <v>2398.0</v>
      </c>
      <c r="N13" s="34" t="s">
        <v>72</v>
      </c>
      <c r="O13" s="33" t="n">
        <f>2200</f>
        <v>2200.0</v>
      </c>
      <c r="P13" s="34" t="s">
        <v>50</v>
      </c>
      <c r="Q13" s="33" t="n">
        <f>2350</f>
        <v>2350.0</v>
      </c>
      <c r="R13" s="34" t="s">
        <v>49</v>
      </c>
      <c r="S13" s="35" t="n">
        <f>2275</f>
        <v>2275.0</v>
      </c>
      <c r="T13" s="32" t="n">
        <f>7520</f>
        <v>7520.0</v>
      </c>
      <c r="U13" s="32" t="str">
        <f>"－"</f>
        <v>－</v>
      </c>
      <c r="V13" s="32" t="n">
        <f>17243950</f>
        <v>1.724395E7</v>
      </c>
      <c r="W13" s="32" t="str">
        <f>"－"</f>
        <v>－</v>
      </c>
      <c r="X13" s="36" t="n">
        <f>16</f>
        <v>16.0</v>
      </c>
    </row>
    <row r="14">
      <c r="A14" s="27" t="s">
        <v>42</v>
      </c>
      <c r="B14" s="27" t="s">
        <v>73</v>
      </c>
      <c r="C14" s="27" t="s">
        <v>74</v>
      </c>
      <c r="D14" s="27" t="s">
        <v>75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296</f>
        <v>296.0</v>
      </c>
      <c r="L14" s="34" t="s">
        <v>48</v>
      </c>
      <c r="M14" s="33" t="n">
        <f>316</f>
        <v>316.0</v>
      </c>
      <c r="N14" s="34" t="s">
        <v>49</v>
      </c>
      <c r="O14" s="33" t="n">
        <f>291</f>
        <v>291.0</v>
      </c>
      <c r="P14" s="34" t="s">
        <v>48</v>
      </c>
      <c r="Q14" s="33" t="n">
        <f>315</f>
        <v>315.0</v>
      </c>
      <c r="R14" s="34" t="s">
        <v>51</v>
      </c>
      <c r="S14" s="35" t="n">
        <f>300.81</f>
        <v>300.81</v>
      </c>
      <c r="T14" s="32" t="n">
        <f>84000</f>
        <v>84000.0</v>
      </c>
      <c r="U14" s="32" t="str">
        <f>"－"</f>
        <v>－</v>
      </c>
      <c r="V14" s="32" t="n">
        <f>25510000</f>
        <v>2.551E7</v>
      </c>
      <c r="W14" s="32" t="str">
        <f>"－"</f>
        <v>－</v>
      </c>
      <c r="X14" s="36" t="n">
        <f>16</f>
        <v>16.0</v>
      </c>
    </row>
    <row r="15">
      <c r="A15" s="27" t="s">
        <v>42</v>
      </c>
      <c r="B15" s="27" t="s">
        <v>76</v>
      </c>
      <c r="C15" s="27" t="s">
        <v>77</v>
      </c>
      <c r="D15" s="27" t="s">
        <v>78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20730</f>
        <v>20730.0</v>
      </c>
      <c r="L15" s="34" t="s">
        <v>48</v>
      </c>
      <c r="M15" s="33" t="n">
        <f>22800</f>
        <v>22800.0</v>
      </c>
      <c r="N15" s="34" t="s">
        <v>51</v>
      </c>
      <c r="O15" s="33" t="n">
        <f>20170</f>
        <v>20170.0</v>
      </c>
      <c r="P15" s="34" t="s">
        <v>50</v>
      </c>
      <c r="Q15" s="33" t="n">
        <f>22690</f>
        <v>22690.0</v>
      </c>
      <c r="R15" s="34" t="s">
        <v>51</v>
      </c>
      <c r="S15" s="35" t="n">
        <f>21336.11</f>
        <v>21336.11</v>
      </c>
      <c r="T15" s="32" t="n">
        <f>1745417</f>
        <v>1745417.0</v>
      </c>
      <c r="U15" s="32" t="n">
        <f>14</f>
        <v>14.0</v>
      </c>
      <c r="V15" s="32" t="n">
        <f>38033340320</f>
        <v>3.803334032E10</v>
      </c>
      <c r="W15" s="32" t="n">
        <f>317900</f>
        <v>317900.0</v>
      </c>
      <c r="X15" s="36" t="n">
        <f>18</f>
        <v>18.0</v>
      </c>
    </row>
    <row r="16">
      <c r="A16" s="27" t="s">
        <v>42</v>
      </c>
      <c r="B16" s="27" t="s">
        <v>79</v>
      </c>
      <c r="C16" s="27" t="s">
        <v>80</v>
      </c>
      <c r="D16" s="27" t="s">
        <v>81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20760</f>
        <v>20760.0</v>
      </c>
      <c r="L16" s="34" t="s">
        <v>48</v>
      </c>
      <c r="M16" s="33" t="n">
        <f>22840</f>
        <v>22840.0</v>
      </c>
      <c r="N16" s="34" t="s">
        <v>51</v>
      </c>
      <c r="O16" s="33" t="n">
        <f>20210</f>
        <v>20210.0</v>
      </c>
      <c r="P16" s="34" t="s">
        <v>50</v>
      </c>
      <c r="Q16" s="33" t="n">
        <f>22750</f>
        <v>22750.0</v>
      </c>
      <c r="R16" s="34" t="s">
        <v>51</v>
      </c>
      <c r="S16" s="35" t="n">
        <f>21366.11</f>
        <v>21366.11</v>
      </c>
      <c r="T16" s="32" t="n">
        <f>7694845</f>
        <v>7694845.0</v>
      </c>
      <c r="U16" s="32" t="n">
        <f>325199</f>
        <v>325199.0</v>
      </c>
      <c r="V16" s="32" t="n">
        <f>165866735275</f>
        <v>1.65866735275E11</v>
      </c>
      <c r="W16" s="32" t="n">
        <f>6983506505</f>
        <v>6.983506505E9</v>
      </c>
      <c r="X16" s="36" t="n">
        <f>18</f>
        <v>18.0</v>
      </c>
    </row>
    <row r="17">
      <c r="A17" s="27" t="s">
        <v>42</v>
      </c>
      <c r="B17" s="27" t="s">
        <v>82</v>
      </c>
      <c r="C17" s="27" t="s">
        <v>83</v>
      </c>
      <c r="D17" s="27" t="s">
        <v>84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5300</f>
        <v>5300.0</v>
      </c>
      <c r="L17" s="34" t="s">
        <v>48</v>
      </c>
      <c r="M17" s="33" t="n">
        <f>5670</f>
        <v>5670.0</v>
      </c>
      <c r="N17" s="34" t="s">
        <v>85</v>
      </c>
      <c r="O17" s="33" t="n">
        <f>5000</f>
        <v>5000.0</v>
      </c>
      <c r="P17" s="34" t="s">
        <v>51</v>
      </c>
      <c r="Q17" s="33" t="n">
        <f>5090</f>
        <v>5090.0</v>
      </c>
      <c r="R17" s="34" t="s">
        <v>51</v>
      </c>
      <c r="S17" s="35" t="n">
        <f>5370</f>
        <v>5370.0</v>
      </c>
      <c r="T17" s="32" t="n">
        <f>8120</f>
        <v>8120.0</v>
      </c>
      <c r="U17" s="32" t="str">
        <f>"－"</f>
        <v>－</v>
      </c>
      <c r="V17" s="32" t="n">
        <f>43276700</f>
        <v>4.32767E7</v>
      </c>
      <c r="W17" s="32" t="str">
        <f>"－"</f>
        <v>－</v>
      </c>
      <c r="X17" s="36" t="n">
        <f>18</f>
        <v>18.0</v>
      </c>
    </row>
    <row r="18">
      <c r="A18" s="27" t="s">
        <v>42</v>
      </c>
      <c r="B18" s="27" t="s">
        <v>86</v>
      </c>
      <c r="C18" s="27" t="s">
        <v>87</v>
      </c>
      <c r="D18" s="27" t="s">
        <v>88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280</f>
        <v>280.0</v>
      </c>
      <c r="L18" s="34" t="s">
        <v>48</v>
      </c>
      <c r="M18" s="33" t="n">
        <f>316</f>
        <v>316.0</v>
      </c>
      <c r="N18" s="34" t="s">
        <v>72</v>
      </c>
      <c r="O18" s="33" t="n">
        <f>264</f>
        <v>264.0</v>
      </c>
      <c r="P18" s="34" t="s">
        <v>48</v>
      </c>
      <c r="Q18" s="33" t="n">
        <f>300</f>
        <v>300.0</v>
      </c>
      <c r="R18" s="34" t="s">
        <v>51</v>
      </c>
      <c r="S18" s="35" t="n">
        <f>292.28</f>
        <v>292.28</v>
      </c>
      <c r="T18" s="32" t="n">
        <f>30400</f>
        <v>30400.0</v>
      </c>
      <c r="U18" s="32" t="str">
        <f>"－"</f>
        <v>－</v>
      </c>
      <c r="V18" s="32" t="n">
        <f>8873200</f>
        <v>8873200.0</v>
      </c>
      <c r="W18" s="32" t="str">
        <f>"－"</f>
        <v>－</v>
      </c>
      <c r="X18" s="36" t="n">
        <f>18</f>
        <v>18.0</v>
      </c>
    </row>
    <row r="19">
      <c r="A19" s="27" t="s">
        <v>42</v>
      </c>
      <c r="B19" s="27" t="s">
        <v>89</v>
      </c>
      <c r="C19" s="27" t="s">
        <v>90</v>
      </c>
      <c r="D19" s="27" t="s">
        <v>91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123</f>
        <v>123.0</v>
      </c>
      <c r="L19" s="34" t="s">
        <v>48</v>
      </c>
      <c r="M19" s="33" t="n">
        <f>132</f>
        <v>132.0</v>
      </c>
      <c r="N19" s="34" t="s">
        <v>92</v>
      </c>
      <c r="O19" s="33" t="n">
        <f>120</f>
        <v>120.0</v>
      </c>
      <c r="P19" s="34" t="s">
        <v>48</v>
      </c>
      <c r="Q19" s="33" t="n">
        <f>131</f>
        <v>131.0</v>
      </c>
      <c r="R19" s="34" t="s">
        <v>51</v>
      </c>
      <c r="S19" s="35" t="n">
        <f>127.56</f>
        <v>127.56</v>
      </c>
      <c r="T19" s="32" t="n">
        <f>399200</f>
        <v>399200.0</v>
      </c>
      <c r="U19" s="32" t="n">
        <f>1400</f>
        <v>1400.0</v>
      </c>
      <c r="V19" s="32" t="n">
        <f>51133300</f>
        <v>5.11333E7</v>
      </c>
      <c r="W19" s="32" t="n">
        <f>183400</f>
        <v>183400.0</v>
      </c>
      <c r="X19" s="36" t="n">
        <f>18</f>
        <v>18.0</v>
      </c>
    </row>
    <row r="20">
      <c r="A20" s="27" t="s">
        <v>42</v>
      </c>
      <c r="B20" s="27" t="s">
        <v>93</v>
      </c>
      <c r="C20" s="27" t="s">
        <v>94</v>
      </c>
      <c r="D20" s="27" t="s">
        <v>95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121</f>
        <v>121.0</v>
      </c>
      <c r="L20" s="34" t="s">
        <v>48</v>
      </c>
      <c r="M20" s="33" t="n">
        <f>156</f>
        <v>156.0</v>
      </c>
      <c r="N20" s="34" t="s">
        <v>49</v>
      </c>
      <c r="O20" s="33" t="n">
        <f>115</f>
        <v>115.0</v>
      </c>
      <c r="P20" s="34" t="s">
        <v>96</v>
      </c>
      <c r="Q20" s="33" t="n">
        <f>152</f>
        <v>152.0</v>
      </c>
      <c r="R20" s="34" t="s">
        <v>51</v>
      </c>
      <c r="S20" s="35" t="n">
        <f>127.89</f>
        <v>127.89</v>
      </c>
      <c r="T20" s="32" t="n">
        <f>1162800</f>
        <v>1162800.0</v>
      </c>
      <c r="U20" s="32" t="n">
        <f>4900</f>
        <v>4900.0</v>
      </c>
      <c r="V20" s="32" t="n">
        <f>152617200</f>
        <v>1.526172E8</v>
      </c>
      <c r="W20" s="32" t="n">
        <f>597800</f>
        <v>597800.0</v>
      </c>
      <c r="X20" s="36" t="n">
        <f>18</f>
        <v>18.0</v>
      </c>
    </row>
    <row r="21">
      <c r="A21" s="27" t="s">
        <v>42</v>
      </c>
      <c r="B21" s="27" t="s">
        <v>97</v>
      </c>
      <c r="C21" s="27" t="s">
        <v>98</v>
      </c>
      <c r="D21" s="27" t="s">
        <v>99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17100</f>
        <v>17100.0</v>
      </c>
      <c r="L21" s="34" t="s">
        <v>48</v>
      </c>
      <c r="M21" s="33" t="n">
        <f>17790</f>
        <v>17790.0</v>
      </c>
      <c r="N21" s="34" t="s">
        <v>68</v>
      </c>
      <c r="O21" s="33" t="n">
        <f>16800</f>
        <v>16800.0</v>
      </c>
      <c r="P21" s="34" t="s">
        <v>50</v>
      </c>
      <c r="Q21" s="33" t="n">
        <f>17360</f>
        <v>17360.0</v>
      </c>
      <c r="R21" s="34" t="s">
        <v>51</v>
      </c>
      <c r="S21" s="35" t="n">
        <f>17360.56</f>
        <v>17360.56</v>
      </c>
      <c r="T21" s="32" t="n">
        <f>232275</f>
        <v>232275.0</v>
      </c>
      <c r="U21" s="32" t="str">
        <f>"－"</f>
        <v>－</v>
      </c>
      <c r="V21" s="32" t="n">
        <f>4030332540</f>
        <v>4.03033254E9</v>
      </c>
      <c r="W21" s="32" t="str">
        <f>"－"</f>
        <v>－</v>
      </c>
      <c r="X21" s="36" t="n">
        <f>18</f>
        <v>18.0</v>
      </c>
    </row>
    <row r="22">
      <c r="A22" s="27" t="s">
        <v>42</v>
      </c>
      <c r="B22" s="27" t="s">
        <v>100</v>
      </c>
      <c r="C22" s="27" t="s">
        <v>101</v>
      </c>
      <c r="D22" s="27" t="s">
        <v>102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2300</f>
        <v>2300.0</v>
      </c>
      <c r="L22" s="34" t="s">
        <v>48</v>
      </c>
      <c r="M22" s="33" t="n">
        <f>2768</f>
        <v>2768.0</v>
      </c>
      <c r="N22" s="34" t="s">
        <v>103</v>
      </c>
      <c r="O22" s="33" t="n">
        <f>2273</f>
        <v>2273.0</v>
      </c>
      <c r="P22" s="34" t="s">
        <v>48</v>
      </c>
      <c r="Q22" s="33" t="n">
        <f>2540</f>
        <v>2540.0</v>
      </c>
      <c r="R22" s="34" t="s">
        <v>51</v>
      </c>
      <c r="S22" s="35" t="n">
        <f>2535.56</f>
        <v>2535.56</v>
      </c>
      <c r="T22" s="32" t="n">
        <f>4296</f>
        <v>4296.0</v>
      </c>
      <c r="U22" s="32" t="str">
        <f>"－"</f>
        <v>－</v>
      </c>
      <c r="V22" s="32" t="n">
        <f>11118609</f>
        <v>1.1118609E7</v>
      </c>
      <c r="W22" s="32" t="str">
        <f>"－"</f>
        <v>－</v>
      </c>
      <c r="X22" s="36" t="n">
        <f>18</f>
        <v>18.0</v>
      </c>
    </row>
    <row r="23">
      <c r="A23" s="27" t="s">
        <v>42</v>
      </c>
      <c r="B23" s="27" t="s">
        <v>104</v>
      </c>
      <c r="C23" s="27" t="s">
        <v>105</v>
      </c>
      <c r="D23" s="27" t="s">
        <v>106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4800</f>
        <v>4800.0</v>
      </c>
      <c r="L23" s="34" t="s">
        <v>48</v>
      </c>
      <c r="M23" s="33" t="n">
        <f>4965</f>
        <v>4965.0</v>
      </c>
      <c r="N23" s="34" t="s">
        <v>68</v>
      </c>
      <c r="O23" s="33" t="n">
        <f>4710</f>
        <v>4710.0</v>
      </c>
      <c r="P23" s="34" t="s">
        <v>50</v>
      </c>
      <c r="Q23" s="33" t="n">
        <f>4820</f>
        <v>4820.0</v>
      </c>
      <c r="R23" s="34" t="s">
        <v>51</v>
      </c>
      <c r="S23" s="35" t="n">
        <f>4837.78</f>
        <v>4837.78</v>
      </c>
      <c r="T23" s="32" t="n">
        <f>173580</f>
        <v>173580.0</v>
      </c>
      <c r="U23" s="32" t="n">
        <f>70</f>
        <v>70.0</v>
      </c>
      <c r="V23" s="32" t="n">
        <f>840114373</f>
        <v>8.40114373E8</v>
      </c>
      <c r="W23" s="32" t="n">
        <f>340823</f>
        <v>340823.0</v>
      </c>
      <c r="X23" s="36" t="n">
        <f>18</f>
        <v>18.0</v>
      </c>
    </row>
    <row r="24">
      <c r="A24" s="27" t="s">
        <v>42</v>
      </c>
      <c r="B24" s="27" t="s">
        <v>107</v>
      </c>
      <c r="C24" s="27" t="s">
        <v>108</v>
      </c>
      <c r="D24" s="27" t="s">
        <v>109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20680</f>
        <v>20680.0</v>
      </c>
      <c r="L24" s="34" t="s">
        <v>48</v>
      </c>
      <c r="M24" s="33" t="n">
        <f>22740</f>
        <v>22740.0</v>
      </c>
      <c r="N24" s="34" t="s">
        <v>51</v>
      </c>
      <c r="O24" s="33" t="n">
        <f>20130</f>
        <v>20130.0</v>
      </c>
      <c r="P24" s="34" t="s">
        <v>50</v>
      </c>
      <c r="Q24" s="33" t="n">
        <f>22630</f>
        <v>22630.0</v>
      </c>
      <c r="R24" s="34" t="s">
        <v>51</v>
      </c>
      <c r="S24" s="35" t="n">
        <f>21276.67</f>
        <v>21276.67</v>
      </c>
      <c r="T24" s="32" t="n">
        <f>1001333</f>
        <v>1001333.0</v>
      </c>
      <c r="U24" s="32" t="n">
        <f>397300</f>
        <v>397300.0</v>
      </c>
      <c r="V24" s="32" t="n">
        <f>21592153830</f>
        <v>2.159215383E10</v>
      </c>
      <c r="W24" s="32" t="n">
        <f>8599999100</f>
        <v>8.5999991E9</v>
      </c>
      <c r="X24" s="36" t="n">
        <f>18</f>
        <v>18.0</v>
      </c>
    </row>
    <row r="25">
      <c r="A25" s="27" t="s">
        <v>42</v>
      </c>
      <c r="B25" s="27" t="s">
        <v>110</v>
      </c>
      <c r="C25" s="27" t="s">
        <v>111</v>
      </c>
      <c r="D25" s="27" t="s">
        <v>112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20800</f>
        <v>20800.0</v>
      </c>
      <c r="L25" s="34" t="s">
        <v>48</v>
      </c>
      <c r="M25" s="33" t="n">
        <f>22880</f>
        <v>22880.0</v>
      </c>
      <c r="N25" s="34" t="s">
        <v>51</v>
      </c>
      <c r="O25" s="33" t="n">
        <f>20260</f>
        <v>20260.0</v>
      </c>
      <c r="P25" s="34" t="s">
        <v>50</v>
      </c>
      <c r="Q25" s="33" t="n">
        <f>22790</f>
        <v>22790.0</v>
      </c>
      <c r="R25" s="34" t="s">
        <v>51</v>
      </c>
      <c r="S25" s="35" t="n">
        <f>21420</f>
        <v>21420.0</v>
      </c>
      <c r="T25" s="32" t="n">
        <f>1588470</f>
        <v>1588470.0</v>
      </c>
      <c r="U25" s="32" t="n">
        <f>97430</f>
        <v>97430.0</v>
      </c>
      <c r="V25" s="32" t="n">
        <f>34324091315</f>
        <v>3.4324091315E10</v>
      </c>
      <c r="W25" s="32" t="n">
        <f>2072361215</f>
        <v>2.072361215E9</v>
      </c>
      <c r="X25" s="36" t="n">
        <f>18</f>
        <v>18.0</v>
      </c>
    </row>
    <row r="26">
      <c r="A26" s="27" t="s">
        <v>42</v>
      </c>
      <c r="B26" s="27" t="s">
        <v>113</v>
      </c>
      <c r="C26" s="27" t="s">
        <v>114</v>
      </c>
      <c r="D26" s="27" t="s">
        <v>115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1694</f>
        <v>1694.0</v>
      </c>
      <c r="L26" s="34" t="s">
        <v>48</v>
      </c>
      <c r="M26" s="33" t="n">
        <f>1828</f>
        <v>1828.0</v>
      </c>
      <c r="N26" s="34" t="s">
        <v>51</v>
      </c>
      <c r="O26" s="33" t="n">
        <f>1643</f>
        <v>1643.0</v>
      </c>
      <c r="P26" s="34" t="s">
        <v>116</v>
      </c>
      <c r="Q26" s="33" t="n">
        <f>1822</f>
        <v>1822.0</v>
      </c>
      <c r="R26" s="34" t="s">
        <v>51</v>
      </c>
      <c r="S26" s="35" t="n">
        <f>1731.83</f>
        <v>1731.83</v>
      </c>
      <c r="T26" s="32" t="n">
        <f>8354620</f>
        <v>8354620.0</v>
      </c>
      <c r="U26" s="32" t="n">
        <f>163230</f>
        <v>163230.0</v>
      </c>
      <c r="V26" s="32" t="n">
        <f>14447736885</f>
        <v>1.4447736885E10</v>
      </c>
      <c r="W26" s="32" t="n">
        <f>285551445</f>
        <v>2.85551445E8</v>
      </c>
      <c r="X26" s="36" t="n">
        <f>18</f>
        <v>18.0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642</f>
        <v>642.0</v>
      </c>
      <c r="L27" s="34" t="s">
        <v>48</v>
      </c>
      <c r="M27" s="33" t="n">
        <f>722</f>
        <v>722.0</v>
      </c>
      <c r="N27" s="34" t="s">
        <v>49</v>
      </c>
      <c r="O27" s="33" t="n">
        <f>627</f>
        <v>627.0</v>
      </c>
      <c r="P27" s="34" t="s">
        <v>48</v>
      </c>
      <c r="Q27" s="33" t="n">
        <f>716</f>
        <v>716.0</v>
      </c>
      <c r="R27" s="34" t="s">
        <v>51</v>
      </c>
      <c r="S27" s="35" t="n">
        <f>657.5</f>
        <v>657.5</v>
      </c>
      <c r="T27" s="32" t="n">
        <f>30180</f>
        <v>30180.0</v>
      </c>
      <c r="U27" s="32" t="str">
        <f>"－"</f>
        <v>－</v>
      </c>
      <c r="V27" s="32" t="n">
        <f>20911780</f>
        <v>2.091178E7</v>
      </c>
      <c r="W27" s="32" t="str">
        <f>"－"</f>
        <v>－</v>
      </c>
      <c r="X27" s="36" t="n">
        <f>18</f>
        <v>18.0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1593</f>
        <v>1593.0</v>
      </c>
      <c r="L28" s="34" t="s">
        <v>48</v>
      </c>
      <c r="M28" s="33" t="n">
        <f>1731</f>
        <v>1731.0</v>
      </c>
      <c r="N28" s="34" t="s">
        <v>51</v>
      </c>
      <c r="O28" s="33" t="n">
        <f>1555</f>
        <v>1555.0</v>
      </c>
      <c r="P28" s="34" t="s">
        <v>116</v>
      </c>
      <c r="Q28" s="33" t="n">
        <f>1723</f>
        <v>1723.0</v>
      </c>
      <c r="R28" s="34" t="s">
        <v>51</v>
      </c>
      <c r="S28" s="35" t="n">
        <f>1637.44</f>
        <v>1637.44</v>
      </c>
      <c r="T28" s="32" t="n">
        <f>1755800</f>
        <v>1755800.0</v>
      </c>
      <c r="U28" s="32" t="n">
        <f>37300</f>
        <v>37300.0</v>
      </c>
      <c r="V28" s="32" t="n">
        <f>2874711314</f>
        <v>2.874711314E9</v>
      </c>
      <c r="W28" s="32" t="n">
        <f>63080214</f>
        <v>6.3080214E7</v>
      </c>
      <c r="X28" s="36" t="n">
        <f>18</f>
        <v>18.0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20700</f>
        <v>20700.0</v>
      </c>
      <c r="L29" s="34" t="s">
        <v>48</v>
      </c>
      <c r="M29" s="33" t="n">
        <f>22760</f>
        <v>22760.0</v>
      </c>
      <c r="N29" s="34" t="s">
        <v>51</v>
      </c>
      <c r="O29" s="33" t="n">
        <f>20150</f>
        <v>20150.0</v>
      </c>
      <c r="P29" s="34" t="s">
        <v>50</v>
      </c>
      <c r="Q29" s="33" t="n">
        <f>22660</f>
        <v>22660.0</v>
      </c>
      <c r="R29" s="34" t="s">
        <v>51</v>
      </c>
      <c r="S29" s="35" t="n">
        <f>21298.33</f>
        <v>21298.33</v>
      </c>
      <c r="T29" s="32" t="n">
        <f>912352</f>
        <v>912352.0</v>
      </c>
      <c r="U29" s="32" t="n">
        <f>98503</f>
        <v>98503.0</v>
      </c>
      <c r="V29" s="32" t="n">
        <f>19949126147</f>
        <v>1.9949126147E10</v>
      </c>
      <c r="W29" s="32" t="n">
        <f>2162032217</f>
        <v>2.162032217E9</v>
      </c>
      <c r="X29" s="36" t="n">
        <f>18</f>
        <v>18.0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1514</f>
        <v>1514.0</v>
      </c>
      <c r="L30" s="34" t="s">
        <v>48</v>
      </c>
      <c r="M30" s="33" t="n">
        <f>1645</f>
        <v>1645.0</v>
      </c>
      <c r="N30" s="34" t="s">
        <v>49</v>
      </c>
      <c r="O30" s="33" t="n">
        <f>1476</f>
        <v>1476.0</v>
      </c>
      <c r="P30" s="34" t="s">
        <v>50</v>
      </c>
      <c r="Q30" s="33" t="n">
        <f>1625</f>
        <v>1625.0</v>
      </c>
      <c r="R30" s="34" t="s">
        <v>51</v>
      </c>
      <c r="S30" s="35" t="n">
        <f>1548.33</f>
        <v>1548.33</v>
      </c>
      <c r="T30" s="32" t="n">
        <f>1427110</f>
        <v>1427110.0</v>
      </c>
      <c r="U30" s="32" t="n">
        <f>320</f>
        <v>320.0</v>
      </c>
      <c r="V30" s="32" t="n">
        <f>2248583420</f>
        <v>2.24858342E9</v>
      </c>
      <c r="W30" s="32" t="n">
        <f>503680</f>
        <v>503680.0</v>
      </c>
      <c r="X30" s="36" t="n">
        <f>18</f>
        <v>18.0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12490</f>
        <v>12490.0</v>
      </c>
      <c r="L31" s="34" t="s">
        <v>48</v>
      </c>
      <c r="M31" s="33" t="n">
        <f>12740</f>
        <v>12740.0</v>
      </c>
      <c r="N31" s="34" t="s">
        <v>49</v>
      </c>
      <c r="O31" s="33" t="n">
        <f>12450</f>
        <v>12450.0</v>
      </c>
      <c r="P31" s="34" t="s">
        <v>50</v>
      </c>
      <c r="Q31" s="33" t="n">
        <f>12720</f>
        <v>12720.0</v>
      </c>
      <c r="R31" s="34" t="s">
        <v>51</v>
      </c>
      <c r="S31" s="35" t="n">
        <f>12611.18</f>
        <v>12611.18</v>
      </c>
      <c r="T31" s="32" t="n">
        <f>725</f>
        <v>725.0</v>
      </c>
      <c r="U31" s="32" t="str">
        <f>"－"</f>
        <v>－</v>
      </c>
      <c r="V31" s="32" t="n">
        <f>9088400</f>
        <v>9088400.0</v>
      </c>
      <c r="W31" s="32" t="str">
        <f>"－"</f>
        <v>－</v>
      </c>
      <c r="X31" s="36" t="n">
        <f>17</f>
        <v>17.0</v>
      </c>
    </row>
    <row r="32">
      <c r="A32" s="27" t="s">
        <v>42</v>
      </c>
      <c r="B32" s="27" t="s">
        <v>132</v>
      </c>
      <c r="C32" s="27" t="s">
        <v>133</v>
      </c>
      <c r="D32" s="27" t="s">
        <v>134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2422</f>
        <v>2422.0</v>
      </c>
      <c r="L32" s="34" t="s">
        <v>48</v>
      </c>
      <c r="M32" s="33" t="n">
        <f>2546</f>
        <v>2546.0</v>
      </c>
      <c r="N32" s="34" t="s">
        <v>50</v>
      </c>
      <c r="O32" s="33" t="n">
        <f>2021</f>
        <v>2021.0</v>
      </c>
      <c r="P32" s="34" t="s">
        <v>49</v>
      </c>
      <c r="Q32" s="33" t="n">
        <f>2067</f>
        <v>2067.0</v>
      </c>
      <c r="R32" s="34" t="s">
        <v>51</v>
      </c>
      <c r="S32" s="35" t="n">
        <f>2299.39</f>
        <v>2299.39</v>
      </c>
      <c r="T32" s="32" t="n">
        <f>7064640</f>
        <v>7064640.0</v>
      </c>
      <c r="U32" s="32" t="n">
        <f>8040</f>
        <v>8040.0</v>
      </c>
      <c r="V32" s="32" t="n">
        <f>16084596509</f>
        <v>1.6084596509E10</v>
      </c>
      <c r="W32" s="32" t="n">
        <f>18694349</f>
        <v>1.8694349E7</v>
      </c>
      <c r="X32" s="36" t="n">
        <f>18</f>
        <v>18.0</v>
      </c>
    </row>
    <row r="33">
      <c r="A33" s="27" t="s">
        <v>42</v>
      </c>
      <c r="B33" s="27" t="s">
        <v>135</v>
      </c>
      <c r="C33" s="27" t="s">
        <v>136</v>
      </c>
      <c r="D33" s="27" t="s">
        <v>137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1039</f>
        <v>1039.0</v>
      </c>
      <c r="L33" s="34" t="s">
        <v>48</v>
      </c>
      <c r="M33" s="33" t="n">
        <f>1093</f>
        <v>1093.0</v>
      </c>
      <c r="N33" s="34" t="s">
        <v>50</v>
      </c>
      <c r="O33" s="33" t="n">
        <f>844</f>
        <v>844.0</v>
      </c>
      <c r="P33" s="34" t="s">
        <v>51</v>
      </c>
      <c r="Q33" s="33" t="n">
        <f>851</f>
        <v>851.0</v>
      </c>
      <c r="R33" s="34" t="s">
        <v>51</v>
      </c>
      <c r="S33" s="35" t="n">
        <f>973.28</f>
        <v>973.28</v>
      </c>
      <c r="T33" s="32" t="n">
        <f>1086930621</f>
        <v>1.086930621E9</v>
      </c>
      <c r="U33" s="32" t="n">
        <f>3574677</f>
        <v>3574677.0</v>
      </c>
      <c r="V33" s="32" t="n">
        <f>1048907135279</f>
        <v>1.048907135279E12</v>
      </c>
      <c r="W33" s="32" t="n">
        <f>3303265545</f>
        <v>3.303265545E9</v>
      </c>
      <c r="X33" s="36" t="n">
        <f>18</f>
        <v>18.0</v>
      </c>
    </row>
    <row r="34">
      <c r="A34" s="27" t="s">
        <v>42</v>
      </c>
      <c r="B34" s="27" t="s">
        <v>138</v>
      </c>
      <c r="C34" s="27" t="s">
        <v>139</v>
      </c>
      <c r="D34" s="27" t="s">
        <v>140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14340</f>
        <v>14340.0</v>
      </c>
      <c r="L34" s="34" t="s">
        <v>48</v>
      </c>
      <c r="M34" s="33" t="n">
        <f>17390</f>
        <v>17390.0</v>
      </c>
      <c r="N34" s="34" t="s">
        <v>51</v>
      </c>
      <c r="O34" s="33" t="n">
        <f>13680</f>
        <v>13680.0</v>
      </c>
      <c r="P34" s="34" t="s">
        <v>50</v>
      </c>
      <c r="Q34" s="33" t="n">
        <f>17230</f>
        <v>17230.0</v>
      </c>
      <c r="R34" s="34" t="s">
        <v>51</v>
      </c>
      <c r="S34" s="35" t="n">
        <f>15264.44</f>
        <v>15264.44</v>
      </c>
      <c r="T34" s="32" t="n">
        <f>565273</f>
        <v>565273.0</v>
      </c>
      <c r="U34" s="32" t="n">
        <f>234</f>
        <v>234.0</v>
      </c>
      <c r="V34" s="32" t="n">
        <f>8757556337</f>
        <v>8.757556337E9</v>
      </c>
      <c r="W34" s="32" t="n">
        <f>3834617</f>
        <v>3834617.0</v>
      </c>
      <c r="X34" s="36" t="n">
        <f>18</f>
        <v>18.0</v>
      </c>
    </row>
    <row r="35">
      <c r="A35" s="27" t="s">
        <v>42</v>
      </c>
      <c r="B35" s="27" t="s">
        <v>141</v>
      </c>
      <c r="C35" s="27" t="s">
        <v>142</v>
      </c>
      <c r="D35" s="27" t="s">
        <v>143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2536</f>
        <v>2536.0</v>
      </c>
      <c r="L35" s="34" t="s">
        <v>48</v>
      </c>
      <c r="M35" s="33" t="n">
        <f>2649</f>
        <v>2649.0</v>
      </c>
      <c r="N35" s="34" t="s">
        <v>50</v>
      </c>
      <c r="O35" s="33" t="n">
        <f>2049</f>
        <v>2049.0</v>
      </c>
      <c r="P35" s="34" t="s">
        <v>51</v>
      </c>
      <c r="Q35" s="33" t="n">
        <f>2065</f>
        <v>2065.0</v>
      </c>
      <c r="R35" s="34" t="s">
        <v>51</v>
      </c>
      <c r="S35" s="35" t="n">
        <f>2365.39</f>
        <v>2365.39</v>
      </c>
      <c r="T35" s="32" t="n">
        <f>79295740</f>
        <v>7.929574E7</v>
      </c>
      <c r="U35" s="32" t="n">
        <f>56020</f>
        <v>56020.0</v>
      </c>
      <c r="V35" s="32" t="n">
        <f>186249590779</f>
        <v>1.86249590779E11</v>
      </c>
      <c r="W35" s="32" t="n">
        <f>125102599</f>
        <v>1.25102599E8</v>
      </c>
      <c r="X35" s="36" t="n">
        <f>18</f>
        <v>18.0</v>
      </c>
    </row>
    <row r="36">
      <c r="A36" s="27" t="s">
        <v>42</v>
      </c>
      <c r="B36" s="27" t="s">
        <v>144</v>
      </c>
      <c r="C36" s="27" t="s">
        <v>145</v>
      </c>
      <c r="D36" s="27" t="s">
        <v>146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13400</f>
        <v>13400.0</v>
      </c>
      <c r="L36" s="34" t="s">
        <v>48</v>
      </c>
      <c r="M36" s="33" t="n">
        <f>14520</f>
        <v>14520.0</v>
      </c>
      <c r="N36" s="34" t="s">
        <v>49</v>
      </c>
      <c r="O36" s="33" t="n">
        <f>13040</f>
        <v>13040.0</v>
      </c>
      <c r="P36" s="34" t="s">
        <v>50</v>
      </c>
      <c r="Q36" s="33" t="n">
        <f>14380</f>
        <v>14380.0</v>
      </c>
      <c r="R36" s="34" t="s">
        <v>51</v>
      </c>
      <c r="S36" s="35" t="n">
        <f>13702.22</f>
        <v>13702.22</v>
      </c>
      <c r="T36" s="32" t="n">
        <f>12243</f>
        <v>12243.0</v>
      </c>
      <c r="U36" s="32" t="str">
        <f>"－"</f>
        <v>－</v>
      </c>
      <c r="V36" s="32" t="n">
        <f>171219320</f>
        <v>1.7121932E8</v>
      </c>
      <c r="W36" s="32" t="str">
        <f>"－"</f>
        <v>－</v>
      </c>
      <c r="X36" s="36" t="n">
        <f>18</f>
        <v>18.0</v>
      </c>
    </row>
    <row r="37">
      <c r="A37" s="27" t="s">
        <v>42</v>
      </c>
      <c r="B37" s="27" t="s">
        <v>147</v>
      </c>
      <c r="C37" s="27" t="s">
        <v>148</v>
      </c>
      <c r="D37" s="27" t="s">
        <v>149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11800</f>
        <v>11800.0</v>
      </c>
      <c r="L37" s="34" t="s">
        <v>48</v>
      </c>
      <c r="M37" s="33" t="n">
        <f>14230</f>
        <v>14230.0</v>
      </c>
      <c r="N37" s="34" t="s">
        <v>51</v>
      </c>
      <c r="O37" s="33" t="n">
        <f>11170</f>
        <v>11170.0</v>
      </c>
      <c r="P37" s="34" t="s">
        <v>50</v>
      </c>
      <c r="Q37" s="33" t="n">
        <f>14120</f>
        <v>14120.0</v>
      </c>
      <c r="R37" s="34" t="s">
        <v>51</v>
      </c>
      <c r="S37" s="35" t="n">
        <f>12496.11</f>
        <v>12496.11</v>
      </c>
      <c r="T37" s="32" t="n">
        <f>1611578</f>
        <v>1611578.0</v>
      </c>
      <c r="U37" s="32" t="n">
        <f>293</f>
        <v>293.0</v>
      </c>
      <c r="V37" s="32" t="n">
        <f>20366660854</f>
        <v>2.0366660854E10</v>
      </c>
      <c r="W37" s="32" t="n">
        <f>3622164</f>
        <v>3622164.0</v>
      </c>
      <c r="X37" s="36" t="n">
        <f>18</f>
        <v>18.0</v>
      </c>
    </row>
    <row r="38">
      <c r="A38" s="27" t="s">
        <v>42</v>
      </c>
      <c r="B38" s="27" t="s">
        <v>150</v>
      </c>
      <c r="C38" s="27" t="s">
        <v>151</v>
      </c>
      <c r="D38" s="27" t="s">
        <v>152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2724</f>
        <v>2724.0</v>
      </c>
      <c r="L38" s="34" t="s">
        <v>48</v>
      </c>
      <c r="M38" s="33" t="n">
        <f>2844</f>
        <v>2844.0</v>
      </c>
      <c r="N38" s="34" t="s">
        <v>50</v>
      </c>
      <c r="O38" s="33" t="n">
        <f>2202</f>
        <v>2202.0</v>
      </c>
      <c r="P38" s="34" t="s">
        <v>51</v>
      </c>
      <c r="Q38" s="33" t="n">
        <f>2222</f>
        <v>2222.0</v>
      </c>
      <c r="R38" s="34" t="s">
        <v>51</v>
      </c>
      <c r="S38" s="35" t="n">
        <f>2540.72</f>
        <v>2540.72</v>
      </c>
      <c r="T38" s="32" t="n">
        <f>7302022</f>
        <v>7302022.0</v>
      </c>
      <c r="U38" s="32" t="n">
        <f>60516</f>
        <v>60516.0</v>
      </c>
      <c r="V38" s="32" t="n">
        <f>18402641238</f>
        <v>1.8402641238E10</v>
      </c>
      <c r="W38" s="32" t="n">
        <f>151278293</f>
        <v>1.51278293E8</v>
      </c>
      <c r="X38" s="36" t="n">
        <f>18</f>
        <v>18.0</v>
      </c>
    </row>
    <row r="39">
      <c r="A39" s="27" t="s">
        <v>42</v>
      </c>
      <c r="B39" s="27" t="s">
        <v>153</v>
      </c>
      <c r="C39" s="27" t="s">
        <v>154</v>
      </c>
      <c r="D39" s="27" t="s">
        <v>155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10370</f>
        <v>10370.0</v>
      </c>
      <c r="L39" s="34" t="s">
        <v>48</v>
      </c>
      <c r="M39" s="33" t="n">
        <f>12170</f>
        <v>12170.0</v>
      </c>
      <c r="N39" s="34" t="s">
        <v>49</v>
      </c>
      <c r="O39" s="33" t="n">
        <f>9830</f>
        <v>9830.0</v>
      </c>
      <c r="P39" s="34" t="s">
        <v>50</v>
      </c>
      <c r="Q39" s="33" t="n">
        <f>11860</f>
        <v>11860.0</v>
      </c>
      <c r="R39" s="34" t="s">
        <v>51</v>
      </c>
      <c r="S39" s="35" t="n">
        <f>10823.33</f>
        <v>10823.33</v>
      </c>
      <c r="T39" s="32" t="n">
        <f>245713</f>
        <v>245713.0</v>
      </c>
      <c r="U39" s="32" t="n">
        <f>218</f>
        <v>218.0</v>
      </c>
      <c r="V39" s="32" t="n">
        <f>2673474629</f>
        <v>2.673474629E9</v>
      </c>
      <c r="W39" s="32" t="n">
        <f>2247749</f>
        <v>2247749.0</v>
      </c>
      <c r="X39" s="36" t="n">
        <f>18</f>
        <v>18.0</v>
      </c>
    </row>
    <row r="40">
      <c r="A40" s="27" t="s">
        <v>42</v>
      </c>
      <c r="B40" s="27" t="s">
        <v>156</v>
      </c>
      <c r="C40" s="27" t="s">
        <v>157</v>
      </c>
      <c r="D40" s="27" t="s">
        <v>158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3530</f>
        <v>3530.0</v>
      </c>
      <c r="L40" s="34" t="s">
        <v>48</v>
      </c>
      <c r="M40" s="33" t="n">
        <f>3695</f>
        <v>3695.0</v>
      </c>
      <c r="N40" s="34" t="s">
        <v>50</v>
      </c>
      <c r="O40" s="33" t="n">
        <f>2940</f>
        <v>2940.0</v>
      </c>
      <c r="P40" s="34" t="s">
        <v>49</v>
      </c>
      <c r="Q40" s="33" t="n">
        <f>3005</f>
        <v>3005.0</v>
      </c>
      <c r="R40" s="34" t="s">
        <v>51</v>
      </c>
      <c r="S40" s="35" t="n">
        <f>3343.61</f>
        <v>3343.61</v>
      </c>
      <c r="T40" s="32" t="n">
        <f>921018</f>
        <v>921018.0</v>
      </c>
      <c r="U40" s="32" t="n">
        <f>1637</f>
        <v>1637.0</v>
      </c>
      <c r="V40" s="32" t="n">
        <f>3008821511</f>
        <v>3.008821511E9</v>
      </c>
      <c r="W40" s="32" t="n">
        <f>5635412</f>
        <v>5635412.0</v>
      </c>
      <c r="X40" s="36" t="n">
        <f>18</f>
        <v>18.0</v>
      </c>
    </row>
    <row r="41">
      <c r="A41" s="27" t="s">
        <v>42</v>
      </c>
      <c r="B41" s="27" t="s">
        <v>159</v>
      </c>
      <c r="C41" s="27" t="s">
        <v>160</v>
      </c>
      <c r="D41" s="27" t="s">
        <v>161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20130</f>
        <v>20130.0</v>
      </c>
      <c r="L41" s="34" t="s">
        <v>48</v>
      </c>
      <c r="M41" s="33" t="n">
        <f>22120</f>
        <v>22120.0</v>
      </c>
      <c r="N41" s="34" t="s">
        <v>51</v>
      </c>
      <c r="O41" s="33" t="n">
        <f>19610</f>
        <v>19610.0</v>
      </c>
      <c r="P41" s="34" t="s">
        <v>50</v>
      </c>
      <c r="Q41" s="33" t="n">
        <f>22040</f>
        <v>22040.0</v>
      </c>
      <c r="R41" s="34" t="s">
        <v>51</v>
      </c>
      <c r="S41" s="35" t="n">
        <f>20722.22</f>
        <v>20722.22</v>
      </c>
      <c r="T41" s="32" t="n">
        <f>35086</f>
        <v>35086.0</v>
      </c>
      <c r="U41" s="32" t="str">
        <f>"－"</f>
        <v>－</v>
      </c>
      <c r="V41" s="32" t="n">
        <f>737070770</f>
        <v>7.3707077E8</v>
      </c>
      <c r="W41" s="32" t="str">
        <f>"－"</f>
        <v>－</v>
      </c>
      <c r="X41" s="36" t="n">
        <f>18</f>
        <v>18.0</v>
      </c>
    </row>
    <row r="42">
      <c r="A42" s="27" t="s">
        <v>42</v>
      </c>
      <c r="B42" s="27" t="s">
        <v>162</v>
      </c>
      <c r="C42" s="27" t="s">
        <v>163</v>
      </c>
      <c r="D42" s="27" t="s">
        <v>164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3745</f>
        <v>3745.0</v>
      </c>
      <c r="L42" s="34" t="s">
        <v>48</v>
      </c>
      <c r="M42" s="33" t="n">
        <f>4030</f>
        <v>4030.0</v>
      </c>
      <c r="N42" s="34" t="s">
        <v>96</v>
      </c>
      <c r="O42" s="33" t="n">
        <f>3330</f>
        <v>3330.0</v>
      </c>
      <c r="P42" s="34" t="s">
        <v>116</v>
      </c>
      <c r="Q42" s="33" t="n">
        <f>3790</f>
        <v>3790.0</v>
      </c>
      <c r="R42" s="34" t="s">
        <v>51</v>
      </c>
      <c r="S42" s="35" t="n">
        <f>3567.22</f>
        <v>3567.22</v>
      </c>
      <c r="T42" s="32" t="n">
        <f>11571</f>
        <v>11571.0</v>
      </c>
      <c r="U42" s="32" t="str">
        <f>"－"</f>
        <v>－</v>
      </c>
      <c r="V42" s="32" t="n">
        <f>42928250</f>
        <v>4.292825E7</v>
      </c>
      <c r="W42" s="32" t="str">
        <f>"－"</f>
        <v>－</v>
      </c>
      <c r="X42" s="36" t="n">
        <f>18</f>
        <v>18.0</v>
      </c>
    </row>
    <row r="43">
      <c r="A43" s="27" t="s">
        <v>42</v>
      </c>
      <c r="B43" s="27" t="s">
        <v>165</v>
      </c>
      <c r="C43" s="27" t="s">
        <v>166</v>
      </c>
      <c r="D43" s="27" t="s">
        <v>167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7320</f>
        <v>7320.0</v>
      </c>
      <c r="L43" s="34" t="s">
        <v>48</v>
      </c>
      <c r="M43" s="33" t="n">
        <f>7320</f>
        <v>7320.0</v>
      </c>
      <c r="N43" s="34" t="s">
        <v>48</v>
      </c>
      <c r="O43" s="33" t="n">
        <f>6770</f>
        <v>6770.0</v>
      </c>
      <c r="P43" s="34" t="s">
        <v>116</v>
      </c>
      <c r="Q43" s="33" t="n">
        <f>6990</f>
        <v>6990.0</v>
      </c>
      <c r="R43" s="34" t="s">
        <v>51</v>
      </c>
      <c r="S43" s="35" t="n">
        <f>6932.78</f>
        <v>6932.78</v>
      </c>
      <c r="T43" s="32" t="n">
        <f>1388</f>
        <v>1388.0</v>
      </c>
      <c r="U43" s="32" t="str">
        <f>"－"</f>
        <v>－</v>
      </c>
      <c r="V43" s="32" t="n">
        <f>9589530</f>
        <v>9589530.0</v>
      </c>
      <c r="W43" s="32" t="str">
        <f>"－"</f>
        <v>－</v>
      </c>
      <c r="X43" s="36" t="n">
        <f>18</f>
        <v>18.0</v>
      </c>
    </row>
    <row r="44">
      <c r="A44" s="27" t="s">
        <v>42</v>
      </c>
      <c r="B44" s="27" t="s">
        <v>168</v>
      </c>
      <c r="C44" s="27" t="s">
        <v>169</v>
      </c>
      <c r="D44" s="27" t="s">
        <v>170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13210</f>
        <v>13210.0</v>
      </c>
      <c r="L44" s="34" t="s">
        <v>48</v>
      </c>
      <c r="M44" s="33" t="n">
        <f>13590</f>
        <v>13590.0</v>
      </c>
      <c r="N44" s="34" t="s">
        <v>49</v>
      </c>
      <c r="O44" s="33" t="n">
        <f>12240</f>
        <v>12240.0</v>
      </c>
      <c r="P44" s="34" t="s">
        <v>68</v>
      </c>
      <c r="Q44" s="33" t="n">
        <f>13530</f>
        <v>13530.0</v>
      </c>
      <c r="R44" s="34" t="s">
        <v>49</v>
      </c>
      <c r="S44" s="35" t="n">
        <f>12939.29</f>
        <v>12939.29</v>
      </c>
      <c r="T44" s="32" t="n">
        <f>2705</f>
        <v>2705.0</v>
      </c>
      <c r="U44" s="32" t="n">
        <f>2350</f>
        <v>2350.0</v>
      </c>
      <c r="V44" s="32" t="n">
        <f>35619500</f>
        <v>3.56195E7</v>
      </c>
      <c r="W44" s="32" t="n">
        <f>31067000</f>
        <v>3.1067E7</v>
      </c>
      <c r="X44" s="36" t="n">
        <f>14</f>
        <v>14.0</v>
      </c>
    </row>
    <row r="45">
      <c r="A45" s="27" t="s">
        <v>42</v>
      </c>
      <c r="B45" s="27" t="s">
        <v>171</v>
      </c>
      <c r="C45" s="27" t="s">
        <v>172</v>
      </c>
      <c r="D45" s="27" t="s">
        <v>173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10000</f>
        <v>10000.0</v>
      </c>
      <c r="L45" s="34" t="s">
        <v>50</v>
      </c>
      <c r="M45" s="33" t="n">
        <f>10440</f>
        <v>10440.0</v>
      </c>
      <c r="N45" s="34" t="s">
        <v>174</v>
      </c>
      <c r="O45" s="33" t="n">
        <f>9480</f>
        <v>9480.0</v>
      </c>
      <c r="P45" s="34" t="s">
        <v>175</v>
      </c>
      <c r="Q45" s="33" t="n">
        <f>10260</f>
        <v>10260.0</v>
      </c>
      <c r="R45" s="34" t="s">
        <v>51</v>
      </c>
      <c r="S45" s="35" t="n">
        <f>9905.63</f>
        <v>9905.63</v>
      </c>
      <c r="T45" s="32" t="n">
        <f>361</f>
        <v>361.0</v>
      </c>
      <c r="U45" s="32" t="str">
        <f>"－"</f>
        <v>－</v>
      </c>
      <c r="V45" s="32" t="n">
        <f>3596660</f>
        <v>3596660.0</v>
      </c>
      <c r="W45" s="32" t="str">
        <f>"－"</f>
        <v>－</v>
      </c>
      <c r="X45" s="36" t="n">
        <f>16</f>
        <v>16.0</v>
      </c>
    </row>
    <row r="46">
      <c r="A46" s="27" t="s">
        <v>42</v>
      </c>
      <c r="B46" s="27" t="s">
        <v>176</v>
      </c>
      <c r="C46" s="27" t="s">
        <v>177</v>
      </c>
      <c r="D46" s="27" t="s">
        <v>178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7250</f>
        <v>7250.0</v>
      </c>
      <c r="L46" s="34" t="s">
        <v>48</v>
      </c>
      <c r="M46" s="33" t="n">
        <f>7970</f>
        <v>7970.0</v>
      </c>
      <c r="N46" s="34" t="s">
        <v>51</v>
      </c>
      <c r="O46" s="33" t="n">
        <f>7040</f>
        <v>7040.0</v>
      </c>
      <c r="P46" s="34" t="s">
        <v>116</v>
      </c>
      <c r="Q46" s="33" t="n">
        <f>7780</f>
        <v>7780.0</v>
      </c>
      <c r="R46" s="34" t="s">
        <v>51</v>
      </c>
      <c r="S46" s="35" t="n">
        <f>7431.18</f>
        <v>7431.18</v>
      </c>
      <c r="T46" s="32" t="n">
        <f>698</f>
        <v>698.0</v>
      </c>
      <c r="U46" s="32" t="str">
        <f>"－"</f>
        <v>－</v>
      </c>
      <c r="V46" s="32" t="n">
        <f>5143440</f>
        <v>5143440.0</v>
      </c>
      <c r="W46" s="32" t="str">
        <f>"－"</f>
        <v>－</v>
      </c>
      <c r="X46" s="36" t="n">
        <f>17</f>
        <v>17.0</v>
      </c>
    </row>
    <row r="47">
      <c r="A47" s="27" t="s">
        <v>42</v>
      </c>
      <c r="B47" s="27" t="s">
        <v>179</v>
      </c>
      <c r="C47" s="27" t="s">
        <v>180</v>
      </c>
      <c r="D47" s="27" t="s">
        <v>181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4080</f>
        <v>4080.0</v>
      </c>
      <c r="L47" s="34" t="s">
        <v>48</v>
      </c>
      <c r="M47" s="33" t="n">
        <f>4135</f>
        <v>4135.0</v>
      </c>
      <c r="N47" s="34" t="s">
        <v>92</v>
      </c>
      <c r="O47" s="33" t="n">
        <f>3800</f>
        <v>3800.0</v>
      </c>
      <c r="P47" s="34" t="s">
        <v>175</v>
      </c>
      <c r="Q47" s="33" t="n">
        <f>3920</f>
        <v>3920.0</v>
      </c>
      <c r="R47" s="34" t="s">
        <v>51</v>
      </c>
      <c r="S47" s="35" t="n">
        <f>3944.72</f>
        <v>3944.72</v>
      </c>
      <c r="T47" s="32" t="n">
        <f>1144</f>
        <v>1144.0</v>
      </c>
      <c r="U47" s="32" t="str">
        <f>"－"</f>
        <v>－</v>
      </c>
      <c r="V47" s="32" t="n">
        <f>4507725</f>
        <v>4507725.0</v>
      </c>
      <c r="W47" s="32" t="str">
        <f>"－"</f>
        <v>－</v>
      </c>
      <c r="X47" s="36" t="n">
        <f>18</f>
        <v>18.0</v>
      </c>
    </row>
    <row r="48">
      <c r="A48" s="27" t="s">
        <v>42</v>
      </c>
      <c r="B48" s="27" t="s">
        <v>182</v>
      </c>
      <c r="C48" s="27" t="s">
        <v>183</v>
      </c>
      <c r="D48" s="27" t="s">
        <v>184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2108</f>
        <v>2108.0</v>
      </c>
      <c r="L48" s="34" t="s">
        <v>48</v>
      </c>
      <c r="M48" s="33" t="n">
        <f>2250</f>
        <v>2250.0</v>
      </c>
      <c r="N48" s="34" t="s">
        <v>50</v>
      </c>
      <c r="O48" s="33" t="n">
        <f>2076</f>
        <v>2076.0</v>
      </c>
      <c r="P48" s="34" t="s">
        <v>116</v>
      </c>
      <c r="Q48" s="33" t="n">
        <f>2136</f>
        <v>2136.0</v>
      </c>
      <c r="R48" s="34" t="s">
        <v>51</v>
      </c>
      <c r="S48" s="35" t="n">
        <f>2133.72</f>
        <v>2133.72</v>
      </c>
      <c r="T48" s="32" t="n">
        <f>3279</f>
        <v>3279.0</v>
      </c>
      <c r="U48" s="32" t="n">
        <f>2</f>
        <v>2.0</v>
      </c>
      <c r="V48" s="32" t="n">
        <f>7021335</f>
        <v>7021335.0</v>
      </c>
      <c r="W48" s="32" t="n">
        <f>4276</f>
        <v>4276.0</v>
      </c>
      <c r="X48" s="36" t="n">
        <f>18</f>
        <v>18.0</v>
      </c>
    </row>
    <row r="49">
      <c r="A49" s="27" t="s">
        <v>42</v>
      </c>
      <c r="B49" s="27" t="s">
        <v>185</v>
      </c>
      <c r="C49" s="27" t="s">
        <v>186</v>
      </c>
      <c r="D49" s="27" t="s">
        <v>187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2110</f>
        <v>2110.0</v>
      </c>
      <c r="L49" s="34" t="s">
        <v>48</v>
      </c>
      <c r="M49" s="33" t="n">
        <f>2161</f>
        <v>2161.0</v>
      </c>
      <c r="N49" s="34" t="s">
        <v>50</v>
      </c>
      <c r="O49" s="33" t="n">
        <f>2025</f>
        <v>2025.0</v>
      </c>
      <c r="P49" s="34" t="s">
        <v>72</v>
      </c>
      <c r="Q49" s="33" t="n">
        <f>2128</f>
        <v>2128.0</v>
      </c>
      <c r="R49" s="34" t="s">
        <v>51</v>
      </c>
      <c r="S49" s="35" t="n">
        <f>2098.17</f>
        <v>2098.17</v>
      </c>
      <c r="T49" s="32" t="n">
        <f>5893</f>
        <v>5893.0</v>
      </c>
      <c r="U49" s="32" t="str">
        <f>"－"</f>
        <v>－</v>
      </c>
      <c r="V49" s="32" t="n">
        <f>12216647</f>
        <v>1.2216647E7</v>
      </c>
      <c r="W49" s="32" t="str">
        <f>"－"</f>
        <v>－</v>
      </c>
      <c r="X49" s="36" t="n">
        <f>18</f>
        <v>18.0</v>
      </c>
    </row>
    <row r="50">
      <c r="A50" s="27" t="s">
        <v>42</v>
      </c>
      <c r="B50" s="27" t="s">
        <v>188</v>
      </c>
      <c r="C50" s="27" t="s">
        <v>189</v>
      </c>
      <c r="D50" s="27" t="s">
        <v>190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30000</f>
        <v>30000.0</v>
      </c>
      <c r="L50" s="34" t="s">
        <v>48</v>
      </c>
      <c r="M50" s="33" t="n">
        <f>31900</f>
        <v>31900.0</v>
      </c>
      <c r="N50" s="34" t="s">
        <v>49</v>
      </c>
      <c r="O50" s="33" t="n">
        <f>29240</f>
        <v>29240.0</v>
      </c>
      <c r="P50" s="34" t="s">
        <v>116</v>
      </c>
      <c r="Q50" s="33" t="n">
        <f>31450</f>
        <v>31450.0</v>
      </c>
      <c r="R50" s="34" t="s">
        <v>51</v>
      </c>
      <c r="S50" s="35" t="n">
        <f>30399.38</f>
        <v>30399.38</v>
      </c>
      <c r="T50" s="32" t="n">
        <f>610</f>
        <v>610.0</v>
      </c>
      <c r="U50" s="32" t="str">
        <f>"－"</f>
        <v>－</v>
      </c>
      <c r="V50" s="32" t="n">
        <f>18881880</f>
        <v>1.888188E7</v>
      </c>
      <c r="W50" s="32" t="str">
        <f>"－"</f>
        <v>－</v>
      </c>
      <c r="X50" s="36" t="n">
        <f>16</f>
        <v>16.0</v>
      </c>
    </row>
    <row r="51">
      <c r="A51" s="27" t="s">
        <v>42</v>
      </c>
      <c r="B51" s="27" t="s">
        <v>191</v>
      </c>
      <c r="C51" s="27" t="s">
        <v>192</v>
      </c>
      <c r="D51" s="27" t="s">
        <v>193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22810</f>
        <v>22810.0</v>
      </c>
      <c r="L51" s="34" t="s">
        <v>48</v>
      </c>
      <c r="M51" s="33" t="n">
        <f>23440</f>
        <v>23440.0</v>
      </c>
      <c r="N51" s="34" t="s">
        <v>51</v>
      </c>
      <c r="O51" s="33" t="n">
        <f>21390</f>
        <v>21390.0</v>
      </c>
      <c r="P51" s="34" t="s">
        <v>50</v>
      </c>
      <c r="Q51" s="33" t="n">
        <f>23440</f>
        <v>23440.0</v>
      </c>
      <c r="R51" s="34" t="s">
        <v>51</v>
      </c>
      <c r="S51" s="35" t="n">
        <f>22485.71</f>
        <v>22485.71</v>
      </c>
      <c r="T51" s="32" t="n">
        <f>268</f>
        <v>268.0</v>
      </c>
      <c r="U51" s="32" t="str">
        <f>"－"</f>
        <v>－</v>
      </c>
      <c r="V51" s="32" t="n">
        <f>6031100</f>
        <v>6031100.0</v>
      </c>
      <c r="W51" s="32" t="str">
        <f>"－"</f>
        <v>－</v>
      </c>
      <c r="X51" s="36" t="n">
        <f>14</f>
        <v>14.0</v>
      </c>
    </row>
    <row r="52">
      <c r="A52" s="27" t="s">
        <v>42</v>
      </c>
      <c r="B52" s="27" t="s">
        <v>194</v>
      </c>
      <c r="C52" s="27" t="s">
        <v>195</v>
      </c>
      <c r="D52" s="27" t="s">
        <v>196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20170</f>
        <v>20170.0</v>
      </c>
      <c r="L52" s="34" t="s">
        <v>48</v>
      </c>
      <c r="M52" s="33" t="n">
        <f>22030</f>
        <v>22030.0</v>
      </c>
      <c r="N52" s="34" t="s">
        <v>49</v>
      </c>
      <c r="O52" s="33" t="n">
        <f>19630</f>
        <v>19630.0</v>
      </c>
      <c r="P52" s="34" t="s">
        <v>50</v>
      </c>
      <c r="Q52" s="33" t="n">
        <f>21970</f>
        <v>21970.0</v>
      </c>
      <c r="R52" s="34" t="s">
        <v>51</v>
      </c>
      <c r="S52" s="35" t="n">
        <f>20749.41</f>
        <v>20749.41</v>
      </c>
      <c r="T52" s="32" t="n">
        <f>3556</f>
        <v>3556.0</v>
      </c>
      <c r="U52" s="32" t="str">
        <f>"－"</f>
        <v>－</v>
      </c>
      <c r="V52" s="32" t="n">
        <f>76067920</f>
        <v>7.606792E7</v>
      </c>
      <c r="W52" s="32" t="str">
        <f>"－"</f>
        <v>－</v>
      </c>
      <c r="X52" s="36" t="n">
        <f>17</f>
        <v>17.0</v>
      </c>
    </row>
    <row r="53">
      <c r="A53" s="27" t="s">
        <v>42</v>
      </c>
      <c r="B53" s="27" t="s">
        <v>197</v>
      </c>
      <c r="C53" s="27" t="s">
        <v>198</v>
      </c>
      <c r="D53" s="27" t="s">
        <v>199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1609</f>
        <v>1609.0</v>
      </c>
      <c r="L53" s="34" t="s">
        <v>48</v>
      </c>
      <c r="M53" s="33" t="n">
        <f>1817</f>
        <v>1817.0</v>
      </c>
      <c r="N53" s="34" t="s">
        <v>72</v>
      </c>
      <c r="O53" s="33" t="n">
        <f>1573</f>
        <v>1573.0</v>
      </c>
      <c r="P53" s="34" t="s">
        <v>68</v>
      </c>
      <c r="Q53" s="33" t="n">
        <f>1735</f>
        <v>1735.0</v>
      </c>
      <c r="R53" s="34" t="s">
        <v>51</v>
      </c>
      <c r="S53" s="35" t="n">
        <f>1652.83</f>
        <v>1652.83</v>
      </c>
      <c r="T53" s="32" t="n">
        <f>145620</f>
        <v>145620.0</v>
      </c>
      <c r="U53" s="32" t="str">
        <f>"－"</f>
        <v>－</v>
      </c>
      <c r="V53" s="32" t="n">
        <f>243820560</f>
        <v>2.4382056E8</v>
      </c>
      <c r="W53" s="32" t="str">
        <f>"－"</f>
        <v>－</v>
      </c>
      <c r="X53" s="36" t="n">
        <f>18</f>
        <v>18.0</v>
      </c>
    </row>
    <row r="54">
      <c r="A54" s="27" t="s">
        <v>42</v>
      </c>
      <c r="B54" s="27" t="s">
        <v>200</v>
      </c>
      <c r="C54" s="27" t="s">
        <v>201</v>
      </c>
      <c r="D54" s="27" t="s">
        <v>202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1267</f>
        <v>1267.0</v>
      </c>
      <c r="L54" s="34" t="s">
        <v>48</v>
      </c>
      <c r="M54" s="33" t="n">
        <f>1385</f>
        <v>1385.0</v>
      </c>
      <c r="N54" s="34" t="s">
        <v>49</v>
      </c>
      <c r="O54" s="33" t="n">
        <f>1233</f>
        <v>1233.0</v>
      </c>
      <c r="P54" s="34" t="s">
        <v>50</v>
      </c>
      <c r="Q54" s="33" t="n">
        <f>1361</f>
        <v>1361.0</v>
      </c>
      <c r="R54" s="34" t="s">
        <v>51</v>
      </c>
      <c r="S54" s="35" t="n">
        <f>1295.2</f>
        <v>1295.2</v>
      </c>
      <c r="T54" s="32" t="n">
        <f>234210</f>
        <v>234210.0</v>
      </c>
      <c r="U54" s="32" t="str">
        <f>"－"</f>
        <v>－</v>
      </c>
      <c r="V54" s="32" t="n">
        <f>317580360</f>
        <v>3.1758036E8</v>
      </c>
      <c r="W54" s="32" t="str">
        <f>"－"</f>
        <v>－</v>
      </c>
      <c r="X54" s="36" t="n">
        <f>15</f>
        <v>15.0</v>
      </c>
    </row>
    <row r="55">
      <c r="A55" s="27" t="s">
        <v>42</v>
      </c>
      <c r="B55" s="27" t="s">
        <v>203</v>
      </c>
      <c r="C55" s="27" t="s">
        <v>204</v>
      </c>
      <c r="D55" s="27" t="s">
        <v>205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6790</f>
        <v>6790.0</v>
      </c>
      <c r="L55" s="34" t="s">
        <v>48</v>
      </c>
      <c r="M55" s="33" t="n">
        <f>6960</f>
        <v>6960.0</v>
      </c>
      <c r="N55" s="34" t="s">
        <v>50</v>
      </c>
      <c r="O55" s="33" t="n">
        <f>6120</f>
        <v>6120.0</v>
      </c>
      <c r="P55" s="34" t="s">
        <v>51</v>
      </c>
      <c r="Q55" s="33" t="n">
        <f>6150</f>
        <v>6150.0</v>
      </c>
      <c r="R55" s="34" t="s">
        <v>51</v>
      </c>
      <c r="S55" s="35" t="n">
        <f>6565</f>
        <v>6565.0</v>
      </c>
      <c r="T55" s="32" t="n">
        <f>394054</f>
        <v>394054.0</v>
      </c>
      <c r="U55" s="32" t="str">
        <f>"－"</f>
        <v>－</v>
      </c>
      <c r="V55" s="32" t="n">
        <f>2531007770</f>
        <v>2.53100777E9</v>
      </c>
      <c r="W55" s="32" t="str">
        <f>"－"</f>
        <v>－</v>
      </c>
      <c r="X55" s="36" t="n">
        <f>18</f>
        <v>18.0</v>
      </c>
    </row>
    <row r="56">
      <c r="A56" s="27" t="s">
        <v>42</v>
      </c>
      <c r="B56" s="27" t="s">
        <v>206</v>
      </c>
      <c r="C56" s="27" t="s">
        <v>207</v>
      </c>
      <c r="D56" s="27" t="s">
        <v>208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7650</f>
        <v>7650.0</v>
      </c>
      <c r="L56" s="34" t="s">
        <v>48</v>
      </c>
      <c r="M56" s="33" t="n">
        <f>7830</f>
        <v>7830.0</v>
      </c>
      <c r="N56" s="34" t="s">
        <v>50</v>
      </c>
      <c r="O56" s="33" t="n">
        <f>7000</f>
        <v>7000.0</v>
      </c>
      <c r="P56" s="34" t="s">
        <v>49</v>
      </c>
      <c r="Q56" s="33" t="n">
        <f>7080</f>
        <v>7080.0</v>
      </c>
      <c r="R56" s="34" t="s">
        <v>51</v>
      </c>
      <c r="S56" s="35" t="n">
        <f>7461.11</f>
        <v>7461.11</v>
      </c>
      <c r="T56" s="32" t="n">
        <f>236408</f>
        <v>236408.0</v>
      </c>
      <c r="U56" s="32" t="n">
        <f>7000</f>
        <v>7000.0</v>
      </c>
      <c r="V56" s="32" t="n">
        <f>1770293180</f>
        <v>1.77029318E9</v>
      </c>
      <c r="W56" s="32" t="n">
        <f>52218200</f>
        <v>5.22182E7</v>
      </c>
      <c r="X56" s="36" t="n">
        <f>18</f>
        <v>18.0</v>
      </c>
    </row>
    <row r="57">
      <c r="A57" s="27" t="s">
        <v>42</v>
      </c>
      <c r="B57" s="27" t="s">
        <v>209</v>
      </c>
      <c r="C57" s="27" t="s">
        <v>210</v>
      </c>
      <c r="D57" s="27" t="s">
        <v>211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8870</f>
        <v>8870.0</v>
      </c>
      <c r="L57" s="34" t="s">
        <v>48</v>
      </c>
      <c r="M57" s="33" t="n">
        <f>10770</f>
        <v>10770.0</v>
      </c>
      <c r="N57" s="34" t="s">
        <v>51</v>
      </c>
      <c r="O57" s="33" t="n">
        <f>8460</f>
        <v>8460.0</v>
      </c>
      <c r="P57" s="34" t="s">
        <v>50</v>
      </c>
      <c r="Q57" s="33" t="n">
        <f>10670</f>
        <v>10670.0</v>
      </c>
      <c r="R57" s="34" t="s">
        <v>51</v>
      </c>
      <c r="S57" s="35" t="n">
        <f>9450.56</f>
        <v>9450.56</v>
      </c>
      <c r="T57" s="32" t="n">
        <f>9209866</f>
        <v>9209866.0</v>
      </c>
      <c r="U57" s="32" t="n">
        <f>1629</f>
        <v>1629.0</v>
      </c>
      <c r="V57" s="32" t="n">
        <f>87841899216</f>
        <v>8.7841899216E10</v>
      </c>
      <c r="W57" s="32" t="n">
        <f>15825706</f>
        <v>1.5825706E7</v>
      </c>
      <c r="X57" s="36" t="n">
        <f>18</f>
        <v>18.0</v>
      </c>
    </row>
    <row r="58">
      <c r="A58" s="27" t="s">
        <v>42</v>
      </c>
      <c r="B58" s="27" t="s">
        <v>212</v>
      </c>
      <c r="C58" s="27" t="s">
        <v>213</v>
      </c>
      <c r="D58" s="27" t="s">
        <v>214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4140</f>
        <v>4140.0</v>
      </c>
      <c r="L58" s="34" t="s">
        <v>48</v>
      </c>
      <c r="M58" s="33" t="n">
        <f>4325</f>
        <v>4325.0</v>
      </c>
      <c r="N58" s="34" t="s">
        <v>50</v>
      </c>
      <c r="O58" s="33" t="n">
        <f>3340</f>
        <v>3340.0</v>
      </c>
      <c r="P58" s="34" t="s">
        <v>51</v>
      </c>
      <c r="Q58" s="33" t="n">
        <f>3365</f>
        <v>3365.0</v>
      </c>
      <c r="R58" s="34" t="s">
        <v>51</v>
      </c>
      <c r="S58" s="35" t="n">
        <f>3858.06</f>
        <v>3858.06</v>
      </c>
      <c r="T58" s="32" t="n">
        <f>17491895</f>
        <v>1.7491895E7</v>
      </c>
      <c r="U58" s="32" t="n">
        <f>2980</f>
        <v>2980.0</v>
      </c>
      <c r="V58" s="32" t="n">
        <f>66538786170</f>
        <v>6.653878617E10</v>
      </c>
      <c r="W58" s="32" t="n">
        <f>10742060</f>
        <v>1.074206E7</v>
      </c>
      <c r="X58" s="36" t="n">
        <f>18</f>
        <v>18.0</v>
      </c>
    </row>
    <row r="59">
      <c r="A59" s="27" t="s">
        <v>42</v>
      </c>
      <c r="B59" s="27" t="s">
        <v>215</v>
      </c>
      <c r="C59" s="27" t="s">
        <v>216</v>
      </c>
      <c r="D59" s="27" t="s">
        <v>217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16810</f>
        <v>16810.0</v>
      </c>
      <c r="L59" s="34" t="s">
        <v>48</v>
      </c>
      <c r="M59" s="33" t="n">
        <f>18770</f>
        <v>18770.0</v>
      </c>
      <c r="N59" s="34" t="s">
        <v>49</v>
      </c>
      <c r="O59" s="33" t="n">
        <f>16810</f>
        <v>16810.0</v>
      </c>
      <c r="P59" s="34" t="s">
        <v>48</v>
      </c>
      <c r="Q59" s="33" t="n">
        <f>18770</f>
        <v>18770.0</v>
      </c>
      <c r="R59" s="34" t="s">
        <v>49</v>
      </c>
      <c r="S59" s="35" t="n">
        <f>17950.71</f>
        <v>17950.71</v>
      </c>
      <c r="T59" s="32" t="n">
        <f>191</f>
        <v>191.0</v>
      </c>
      <c r="U59" s="32" t="str">
        <f>"－"</f>
        <v>－</v>
      </c>
      <c r="V59" s="32" t="n">
        <f>3399140</f>
        <v>3399140.0</v>
      </c>
      <c r="W59" s="32" t="str">
        <f>"－"</f>
        <v>－</v>
      </c>
      <c r="X59" s="36" t="n">
        <f>14</f>
        <v>14.0</v>
      </c>
    </row>
    <row r="60">
      <c r="A60" s="27" t="s">
        <v>42</v>
      </c>
      <c r="B60" s="27" t="s">
        <v>218</v>
      </c>
      <c r="C60" s="27" t="s">
        <v>219</v>
      </c>
      <c r="D60" s="27" t="s">
        <v>220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7900</f>
        <v>7900.0</v>
      </c>
      <c r="L60" s="34" t="s">
        <v>48</v>
      </c>
      <c r="M60" s="33" t="n">
        <f>9580</f>
        <v>9580.0</v>
      </c>
      <c r="N60" s="34" t="s">
        <v>49</v>
      </c>
      <c r="O60" s="33" t="n">
        <f>7400</f>
        <v>7400.0</v>
      </c>
      <c r="P60" s="34" t="s">
        <v>50</v>
      </c>
      <c r="Q60" s="33" t="n">
        <f>9340</f>
        <v>9340.0</v>
      </c>
      <c r="R60" s="34" t="s">
        <v>51</v>
      </c>
      <c r="S60" s="35" t="n">
        <f>8456.67</f>
        <v>8456.67</v>
      </c>
      <c r="T60" s="32" t="n">
        <f>12250</f>
        <v>12250.0</v>
      </c>
      <c r="U60" s="32" t="str">
        <f>"－"</f>
        <v>－</v>
      </c>
      <c r="V60" s="32" t="n">
        <f>106249940</f>
        <v>1.0624994E8</v>
      </c>
      <c r="W60" s="32" t="str">
        <f>"－"</f>
        <v>－</v>
      </c>
      <c r="X60" s="36" t="n">
        <f>18</f>
        <v>18.0</v>
      </c>
    </row>
    <row r="61">
      <c r="A61" s="27" t="s">
        <v>42</v>
      </c>
      <c r="B61" s="27" t="s">
        <v>221</v>
      </c>
      <c r="C61" s="27" t="s">
        <v>222</v>
      </c>
      <c r="D61" s="27" t="s">
        <v>223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7500</f>
        <v>7500.0</v>
      </c>
      <c r="L61" s="34" t="s">
        <v>48</v>
      </c>
      <c r="M61" s="33" t="n">
        <f>7690</f>
        <v>7690.0</v>
      </c>
      <c r="N61" s="34" t="s">
        <v>50</v>
      </c>
      <c r="O61" s="33" t="n">
        <f>6860</f>
        <v>6860.0</v>
      </c>
      <c r="P61" s="34" t="s">
        <v>49</v>
      </c>
      <c r="Q61" s="33" t="n">
        <f>6970</f>
        <v>6970.0</v>
      </c>
      <c r="R61" s="34" t="s">
        <v>51</v>
      </c>
      <c r="S61" s="35" t="n">
        <f>7303.13</f>
        <v>7303.13</v>
      </c>
      <c r="T61" s="32" t="n">
        <f>2933</f>
        <v>2933.0</v>
      </c>
      <c r="U61" s="32" t="str">
        <f>"－"</f>
        <v>－</v>
      </c>
      <c r="V61" s="32" t="n">
        <f>20982650</f>
        <v>2.098265E7</v>
      </c>
      <c r="W61" s="32" t="str">
        <f>"－"</f>
        <v>－</v>
      </c>
      <c r="X61" s="36" t="n">
        <f>16</f>
        <v>16.0</v>
      </c>
    </row>
    <row r="62">
      <c r="A62" s="27" t="s">
        <v>42</v>
      </c>
      <c r="B62" s="27" t="s">
        <v>224</v>
      </c>
      <c r="C62" s="27" t="s">
        <v>225</v>
      </c>
      <c r="D62" s="27" t="s">
        <v>226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4595</f>
        <v>4595.0</v>
      </c>
      <c r="L62" s="34" t="s">
        <v>48</v>
      </c>
      <c r="M62" s="33" t="n">
        <f>5000</f>
        <v>5000.0</v>
      </c>
      <c r="N62" s="34" t="s">
        <v>50</v>
      </c>
      <c r="O62" s="33" t="n">
        <f>3845</f>
        <v>3845.0</v>
      </c>
      <c r="P62" s="34" t="s">
        <v>49</v>
      </c>
      <c r="Q62" s="33" t="n">
        <f>3920</f>
        <v>3920.0</v>
      </c>
      <c r="R62" s="34" t="s">
        <v>51</v>
      </c>
      <c r="S62" s="35" t="n">
        <f>4389.72</f>
        <v>4389.72</v>
      </c>
      <c r="T62" s="32" t="n">
        <f>24965</f>
        <v>24965.0</v>
      </c>
      <c r="U62" s="32" t="str">
        <f>"－"</f>
        <v>－</v>
      </c>
      <c r="V62" s="32" t="n">
        <f>108350095</f>
        <v>1.08350095E8</v>
      </c>
      <c r="W62" s="32" t="str">
        <f>"－"</f>
        <v>－</v>
      </c>
      <c r="X62" s="36" t="n">
        <f>18</f>
        <v>18.0</v>
      </c>
    </row>
    <row r="63">
      <c r="A63" s="27" t="s">
        <v>42</v>
      </c>
      <c r="B63" s="27" t="s">
        <v>227</v>
      </c>
      <c r="C63" s="27" t="s">
        <v>228</v>
      </c>
      <c r="D63" s="27" t="s">
        <v>229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8060</f>
        <v>8060.0</v>
      </c>
      <c r="L63" s="34" t="s">
        <v>48</v>
      </c>
      <c r="M63" s="33" t="n">
        <f>9190</f>
        <v>9190.0</v>
      </c>
      <c r="N63" s="34" t="s">
        <v>49</v>
      </c>
      <c r="O63" s="33" t="n">
        <f>7460</f>
        <v>7460.0</v>
      </c>
      <c r="P63" s="34" t="s">
        <v>48</v>
      </c>
      <c r="Q63" s="33" t="n">
        <f>8980</f>
        <v>8980.0</v>
      </c>
      <c r="R63" s="34" t="s">
        <v>51</v>
      </c>
      <c r="S63" s="35" t="n">
        <f>8183.33</f>
        <v>8183.33</v>
      </c>
      <c r="T63" s="32" t="n">
        <f>13430</f>
        <v>13430.0</v>
      </c>
      <c r="U63" s="32" t="str">
        <f>"－"</f>
        <v>－</v>
      </c>
      <c r="V63" s="32" t="n">
        <f>113147600</f>
        <v>1.131476E8</v>
      </c>
      <c r="W63" s="32" t="str">
        <f>"－"</f>
        <v>－</v>
      </c>
      <c r="X63" s="36" t="n">
        <f>18</f>
        <v>18.0</v>
      </c>
    </row>
    <row r="64">
      <c r="A64" s="27" t="s">
        <v>42</v>
      </c>
      <c r="B64" s="27" t="s">
        <v>230</v>
      </c>
      <c r="C64" s="27" t="s">
        <v>231</v>
      </c>
      <c r="D64" s="27" t="s">
        <v>232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7350</f>
        <v>7350.0</v>
      </c>
      <c r="L64" s="34" t="s">
        <v>48</v>
      </c>
      <c r="M64" s="33" t="n">
        <f>7550</f>
        <v>7550.0</v>
      </c>
      <c r="N64" s="34" t="s">
        <v>50</v>
      </c>
      <c r="O64" s="33" t="n">
        <f>6700</f>
        <v>6700.0</v>
      </c>
      <c r="P64" s="34" t="s">
        <v>49</v>
      </c>
      <c r="Q64" s="33" t="n">
        <f>6820</f>
        <v>6820.0</v>
      </c>
      <c r="R64" s="34" t="s">
        <v>51</v>
      </c>
      <c r="S64" s="35" t="n">
        <f>7154.62</f>
        <v>7154.62</v>
      </c>
      <c r="T64" s="32" t="n">
        <f>1740</f>
        <v>1740.0</v>
      </c>
      <c r="U64" s="32" t="str">
        <f>"－"</f>
        <v>－</v>
      </c>
      <c r="V64" s="32" t="n">
        <f>12207600</f>
        <v>1.22076E7</v>
      </c>
      <c r="W64" s="32" t="str">
        <f>"－"</f>
        <v>－</v>
      </c>
      <c r="X64" s="36" t="n">
        <f>13</f>
        <v>13.0</v>
      </c>
    </row>
    <row r="65">
      <c r="A65" s="27" t="s">
        <v>42</v>
      </c>
      <c r="B65" s="27" t="s">
        <v>233</v>
      </c>
      <c r="C65" s="27" t="s">
        <v>234</v>
      </c>
      <c r="D65" s="27" t="s">
        <v>235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4575</f>
        <v>4575.0</v>
      </c>
      <c r="L65" s="34" t="s">
        <v>48</v>
      </c>
      <c r="M65" s="33" t="n">
        <f>4830</f>
        <v>4830.0</v>
      </c>
      <c r="N65" s="34" t="s">
        <v>50</v>
      </c>
      <c r="O65" s="33" t="n">
        <f>3810</f>
        <v>3810.0</v>
      </c>
      <c r="P65" s="34" t="s">
        <v>51</v>
      </c>
      <c r="Q65" s="33" t="n">
        <f>3885</f>
        <v>3885.0</v>
      </c>
      <c r="R65" s="34" t="s">
        <v>51</v>
      </c>
      <c r="S65" s="35" t="n">
        <f>4352.5</f>
        <v>4352.5</v>
      </c>
      <c r="T65" s="32" t="n">
        <f>61210</f>
        <v>61210.0</v>
      </c>
      <c r="U65" s="32" t="n">
        <f>110</f>
        <v>110.0</v>
      </c>
      <c r="V65" s="32" t="n">
        <f>265987750</f>
        <v>2.6598775E8</v>
      </c>
      <c r="W65" s="32" t="n">
        <f>489500</f>
        <v>489500.0</v>
      </c>
      <c r="X65" s="36" t="n">
        <f>18</f>
        <v>18.0</v>
      </c>
    </row>
    <row r="66">
      <c r="A66" s="27" t="s">
        <v>42</v>
      </c>
      <c r="B66" s="27" t="s">
        <v>236</v>
      </c>
      <c r="C66" s="27" t="s">
        <v>237</v>
      </c>
      <c r="D66" s="27" t="s">
        <v>238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16120</f>
        <v>16120.0</v>
      </c>
      <c r="L66" s="34" t="s">
        <v>48</v>
      </c>
      <c r="M66" s="33" t="n">
        <f>18900</f>
        <v>18900.0</v>
      </c>
      <c r="N66" s="34" t="s">
        <v>51</v>
      </c>
      <c r="O66" s="33" t="n">
        <f>15570</f>
        <v>15570.0</v>
      </c>
      <c r="P66" s="34" t="s">
        <v>68</v>
      </c>
      <c r="Q66" s="33" t="n">
        <f>18610</f>
        <v>18610.0</v>
      </c>
      <c r="R66" s="34" t="s">
        <v>51</v>
      </c>
      <c r="S66" s="35" t="n">
        <f>16905.56</f>
        <v>16905.56</v>
      </c>
      <c r="T66" s="32" t="n">
        <f>5214</f>
        <v>5214.0</v>
      </c>
      <c r="U66" s="32" t="str">
        <f>"－"</f>
        <v>－</v>
      </c>
      <c r="V66" s="32" t="n">
        <f>89626590</f>
        <v>8.962659E7</v>
      </c>
      <c r="W66" s="32" t="str">
        <f>"－"</f>
        <v>－</v>
      </c>
      <c r="X66" s="36" t="n">
        <f>18</f>
        <v>18.0</v>
      </c>
    </row>
    <row r="67">
      <c r="A67" s="27" t="s">
        <v>42</v>
      </c>
      <c r="B67" s="27" t="s">
        <v>239</v>
      </c>
      <c r="C67" s="27" t="s">
        <v>240</v>
      </c>
      <c r="D67" s="27" t="s">
        <v>241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4915</f>
        <v>4915.0</v>
      </c>
      <c r="L67" s="34" t="s">
        <v>50</v>
      </c>
      <c r="M67" s="33" t="n">
        <f>4915</f>
        <v>4915.0</v>
      </c>
      <c r="N67" s="34" t="s">
        <v>50</v>
      </c>
      <c r="O67" s="33" t="n">
        <f>4405</f>
        <v>4405.0</v>
      </c>
      <c r="P67" s="34" t="s">
        <v>49</v>
      </c>
      <c r="Q67" s="33" t="n">
        <f>4455</f>
        <v>4455.0</v>
      </c>
      <c r="R67" s="34" t="s">
        <v>51</v>
      </c>
      <c r="S67" s="35" t="n">
        <f>4688.13</f>
        <v>4688.13</v>
      </c>
      <c r="T67" s="32" t="n">
        <f>14478</f>
        <v>14478.0</v>
      </c>
      <c r="U67" s="32" t="n">
        <f>12000</f>
        <v>12000.0</v>
      </c>
      <c r="V67" s="32" t="n">
        <f>64920225</f>
        <v>6.4920225E7</v>
      </c>
      <c r="W67" s="32" t="n">
        <f>53563200</f>
        <v>5.35632E7</v>
      </c>
      <c r="X67" s="36" t="n">
        <f>16</f>
        <v>16.0</v>
      </c>
    </row>
    <row r="68">
      <c r="A68" s="27" t="s">
        <v>42</v>
      </c>
      <c r="B68" s="27" t="s">
        <v>242</v>
      </c>
      <c r="C68" s="27" t="s">
        <v>243</v>
      </c>
      <c r="D68" s="27" t="s">
        <v>244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1819</f>
        <v>1819.0</v>
      </c>
      <c r="L68" s="34" t="s">
        <v>48</v>
      </c>
      <c r="M68" s="33" t="n">
        <f>1940</f>
        <v>1940.0</v>
      </c>
      <c r="N68" s="34" t="s">
        <v>50</v>
      </c>
      <c r="O68" s="33" t="n">
        <f>1515</f>
        <v>1515.0</v>
      </c>
      <c r="P68" s="34" t="s">
        <v>49</v>
      </c>
      <c r="Q68" s="33" t="n">
        <f>1543</f>
        <v>1543.0</v>
      </c>
      <c r="R68" s="34" t="s">
        <v>51</v>
      </c>
      <c r="S68" s="35" t="n">
        <f>1718.06</f>
        <v>1718.06</v>
      </c>
      <c r="T68" s="32" t="n">
        <f>74872</f>
        <v>74872.0</v>
      </c>
      <c r="U68" s="32" t="n">
        <f>493</f>
        <v>493.0</v>
      </c>
      <c r="V68" s="32" t="n">
        <f>129852078</f>
        <v>1.29852078E8</v>
      </c>
      <c r="W68" s="32" t="n">
        <f>924108</f>
        <v>924108.0</v>
      </c>
      <c r="X68" s="36" t="n">
        <f>18</f>
        <v>18.0</v>
      </c>
    </row>
    <row r="69">
      <c r="A69" s="27" t="s">
        <v>42</v>
      </c>
      <c r="B69" s="27" t="s">
        <v>245</v>
      </c>
      <c r="C69" s="27" t="s">
        <v>246</v>
      </c>
      <c r="D69" s="27" t="s">
        <v>247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1479</f>
        <v>1479.0</v>
      </c>
      <c r="L69" s="34" t="s">
        <v>48</v>
      </c>
      <c r="M69" s="33" t="n">
        <f>1610</f>
        <v>1610.0</v>
      </c>
      <c r="N69" s="34" t="s">
        <v>49</v>
      </c>
      <c r="O69" s="33" t="n">
        <f>1448</f>
        <v>1448.0</v>
      </c>
      <c r="P69" s="34" t="s">
        <v>50</v>
      </c>
      <c r="Q69" s="33" t="n">
        <f>1596</f>
        <v>1596.0</v>
      </c>
      <c r="R69" s="34" t="s">
        <v>51</v>
      </c>
      <c r="S69" s="35" t="n">
        <f>1518</f>
        <v>1518.0</v>
      </c>
      <c r="T69" s="32" t="n">
        <f>536920</f>
        <v>536920.0</v>
      </c>
      <c r="U69" s="32" t="n">
        <f>500000</f>
        <v>500000.0</v>
      </c>
      <c r="V69" s="32" t="n">
        <f>832309750</f>
        <v>8.3230975E8</v>
      </c>
      <c r="W69" s="32" t="n">
        <f>776125000</f>
        <v>7.76125E8</v>
      </c>
      <c r="X69" s="36" t="n">
        <f>18</f>
        <v>18.0</v>
      </c>
    </row>
    <row r="70">
      <c r="A70" s="27" t="s">
        <v>42</v>
      </c>
      <c r="B70" s="27" t="s">
        <v>248</v>
      </c>
      <c r="C70" s="27" t="s">
        <v>249</v>
      </c>
      <c r="D70" s="27" t="s">
        <v>250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13130</f>
        <v>13130.0</v>
      </c>
      <c r="L70" s="34" t="s">
        <v>48</v>
      </c>
      <c r="M70" s="33" t="n">
        <f>14420</f>
        <v>14420.0</v>
      </c>
      <c r="N70" s="34" t="s">
        <v>49</v>
      </c>
      <c r="O70" s="33" t="n">
        <f>12930</f>
        <v>12930.0</v>
      </c>
      <c r="P70" s="34" t="s">
        <v>50</v>
      </c>
      <c r="Q70" s="33" t="n">
        <f>14360</f>
        <v>14360.0</v>
      </c>
      <c r="R70" s="34" t="s">
        <v>51</v>
      </c>
      <c r="S70" s="35" t="n">
        <f>13588.33</f>
        <v>13588.33</v>
      </c>
      <c r="T70" s="32" t="n">
        <f>1224</f>
        <v>1224.0</v>
      </c>
      <c r="U70" s="32" t="str">
        <f>"－"</f>
        <v>－</v>
      </c>
      <c r="V70" s="32" t="n">
        <f>16509830</f>
        <v>1.650983E7</v>
      </c>
      <c r="W70" s="32" t="str">
        <f>"－"</f>
        <v>－</v>
      </c>
      <c r="X70" s="36" t="n">
        <f>18</f>
        <v>18.0</v>
      </c>
    </row>
    <row r="71">
      <c r="A71" s="27" t="s">
        <v>42</v>
      </c>
      <c r="B71" s="27" t="s">
        <v>251</v>
      </c>
      <c r="C71" s="27" t="s">
        <v>252</v>
      </c>
      <c r="D71" s="27" t="s">
        <v>253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1489</f>
        <v>1489.0</v>
      </c>
      <c r="L71" s="34" t="s">
        <v>48</v>
      </c>
      <c r="M71" s="33" t="n">
        <f>1619</f>
        <v>1619.0</v>
      </c>
      <c r="N71" s="34" t="s">
        <v>49</v>
      </c>
      <c r="O71" s="33" t="n">
        <f>1451</f>
        <v>1451.0</v>
      </c>
      <c r="P71" s="34" t="s">
        <v>50</v>
      </c>
      <c r="Q71" s="33" t="n">
        <f>1597</f>
        <v>1597.0</v>
      </c>
      <c r="R71" s="34" t="s">
        <v>51</v>
      </c>
      <c r="S71" s="35" t="n">
        <f>1523.39</f>
        <v>1523.39</v>
      </c>
      <c r="T71" s="32" t="n">
        <f>4576412</f>
        <v>4576412.0</v>
      </c>
      <c r="U71" s="32" t="n">
        <f>36895</f>
        <v>36895.0</v>
      </c>
      <c r="V71" s="32" t="n">
        <f>6966306855</f>
        <v>6.966306855E9</v>
      </c>
      <c r="W71" s="32" t="n">
        <f>56521171</f>
        <v>5.6521171E7</v>
      </c>
      <c r="X71" s="36" t="n">
        <f>18</f>
        <v>18.0</v>
      </c>
    </row>
    <row r="72">
      <c r="A72" s="27" t="s">
        <v>42</v>
      </c>
      <c r="B72" s="27" t="s">
        <v>254</v>
      </c>
      <c r="C72" s="27" t="s">
        <v>255</v>
      </c>
      <c r="D72" s="27" t="s">
        <v>256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1626</f>
        <v>1626.0</v>
      </c>
      <c r="L72" s="34" t="s">
        <v>48</v>
      </c>
      <c r="M72" s="33" t="n">
        <f>1753</f>
        <v>1753.0</v>
      </c>
      <c r="N72" s="34" t="s">
        <v>51</v>
      </c>
      <c r="O72" s="33" t="n">
        <f>1576</f>
        <v>1576.0</v>
      </c>
      <c r="P72" s="34" t="s">
        <v>116</v>
      </c>
      <c r="Q72" s="33" t="n">
        <f>1751</f>
        <v>1751.0</v>
      </c>
      <c r="R72" s="34" t="s">
        <v>51</v>
      </c>
      <c r="S72" s="35" t="n">
        <f>1661.89</f>
        <v>1661.89</v>
      </c>
      <c r="T72" s="32" t="n">
        <f>4642304</f>
        <v>4642304.0</v>
      </c>
      <c r="U72" s="32" t="n">
        <f>752261</f>
        <v>752261.0</v>
      </c>
      <c r="V72" s="32" t="n">
        <f>7782994728</f>
        <v>7.782994728E9</v>
      </c>
      <c r="W72" s="32" t="n">
        <f>1247496904</f>
        <v>1.247496904E9</v>
      </c>
      <c r="X72" s="36" t="n">
        <f>18</f>
        <v>18.0</v>
      </c>
    </row>
    <row r="73">
      <c r="A73" s="27" t="s">
        <v>42</v>
      </c>
      <c r="B73" s="27" t="s">
        <v>257</v>
      </c>
      <c r="C73" s="27" t="s">
        <v>258</v>
      </c>
      <c r="D73" s="27" t="s">
        <v>259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1647</f>
        <v>1647.0</v>
      </c>
      <c r="L73" s="34" t="s">
        <v>48</v>
      </c>
      <c r="M73" s="33" t="n">
        <f>1760</f>
        <v>1760.0</v>
      </c>
      <c r="N73" s="34" t="s">
        <v>49</v>
      </c>
      <c r="O73" s="33" t="n">
        <f>1604</f>
        <v>1604.0</v>
      </c>
      <c r="P73" s="34" t="s">
        <v>50</v>
      </c>
      <c r="Q73" s="33" t="n">
        <f>1747</f>
        <v>1747.0</v>
      </c>
      <c r="R73" s="34" t="s">
        <v>51</v>
      </c>
      <c r="S73" s="35" t="n">
        <f>1678</f>
        <v>1678.0</v>
      </c>
      <c r="T73" s="32" t="n">
        <f>15493</f>
        <v>15493.0</v>
      </c>
      <c r="U73" s="32" t="str">
        <f>"－"</f>
        <v>－</v>
      </c>
      <c r="V73" s="32" t="n">
        <f>26104831</f>
        <v>2.6104831E7</v>
      </c>
      <c r="W73" s="32" t="str">
        <f>"－"</f>
        <v>－</v>
      </c>
      <c r="X73" s="36" t="n">
        <f>18</f>
        <v>18.0</v>
      </c>
    </row>
    <row r="74">
      <c r="A74" s="27" t="s">
        <v>42</v>
      </c>
      <c r="B74" s="27" t="s">
        <v>260</v>
      </c>
      <c r="C74" s="27" t="s">
        <v>261</v>
      </c>
      <c r="D74" s="27" t="s">
        <v>262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1667</f>
        <v>1667.0</v>
      </c>
      <c r="L74" s="34" t="s">
        <v>48</v>
      </c>
      <c r="M74" s="33" t="n">
        <f>1758</f>
        <v>1758.0</v>
      </c>
      <c r="N74" s="34" t="s">
        <v>49</v>
      </c>
      <c r="O74" s="33" t="n">
        <f>1585</f>
        <v>1585.0</v>
      </c>
      <c r="P74" s="34" t="s">
        <v>50</v>
      </c>
      <c r="Q74" s="33" t="n">
        <f>1726</f>
        <v>1726.0</v>
      </c>
      <c r="R74" s="34" t="s">
        <v>51</v>
      </c>
      <c r="S74" s="35" t="n">
        <f>1655.33</f>
        <v>1655.33</v>
      </c>
      <c r="T74" s="32" t="n">
        <f>150600</f>
        <v>150600.0</v>
      </c>
      <c r="U74" s="32" t="n">
        <f>1253</f>
        <v>1253.0</v>
      </c>
      <c r="V74" s="32" t="n">
        <f>249534656</f>
        <v>2.49534656E8</v>
      </c>
      <c r="W74" s="32" t="n">
        <f>2092510</f>
        <v>2092510.0</v>
      </c>
      <c r="X74" s="36" t="n">
        <f>18</f>
        <v>18.0</v>
      </c>
    </row>
    <row r="75">
      <c r="A75" s="27" t="s">
        <v>42</v>
      </c>
      <c r="B75" s="27" t="s">
        <v>263</v>
      </c>
      <c r="C75" s="27" t="s">
        <v>264</v>
      </c>
      <c r="D75" s="27" t="s">
        <v>265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18380</f>
        <v>18380.0</v>
      </c>
      <c r="L75" s="34" t="s">
        <v>50</v>
      </c>
      <c r="M75" s="33" t="n">
        <f>19300</f>
        <v>19300.0</v>
      </c>
      <c r="N75" s="34" t="s">
        <v>51</v>
      </c>
      <c r="O75" s="33" t="n">
        <f>17670</f>
        <v>17670.0</v>
      </c>
      <c r="P75" s="34" t="s">
        <v>50</v>
      </c>
      <c r="Q75" s="33" t="n">
        <f>19300</f>
        <v>19300.0</v>
      </c>
      <c r="R75" s="34" t="s">
        <v>51</v>
      </c>
      <c r="S75" s="35" t="n">
        <f>18542.22</f>
        <v>18542.22</v>
      </c>
      <c r="T75" s="32" t="n">
        <f>66</f>
        <v>66.0</v>
      </c>
      <c r="U75" s="32" t="str">
        <f>"－"</f>
        <v>－</v>
      </c>
      <c r="V75" s="32" t="n">
        <f>1242140</f>
        <v>1242140.0</v>
      </c>
      <c r="W75" s="32" t="str">
        <f>"－"</f>
        <v>－</v>
      </c>
      <c r="X75" s="36" t="n">
        <f>9</f>
        <v>9.0</v>
      </c>
    </row>
    <row r="76">
      <c r="A76" s="27" t="s">
        <v>42</v>
      </c>
      <c r="B76" s="27" t="s">
        <v>266</v>
      </c>
      <c r="C76" s="27" t="s">
        <v>267</v>
      </c>
      <c r="D76" s="27" t="s">
        <v>268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14560</f>
        <v>14560.0</v>
      </c>
      <c r="L76" s="34" t="s">
        <v>50</v>
      </c>
      <c r="M76" s="33" t="n">
        <f>15550</f>
        <v>15550.0</v>
      </c>
      <c r="N76" s="34" t="s">
        <v>49</v>
      </c>
      <c r="O76" s="33" t="n">
        <f>13850</f>
        <v>13850.0</v>
      </c>
      <c r="P76" s="34" t="s">
        <v>96</v>
      </c>
      <c r="Q76" s="33" t="n">
        <f>15550</f>
        <v>15550.0</v>
      </c>
      <c r="R76" s="34" t="s">
        <v>49</v>
      </c>
      <c r="S76" s="35" t="n">
        <f>14772.5</f>
        <v>14772.5</v>
      </c>
      <c r="T76" s="32" t="n">
        <f>519</f>
        <v>519.0</v>
      </c>
      <c r="U76" s="32" t="str">
        <f>"－"</f>
        <v>－</v>
      </c>
      <c r="V76" s="32" t="n">
        <f>7526310</f>
        <v>7526310.0</v>
      </c>
      <c r="W76" s="32" t="str">
        <f>"－"</f>
        <v>－</v>
      </c>
      <c r="X76" s="36" t="n">
        <f>8</f>
        <v>8.0</v>
      </c>
    </row>
    <row r="77">
      <c r="A77" s="27" t="s">
        <v>42</v>
      </c>
      <c r="B77" s="27" t="s">
        <v>269</v>
      </c>
      <c r="C77" s="27" t="s">
        <v>270</v>
      </c>
      <c r="D77" s="27" t="s">
        <v>271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1451</f>
        <v>1451.0</v>
      </c>
      <c r="L77" s="34" t="s">
        <v>48</v>
      </c>
      <c r="M77" s="33" t="n">
        <f>1569</f>
        <v>1569.0</v>
      </c>
      <c r="N77" s="34" t="s">
        <v>49</v>
      </c>
      <c r="O77" s="33" t="n">
        <f>1410</f>
        <v>1410.0</v>
      </c>
      <c r="P77" s="34" t="s">
        <v>50</v>
      </c>
      <c r="Q77" s="33" t="n">
        <f>1562</f>
        <v>1562.0</v>
      </c>
      <c r="R77" s="34" t="s">
        <v>51</v>
      </c>
      <c r="S77" s="35" t="n">
        <f>1484.67</f>
        <v>1484.67</v>
      </c>
      <c r="T77" s="32" t="n">
        <f>132449</f>
        <v>132449.0</v>
      </c>
      <c r="U77" s="32" t="str">
        <f>"－"</f>
        <v>－</v>
      </c>
      <c r="V77" s="32" t="n">
        <f>192567757</f>
        <v>1.92567757E8</v>
      </c>
      <c r="W77" s="32" t="str">
        <f>"－"</f>
        <v>－</v>
      </c>
      <c r="X77" s="36" t="n">
        <f>18</f>
        <v>18.0</v>
      </c>
    </row>
    <row r="78">
      <c r="A78" s="27" t="s">
        <v>42</v>
      </c>
      <c r="B78" s="27" t="s">
        <v>272</v>
      </c>
      <c r="C78" s="27" t="s">
        <v>273</v>
      </c>
      <c r="D78" s="27" t="s">
        <v>274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2540</f>
        <v>2540.0</v>
      </c>
      <c r="L78" s="34" t="s">
        <v>48</v>
      </c>
      <c r="M78" s="33" t="n">
        <f>2540</f>
        <v>2540.0</v>
      </c>
      <c r="N78" s="34" t="s">
        <v>48</v>
      </c>
      <c r="O78" s="33" t="n">
        <f>2501</f>
        <v>2501.0</v>
      </c>
      <c r="P78" s="34" t="s">
        <v>50</v>
      </c>
      <c r="Q78" s="33" t="n">
        <f>2523</f>
        <v>2523.0</v>
      </c>
      <c r="R78" s="34" t="s">
        <v>51</v>
      </c>
      <c r="S78" s="35" t="n">
        <f>2518.83</f>
        <v>2518.83</v>
      </c>
      <c r="T78" s="32" t="n">
        <f>347362</f>
        <v>347362.0</v>
      </c>
      <c r="U78" s="32" t="n">
        <f>159010</f>
        <v>159010.0</v>
      </c>
      <c r="V78" s="32" t="n">
        <f>874035119</f>
        <v>8.74035119E8</v>
      </c>
      <c r="W78" s="32" t="n">
        <f>399745750</f>
        <v>3.9974575E8</v>
      </c>
      <c r="X78" s="36" t="n">
        <f>18</f>
        <v>18.0</v>
      </c>
    </row>
    <row r="79">
      <c r="A79" s="27" t="s">
        <v>42</v>
      </c>
      <c r="B79" s="27" t="s">
        <v>275</v>
      </c>
      <c r="C79" s="27" t="s">
        <v>276</v>
      </c>
      <c r="D79" s="27" t="s">
        <v>277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1366</f>
        <v>1366.0</v>
      </c>
      <c r="L79" s="34" t="s">
        <v>48</v>
      </c>
      <c r="M79" s="33" t="n">
        <f>1466</f>
        <v>1466.0</v>
      </c>
      <c r="N79" s="34" t="s">
        <v>49</v>
      </c>
      <c r="O79" s="33" t="n">
        <f>1300</f>
        <v>1300.0</v>
      </c>
      <c r="P79" s="34" t="s">
        <v>48</v>
      </c>
      <c r="Q79" s="33" t="n">
        <f>1441</f>
        <v>1441.0</v>
      </c>
      <c r="R79" s="34" t="s">
        <v>51</v>
      </c>
      <c r="S79" s="35" t="n">
        <f>1402.67</f>
        <v>1402.67</v>
      </c>
      <c r="T79" s="32" t="n">
        <f>889</f>
        <v>889.0</v>
      </c>
      <c r="U79" s="32" t="str">
        <f>"－"</f>
        <v>－</v>
      </c>
      <c r="V79" s="32" t="n">
        <f>1253151</f>
        <v>1253151.0</v>
      </c>
      <c r="W79" s="32" t="str">
        <f>"－"</f>
        <v>－</v>
      </c>
      <c r="X79" s="36" t="n">
        <f>18</f>
        <v>18.0</v>
      </c>
    </row>
    <row r="80">
      <c r="A80" s="27" t="s">
        <v>42</v>
      </c>
      <c r="B80" s="27" t="s">
        <v>278</v>
      </c>
      <c r="C80" s="27" t="s">
        <v>279</v>
      </c>
      <c r="D80" s="27" t="s">
        <v>280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1413</f>
        <v>1413.0</v>
      </c>
      <c r="L80" s="34" t="s">
        <v>48</v>
      </c>
      <c r="M80" s="33" t="n">
        <f>1551</f>
        <v>1551.0</v>
      </c>
      <c r="N80" s="34" t="s">
        <v>51</v>
      </c>
      <c r="O80" s="33" t="n">
        <f>1405</f>
        <v>1405.0</v>
      </c>
      <c r="P80" s="34" t="s">
        <v>50</v>
      </c>
      <c r="Q80" s="33" t="n">
        <f>1548</f>
        <v>1548.0</v>
      </c>
      <c r="R80" s="34" t="s">
        <v>51</v>
      </c>
      <c r="S80" s="35" t="n">
        <f>1469.33</f>
        <v>1469.33</v>
      </c>
      <c r="T80" s="32" t="n">
        <f>3950</f>
        <v>3950.0</v>
      </c>
      <c r="U80" s="32" t="str">
        <f>"－"</f>
        <v>－</v>
      </c>
      <c r="V80" s="32" t="n">
        <f>5769260</f>
        <v>5769260.0</v>
      </c>
      <c r="W80" s="32" t="str">
        <f>"－"</f>
        <v>－</v>
      </c>
      <c r="X80" s="36" t="n">
        <f>18</f>
        <v>18.0</v>
      </c>
    </row>
    <row r="81">
      <c r="A81" s="27" t="s">
        <v>42</v>
      </c>
      <c r="B81" s="27" t="s">
        <v>281</v>
      </c>
      <c r="C81" s="27" t="s">
        <v>282</v>
      </c>
      <c r="D81" s="27" t="s">
        <v>283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26150</f>
        <v>26150.0</v>
      </c>
      <c r="L81" s="34" t="s">
        <v>72</v>
      </c>
      <c r="M81" s="33" t="n">
        <f>26150</f>
        <v>26150.0</v>
      </c>
      <c r="N81" s="34" t="s">
        <v>72</v>
      </c>
      <c r="O81" s="33" t="n">
        <f>25200</f>
        <v>25200.0</v>
      </c>
      <c r="P81" s="34" t="s">
        <v>51</v>
      </c>
      <c r="Q81" s="33" t="n">
        <f>25200</f>
        <v>25200.0</v>
      </c>
      <c r="R81" s="34" t="s">
        <v>51</v>
      </c>
      <c r="S81" s="35" t="n">
        <f>25627.5</f>
        <v>25627.5</v>
      </c>
      <c r="T81" s="32" t="n">
        <f>30</f>
        <v>30.0</v>
      </c>
      <c r="U81" s="32" t="str">
        <f>"－"</f>
        <v>－</v>
      </c>
      <c r="V81" s="32" t="n">
        <f>781410</f>
        <v>781410.0</v>
      </c>
      <c r="W81" s="32" t="str">
        <f>"－"</f>
        <v>－</v>
      </c>
      <c r="X81" s="36" t="n">
        <f>4</f>
        <v>4.0</v>
      </c>
    </row>
    <row r="82">
      <c r="A82" s="27" t="s">
        <v>42</v>
      </c>
      <c r="B82" s="27" t="s">
        <v>284</v>
      </c>
      <c r="C82" s="27" t="s">
        <v>285</v>
      </c>
      <c r="D82" s="27" t="s">
        <v>286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22390</f>
        <v>22390.0</v>
      </c>
      <c r="L82" s="34" t="s">
        <v>48</v>
      </c>
      <c r="M82" s="33" t="n">
        <f>22690</f>
        <v>22690.0</v>
      </c>
      <c r="N82" s="34" t="s">
        <v>103</v>
      </c>
      <c r="O82" s="33" t="n">
        <f>22220</f>
        <v>22220.0</v>
      </c>
      <c r="P82" s="34" t="s">
        <v>50</v>
      </c>
      <c r="Q82" s="33" t="n">
        <f>22480</f>
        <v>22480.0</v>
      </c>
      <c r="R82" s="34" t="s">
        <v>51</v>
      </c>
      <c r="S82" s="35" t="n">
        <f>22495.88</f>
        <v>22495.88</v>
      </c>
      <c r="T82" s="32" t="n">
        <f>60195</f>
        <v>60195.0</v>
      </c>
      <c r="U82" s="32" t="n">
        <f>36000</f>
        <v>36000.0</v>
      </c>
      <c r="V82" s="32" t="n">
        <f>1350216850</f>
        <v>1.35021685E9</v>
      </c>
      <c r="W82" s="32" t="n">
        <f>804731600</f>
        <v>8.047316E8</v>
      </c>
      <c r="X82" s="36" t="n">
        <f>17</f>
        <v>17.0</v>
      </c>
    </row>
    <row r="83">
      <c r="A83" s="27" t="s">
        <v>42</v>
      </c>
      <c r="B83" s="27" t="s">
        <v>287</v>
      </c>
      <c r="C83" s="27" t="s">
        <v>288</v>
      </c>
      <c r="D83" s="27" t="s">
        <v>289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19810</f>
        <v>19810.0</v>
      </c>
      <c r="L83" s="34" t="s">
        <v>48</v>
      </c>
      <c r="M83" s="33" t="n">
        <f>20050</f>
        <v>20050.0</v>
      </c>
      <c r="N83" s="34" t="s">
        <v>103</v>
      </c>
      <c r="O83" s="33" t="n">
        <f>19610</f>
        <v>19610.0</v>
      </c>
      <c r="P83" s="34" t="s">
        <v>85</v>
      </c>
      <c r="Q83" s="33" t="n">
        <f>19840</f>
        <v>19840.0</v>
      </c>
      <c r="R83" s="34" t="s">
        <v>51</v>
      </c>
      <c r="S83" s="35" t="n">
        <f>19837.22</f>
        <v>19837.22</v>
      </c>
      <c r="T83" s="32" t="n">
        <f>27761</f>
        <v>27761.0</v>
      </c>
      <c r="U83" s="32" t="n">
        <f>20000</f>
        <v>20000.0</v>
      </c>
      <c r="V83" s="32" t="n">
        <f>550510320</f>
        <v>5.5051032E8</v>
      </c>
      <c r="W83" s="32" t="n">
        <f>397038000</f>
        <v>3.97038E8</v>
      </c>
      <c r="X83" s="36" t="n">
        <f>18</f>
        <v>18.0</v>
      </c>
    </row>
    <row r="84">
      <c r="A84" s="27" t="s">
        <v>42</v>
      </c>
      <c r="B84" s="27" t="s">
        <v>290</v>
      </c>
      <c r="C84" s="27" t="s">
        <v>291</v>
      </c>
      <c r="D84" s="27" t="s">
        <v>292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1623</f>
        <v>1623.0</v>
      </c>
      <c r="L84" s="34" t="s">
        <v>48</v>
      </c>
      <c r="M84" s="33" t="n">
        <f>1764</f>
        <v>1764.0</v>
      </c>
      <c r="N84" s="34" t="s">
        <v>51</v>
      </c>
      <c r="O84" s="33" t="n">
        <f>1586</f>
        <v>1586.0</v>
      </c>
      <c r="P84" s="34" t="s">
        <v>116</v>
      </c>
      <c r="Q84" s="33" t="n">
        <f>1764</f>
        <v>1764.0</v>
      </c>
      <c r="R84" s="34" t="s">
        <v>51</v>
      </c>
      <c r="S84" s="35" t="n">
        <f>1671.22</f>
        <v>1671.22</v>
      </c>
      <c r="T84" s="32" t="n">
        <f>1414770</f>
        <v>1414770.0</v>
      </c>
      <c r="U84" s="32" t="n">
        <f>150000</f>
        <v>150000.0</v>
      </c>
      <c r="V84" s="32" t="n">
        <f>2359408910</f>
        <v>2.35940891E9</v>
      </c>
      <c r="W84" s="32" t="n">
        <f>263089500</f>
        <v>2.630895E8</v>
      </c>
      <c r="X84" s="36" t="n">
        <f>18</f>
        <v>18.0</v>
      </c>
    </row>
    <row r="85">
      <c r="A85" s="27" t="s">
        <v>42</v>
      </c>
      <c r="B85" s="27" t="s">
        <v>293</v>
      </c>
      <c r="C85" s="27" t="s">
        <v>294</v>
      </c>
      <c r="D85" s="27" t="s">
        <v>295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26890</f>
        <v>26890.0</v>
      </c>
      <c r="L85" s="34" t="s">
        <v>48</v>
      </c>
      <c r="M85" s="33" t="n">
        <f>28650</f>
        <v>28650.0</v>
      </c>
      <c r="N85" s="34" t="s">
        <v>49</v>
      </c>
      <c r="O85" s="33" t="n">
        <f>25600</f>
        <v>25600.0</v>
      </c>
      <c r="P85" s="34" t="s">
        <v>50</v>
      </c>
      <c r="Q85" s="33" t="n">
        <f>27990</f>
        <v>27990.0</v>
      </c>
      <c r="R85" s="34" t="s">
        <v>51</v>
      </c>
      <c r="S85" s="35" t="n">
        <f>26753.89</f>
        <v>26753.89</v>
      </c>
      <c r="T85" s="32" t="n">
        <f>34615</f>
        <v>34615.0</v>
      </c>
      <c r="U85" s="32" t="str">
        <f>"－"</f>
        <v>－</v>
      </c>
      <c r="V85" s="32" t="n">
        <f>929309210</f>
        <v>9.2930921E8</v>
      </c>
      <c r="W85" s="32" t="str">
        <f>"－"</f>
        <v>－</v>
      </c>
      <c r="X85" s="36" t="n">
        <f>18</f>
        <v>18.0</v>
      </c>
    </row>
    <row r="86">
      <c r="A86" s="27" t="s">
        <v>42</v>
      </c>
      <c r="B86" s="27" t="s">
        <v>296</v>
      </c>
      <c r="C86" s="27" t="s">
        <v>297</v>
      </c>
      <c r="D86" s="27" t="s">
        <v>298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8470</f>
        <v>8470.0</v>
      </c>
      <c r="L86" s="34" t="s">
        <v>299</v>
      </c>
      <c r="M86" s="33" t="n">
        <f>8470</f>
        <v>8470.0</v>
      </c>
      <c r="N86" s="34" t="s">
        <v>299</v>
      </c>
      <c r="O86" s="33" t="n">
        <f>8470</f>
        <v>8470.0</v>
      </c>
      <c r="P86" s="34" t="s">
        <v>299</v>
      </c>
      <c r="Q86" s="33" t="n">
        <f>8470</f>
        <v>8470.0</v>
      </c>
      <c r="R86" s="34" t="s">
        <v>51</v>
      </c>
      <c r="S86" s="35" t="n">
        <f>8470</f>
        <v>8470.0</v>
      </c>
      <c r="T86" s="32" t="n">
        <f>20</f>
        <v>20.0</v>
      </c>
      <c r="U86" s="32" t="str">
        <f>"－"</f>
        <v>－</v>
      </c>
      <c r="V86" s="32" t="n">
        <f>169400</f>
        <v>169400.0</v>
      </c>
      <c r="W86" s="32" t="str">
        <f>"－"</f>
        <v>－</v>
      </c>
      <c r="X86" s="36" t="n">
        <f>2</f>
        <v>2.0</v>
      </c>
    </row>
    <row r="87">
      <c r="A87" s="27" t="s">
        <v>42</v>
      </c>
      <c r="B87" s="27" t="s">
        <v>300</v>
      </c>
      <c r="C87" s="27" t="s">
        <v>301</v>
      </c>
      <c r="D87" s="27" t="s">
        <v>302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12300</f>
        <v>12300.0</v>
      </c>
      <c r="L87" s="34" t="s">
        <v>48</v>
      </c>
      <c r="M87" s="33" t="n">
        <f>13290</f>
        <v>13290.0</v>
      </c>
      <c r="N87" s="34" t="s">
        <v>49</v>
      </c>
      <c r="O87" s="33" t="n">
        <f>12020</f>
        <v>12020.0</v>
      </c>
      <c r="P87" s="34" t="s">
        <v>68</v>
      </c>
      <c r="Q87" s="33" t="n">
        <f>13200</f>
        <v>13200.0</v>
      </c>
      <c r="R87" s="34" t="s">
        <v>51</v>
      </c>
      <c r="S87" s="35" t="n">
        <f>12623.89</f>
        <v>12623.89</v>
      </c>
      <c r="T87" s="32" t="n">
        <f>1699</f>
        <v>1699.0</v>
      </c>
      <c r="U87" s="32" t="str">
        <f>"－"</f>
        <v>－</v>
      </c>
      <c r="V87" s="32" t="n">
        <f>21521040</f>
        <v>2.152104E7</v>
      </c>
      <c r="W87" s="32" t="str">
        <f>"－"</f>
        <v>－</v>
      </c>
      <c r="X87" s="36" t="n">
        <f>18</f>
        <v>18.0</v>
      </c>
    </row>
    <row r="88">
      <c r="A88" s="27" t="s">
        <v>42</v>
      </c>
      <c r="B88" s="27" t="s">
        <v>303</v>
      </c>
      <c r="C88" s="27" t="s">
        <v>304</v>
      </c>
      <c r="D88" s="27" t="s">
        <v>305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12050</f>
        <v>12050.0</v>
      </c>
      <c r="L88" s="34" t="s">
        <v>48</v>
      </c>
      <c r="M88" s="33" t="n">
        <f>13300</f>
        <v>13300.0</v>
      </c>
      <c r="N88" s="34" t="s">
        <v>49</v>
      </c>
      <c r="O88" s="33" t="n">
        <f>11720</f>
        <v>11720.0</v>
      </c>
      <c r="P88" s="34" t="s">
        <v>48</v>
      </c>
      <c r="Q88" s="33" t="n">
        <f>13290</f>
        <v>13290.0</v>
      </c>
      <c r="R88" s="34" t="s">
        <v>51</v>
      </c>
      <c r="S88" s="35" t="n">
        <f>12539.44</f>
        <v>12539.44</v>
      </c>
      <c r="T88" s="32" t="n">
        <f>457</f>
        <v>457.0</v>
      </c>
      <c r="U88" s="32" t="str">
        <f>"－"</f>
        <v>－</v>
      </c>
      <c r="V88" s="32" t="n">
        <f>5736320</f>
        <v>5736320.0</v>
      </c>
      <c r="W88" s="32" t="str">
        <f>"－"</f>
        <v>－</v>
      </c>
      <c r="X88" s="36" t="n">
        <f>18</f>
        <v>18.0</v>
      </c>
    </row>
    <row r="89">
      <c r="A89" s="27" t="s">
        <v>42</v>
      </c>
      <c r="B89" s="27" t="s">
        <v>306</v>
      </c>
      <c r="C89" s="27" t="s">
        <v>307</v>
      </c>
      <c r="D89" s="27" t="s">
        <v>308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15190</f>
        <v>15190.0</v>
      </c>
      <c r="L89" s="34" t="s">
        <v>48</v>
      </c>
      <c r="M89" s="33" t="n">
        <f>16190</f>
        <v>16190.0</v>
      </c>
      <c r="N89" s="34" t="s">
        <v>49</v>
      </c>
      <c r="O89" s="33" t="n">
        <f>14600</f>
        <v>14600.0</v>
      </c>
      <c r="P89" s="34" t="s">
        <v>50</v>
      </c>
      <c r="Q89" s="33" t="n">
        <f>16010</f>
        <v>16010.0</v>
      </c>
      <c r="R89" s="34" t="s">
        <v>51</v>
      </c>
      <c r="S89" s="35" t="n">
        <f>15241.11</f>
        <v>15241.11</v>
      </c>
      <c r="T89" s="32" t="n">
        <f>783</f>
        <v>783.0</v>
      </c>
      <c r="U89" s="32" t="str">
        <f>"－"</f>
        <v>－</v>
      </c>
      <c r="V89" s="32" t="n">
        <f>12083810</f>
        <v>1.208381E7</v>
      </c>
      <c r="W89" s="32" t="str">
        <f>"－"</f>
        <v>－</v>
      </c>
      <c r="X89" s="36" t="n">
        <f>18</f>
        <v>18.0</v>
      </c>
    </row>
    <row r="90">
      <c r="A90" s="27" t="s">
        <v>42</v>
      </c>
      <c r="B90" s="27" t="s">
        <v>309</v>
      </c>
      <c r="C90" s="27" t="s">
        <v>310</v>
      </c>
      <c r="D90" s="27" t="s">
        <v>311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9430</f>
        <v>9430.0</v>
      </c>
      <c r="L90" s="34" t="s">
        <v>48</v>
      </c>
      <c r="M90" s="33" t="n">
        <f>9590</f>
        <v>9590.0</v>
      </c>
      <c r="N90" s="34" t="s">
        <v>96</v>
      </c>
      <c r="O90" s="33" t="n">
        <f>9090</f>
        <v>9090.0</v>
      </c>
      <c r="P90" s="34" t="s">
        <v>312</v>
      </c>
      <c r="Q90" s="33" t="n">
        <f>9340</f>
        <v>9340.0</v>
      </c>
      <c r="R90" s="34" t="s">
        <v>51</v>
      </c>
      <c r="S90" s="35" t="n">
        <f>9327.78</f>
        <v>9327.78</v>
      </c>
      <c r="T90" s="32" t="n">
        <f>9440</f>
        <v>9440.0</v>
      </c>
      <c r="U90" s="32" t="str">
        <f>"－"</f>
        <v>－</v>
      </c>
      <c r="V90" s="32" t="n">
        <f>87989900</f>
        <v>8.79899E7</v>
      </c>
      <c r="W90" s="32" t="str">
        <f>"－"</f>
        <v>－</v>
      </c>
      <c r="X90" s="36" t="n">
        <f>18</f>
        <v>18.0</v>
      </c>
    </row>
    <row r="91">
      <c r="A91" s="27" t="s">
        <v>42</v>
      </c>
      <c r="B91" s="27" t="s">
        <v>313</v>
      </c>
      <c r="C91" s="27" t="s">
        <v>314</v>
      </c>
      <c r="D91" s="27" t="s">
        <v>315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2549</f>
        <v>2549.0</v>
      </c>
      <c r="L91" s="34" t="s">
        <v>48</v>
      </c>
      <c r="M91" s="33" t="n">
        <f>2585</f>
        <v>2585.0</v>
      </c>
      <c r="N91" s="34" t="s">
        <v>51</v>
      </c>
      <c r="O91" s="33" t="n">
        <f>2456</f>
        <v>2456.0</v>
      </c>
      <c r="P91" s="34" t="s">
        <v>85</v>
      </c>
      <c r="Q91" s="33" t="n">
        <f>2571</f>
        <v>2571.0</v>
      </c>
      <c r="R91" s="34" t="s">
        <v>51</v>
      </c>
      <c r="S91" s="35" t="n">
        <f>2523.5</f>
        <v>2523.5</v>
      </c>
      <c r="T91" s="32" t="n">
        <f>664633</f>
        <v>664633.0</v>
      </c>
      <c r="U91" s="32" t="n">
        <f>640000</f>
        <v>640000.0</v>
      </c>
      <c r="V91" s="32" t="n">
        <f>1663821229</f>
        <v>1.663821229E9</v>
      </c>
      <c r="W91" s="32" t="n">
        <f>1601738000</f>
        <v>1.601738E9</v>
      </c>
      <c r="X91" s="36" t="n">
        <f>18</f>
        <v>18.0</v>
      </c>
    </row>
    <row r="92">
      <c r="A92" s="27" t="s">
        <v>42</v>
      </c>
      <c r="B92" s="27" t="s">
        <v>316</v>
      </c>
      <c r="C92" s="27" t="s">
        <v>317</v>
      </c>
      <c r="D92" s="27" t="s">
        <v>318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2161</f>
        <v>2161.0</v>
      </c>
      <c r="L92" s="34" t="s">
        <v>48</v>
      </c>
      <c r="M92" s="33" t="n">
        <f>2265</f>
        <v>2265.0</v>
      </c>
      <c r="N92" s="34" t="s">
        <v>49</v>
      </c>
      <c r="O92" s="33" t="n">
        <f>2133</f>
        <v>2133.0</v>
      </c>
      <c r="P92" s="34" t="s">
        <v>116</v>
      </c>
      <c r="Q92" s="33" t="n">
        <f>2238</f>
        <v>2238.0</v>
      </c>
      <c r="R92" s="34" t="s">
        <v>51</v>
      </c>
      <c r="S92" s="35" t="n">
        <f>2179.33</f>
        <v>2179.33</v>
      </c>
      <c r="T92" s="32" t="n">
        <f>60278</f>
        <v>60278.0</v>
      </c>
      <c r="U92" s="32" t="n">
        <f>27990</f>
        <v>27990.0</v>
      </c>
      <c r="V92" s="32" t="n">
        <f>131009616</f>
        <v>1.31009616E8</v>
      </c>
      <c r="W92" s="32" t="n">
        <f>60236999</f>
        <v>6.0236999E7</v>
      </c>
      <c r="X92" s="36" t="n">
        <f>18</f>
        <v>18.0</v>
      </c>
    </row>
    <row r="93">
      <c r="A93" s="27" t="s">
        <v>42</v>
      </c>
      <c r="B93" s="27" t="s">
        <v>319</v>
      </c>
      <c r="C93" s="27" t="s">
        <v>320</v>
      </c>
      <c r="D93" s="27" t="s">
        <v>321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11090</f>
        <v>11090.0</v>
      </c>
      <c r="L93" s="34" t="s">
        <v>48</v>
      </c>
      <c r="M93" s="33" t="n">
        <f>11980</f>
        <v>11980.0</v>
      </c>
      <c r="N93" s="34" t="s">
        <v>49</v>
      </c>
      <c r="O93" s="33" t="n">
        <f>10780</f>
        <v>10780.0</v>
      </c>
      <c r="P93" s="34" t="s">
        <v>50</v>
      </c>
      <c r="Q93" s="33" t="n">
        <f>11940</f>
        <v>11940.0</v>
      </c>
      <c r="R93" s="34" t="s">
        <v>51</v>
      </c>
      <c r="S93" s="35" t="n">
        <f>11297.22</f>
        <v>11297.22</v>
      </c>
      <c r="T93" s="32" t="n">
        <f>4054</f>
        <v>4054.0</v>
      </c>
      <c r="U93" s="32" t="str">
        <f>"－"</f>
        <v>－</v>
      </c>
      <c r="V93" s="32" t="n">
        <f>45757790</f>
        <v>4.575779E7</v>
      </c>
      <c r="W93" s="32" t="str">
        <f>"－"</f>
        <v>－</v>
      </c>
      <c r="X93" s="36" t="n">
        <f>18</f>
        <v>18.0</v>
      </c>
    </row>
    <row r="94">
      <c r="A94" s="27" t="s">
        <v>42</v>
      </c>
      <c r="B94" s="27" t="s">
        <v>322</v>
      </c>
      <c r="C94" s="27" t="s">
        <v>323</v>
      </c>
      <c r="D94" s="27" t="s">
        <v>324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8470</f>
        <v>8470.0</v>
      </c>
      <c r="L94" s="34" t="s">
        <v>48</v>
      </c>
      <c r="M94" s="33" t="n">
        <f>8700</f>
        <v>8700.0</v>
      </c>
      <c r="N94" s="34" t="s">
        <v>61</v>
      </c>
      <c r="O94" s="33" t="n">
        <f>8190</f>
        <v>8190.0</v>
      </c>
      <c r="P94" s="34" t="s">
        <v>116</v>
      </c>
      <c r="Q94" s="33" t="n">
        <f>8420</f>
        <v>8420.0</v>
      </c>
      <c r="R94" s="34" t="s">
        <v>49</v>
      </c>
      <c r="S94" s="35" t="n">
        <f>8416.88</f>
        <v>8416.88</v>
      </c>
      <c r="T94" s="32" t="n">
        <f>218</f>
        <v>218.0</v>
      </c>
      <c r="U94" s="32" t="str">
        <f>"－"</f>
        <v>－</v>
      </c>
      <c r="V94" s="32" t="n">
        <f>1828310</f>
        <v>1828310.0</v>
      </c>
      <c r="W94" s="32" t="str">
        <f>"－"</f>
        <v>－</v>
      </c>
      <c r="X94" s="36" t="n">
        <f>16</f>
        <v>16.0</v>
      </c>
    </row>
    <row r="95">
      <c r="A95" s="27" t="s">
        <v>42</v>
      </c>
      <c r="B95" s="27" t="s">
        <v>325</v>
      </c>
      <c r="C95" s="27" t="s">
        <v>326</v>
      </c>
      <c r="D95" s="27" t="s">
        <v>327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5610</f>
        <v>5610.0</v>
      </c>
      <c r="L95" s="34" t="s">
        <v>48</v>
      </c>
      <c r="M95" s="33" t="n">
        <f>5870</f>
        <v>5870.0</v>
      </c>
      <c r="N95" s="34" t="s">
        <v>68</v>
      </c>
      <c r="O95" s="33" t="n">
        <f>5570</f>
        <v>5570.0</v>
      </c>
      <c r="P95" s="34" t="s">
        <v>48</v>
      </c>
      <c r="Q95" s="33" t="n">
        <f>5700</f>
        <v>5700.0</v>
      </c>
      <c r="R95" s="34" t="s">
        <v>51</v>
      </c>
      <c r="S95" s="35" t="n">
        <f>5717.78</f>
        <v>5717.78</v>
      </c>
      <c r="T95" s="32" t="n">
        <f>2243921</f>
        <v>2243921.0</v>
      </c>
      <c r="U95" s="32" t="n">
        <f>59380</f>
        <v>59380.0</v>
      </c>
      <c r="V95" s="32" t="n">
        <f>12849777693</f>
        <v>1.2849777693E10</v>
      </c>
      <c r="W95" s="32" t="n">
        <f>337837863</f>
        <v>3.37837863E8</v>
      </c>
      <c r="X95" s="36" t="n">
        <f>18</f>
        <v>18.0</v>
      </c>
    </row>
    <row r="96">
      <c r="A96" s="27" t="s">
        <v>42</v>
      </c>
      <c r="B96" s="27" t="s">
        <v>328</v>
      </c>
      <c r="C96" s="27" t="s">
        <v>329</v>
      </c>
      <c r="D96" s="27" t="s">
        <v>330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2560</f>
        <v>2560.0</v>
      </c>
      <c r="L96" s="34" t="s">
        <v>48</v>
      </c>
      <c r="M96" s="33" t="n">
        <f>3000</f>
        <v>3000.0</v>
      </c>
      <c r="N96" s="34" t="s">
        <v>92</v>
      </c>
      <c r="O96" s="33" t="n">
        <f>2486</f>
        <v>2486.0</v>
      </c>
      <c r="P96" s="34" t="s">
        <v>50</v>
      </c>
      <c r="Q96" s="33" t="n">
        <f>2740</f>
        <v>2740.0</v>
      </c>
      <c r="R96" s="34" t="s">
        <v>51</v>
      </c>
      <c r="S96" s="35" t="n">
        <f>2687.33</f>
        <v>2687.33</v>
      </c>
      <c r="T96" s="32" t="n">
        <f>834359</f>
        <v>834359.0</v>
      </c>
      <c r="U96" s="32" t="n">
        <f>116</f>
        <v>116.0</v>
      </c>
      <c r="V96" s="32" t="n">
        <f>2325138807</f>
        <v>2.325138807E9</v>
      </c>
      <c r="W96" s="32" t="n">
        <f>326424</f>
        <v>326424.0</v>
      </c>
      <c r="X96" s="36" t="n">
        <f>18</f>
        <v>18.0</v>
      </c>
    </row>
    <row r="97">
      <c r="A97" s="27" t="s">
        <v>42</v>
      </c>
      <c r="B97" s="27" t="s">
        <v>331</v>
      </c>
      <c r="C97" s="27" t="s">
        <v>332</v>
      </c>
      <c r="D97" s="27" t="s">
        <v>333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4990</f>
        <v>4990.0</v>
      </c>
      <c r="L97" s="34" t="s">
        <v>48</v>
      </c>
      <c r="M97" s="33" t="n">
        <f>5760</f>
        <v>5760.0</v>
      </c>
      <c r="N97" s="34" t="s">
        <v>92</v>
      </c>
      <c r="O97" s="33" t="n">
        <f>4835</f>
        <v>4835.0</v>
      </c>
      <c r="P97" s="34" t="s">
        <v>50</v>
      </c>
      <c r="Q97" s="33" t="n">
        <f>5610</f>
        <v>5610.0</v>
      </c>
      <c r="R97" s="34" t="s">
        <v>51</v>
      </c>
      <c r="S97" s="35" t="n">
        <f>5337.5</f>
        <v>5337.5</v>
      </c>
      <c r="T97" s="32" t="n">
        <f>136970</f>
        <v>136970.0</v>
      </c>
      <c r="U97" s="32" t="n">
        <f>108</f>
        <v>108.0</v>
      </c>
      <c r="V97" s="32" t="n">
        <f>747316535</f>
        <v>7.47316535E8</v>
      </c>
      <c r="W97" s="32" t="n">
        <f>590405</f>
        <v>590405.0</v>
      </c>
      <c r="X97" s="36" t="n">
        <f>18</f>
        <v>18.0</v>
      </c>
    </row>
    <row r="98">
      <c r="A98" s="27" t="s">
        <v>42</v>
      </c>
      <c r="B98" s="27" t="s">
        <v>334</v>
      </c>
      <c r="C98" s="27" t="s">
        <v>335</v>
      </c>
      <c r="D98" s="27" t="s">
        <v>336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64300</f>
        <v>64300.0</v>
      </c>
      <c r="L98" s="34" t="s">
        <v>48</v>
      </c>
      <c r="M98" s="33" t="n">
        <f>69200</f>
        <v>69200.0</v>
      </c>
      <c r="N98" s="34" t="s">
        <v>174</v>
      </c>
      <c r="O98" s="33" t="n">
        <f>59000</f>
        <v>59000.0</v>
      </c>
      <c r="P98" s="34" t="s">
        <v>50</v>
      </c>
      <c r="Q98" s="33" t="n">
        <f>62100</f>
        <v>62100.0</v>
      </c>
      <c r="R98" s="34" t="s">
        <v>51</v>
      </c>
      <c r="S98" s="35" t="n">
        <f>63461.11</f>
        <v>63461.11</v>
      </c>
      <c r="T98" s="32" t="n">
        <f>4864</f>
        <v>4864.0</v>
      </c>
      <c r="U98" s="32" t="str">
        <f>"－"</f>
        <v>－</v>
      </c>
      <c r="V98" s="32" t="n">
        <f>312098800</f>
        <v>3.120988E8</v>
      </c>
      <c r="W98" s="32" t="str">
        <f>"－"</f>
        <v>－</v>
      </c>
      <c r="X98" s="36" t="n">
        <f>18</f>
        <v>18.0</v>
      </c>
    </row>
    <row r="99">
      <c r="A99" s="27" t="s">
        <v>42</v>
      </c>
      <c r="B99" s="27" t="s">
        <v>337</v>
      </c>
      <c r="C99" s="27" t="s">
        <v>338</v>
      </c>
      <c r="D99" s="27" t="s">
        <v>339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9650</f>
        <v>9650.0</v>
      </c>
      <c r="L99" s="34" t="s">
        <v>48</v>
      </c>
      <c r="M99" s="33" t="n">
        <f>10480</f>
        <v>10480.0</v>
      </c>
      <c r="N99" s="34" t="s">
        <v>299</v>
      </c>
      <c r="O99" s="33" t="n">
        <f>9550</f>
        <v>9550.0</v>
      </c>
      <c r="P99" s="34" t="s">
        <v>48</v>
      </c>
      <c r="Q99" s="33" t="n">
        <f>10240</f>
        <v>10240.0</v>
      </c>
      <c r="R99" s="34" t="s">
        <v>51</v>
      </c>
      <c r="S99" s="35" t="n">
        <f>10072.22</f>
        <v>10072.22</v>
      </c>
      <c r="T99" s="32" t="n">
        <f>1332160</f>
        <v>1332160.0</v>
      </c>
      <c r="U99" s="32" t="n">
        <f>52250</f>
        <v>52250.0</v>
      </c>
      <c r="V99" s="32" t="n">
        <f>13411305971</f>
        <v>1.3411305971E10</v>
      </c>
      <c r="W99" s="32" t="n">
        <f>519966371</f>
        <v>5.19966371E8</v>
      </c>
      <c r="X99" s="36" t="n">
        <f>18</f>
        <v>18.0</v>
      </c>
    </row>
    <row r="100">
      <c r="A100" s="27" t="s">
        <v>42</v>
      </c>
      <c r="B100" s="27" t="s">
        <v>340</v>
      </c>
      <c r="C100" s="27" t="s">
        <v>341</v>
      </c>
      <c r="D100" s="27" t="s">
        <v>342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25220</f>
        <v>25220.0</v>
      </c>
      <c r="L100" s="34" t="s">
        <v>48</v>
      </c>
      <c r="M100" s="33" t="n">
        <f>27200</f>
        <v>27200.0</v>
      </c>
      <c r="N100" s="34" t="s">
        <v>49</v>
      </c>
      <c r="O100" s="33" t="n">
        <f>24150</f>
        <v>24150.0</v>
      </c>
      <c r="P100" s="34" t="s">
        <v>312</v>
      </c>
      <c r="Q100" s="33" t="n">
        <f>26530</f>
        <v>26530.0</v>
      </c>
      <c r="R100" s="34" t="s">
        <v>51</v>
      </c>
      <c r="S100" s="35" t="n">
        <f>25494.44</f>
        <v>25494.44</v>
      </c>
      <c r="T100" s="32" t="n">
        <f>249208</f>
        <v>249208.0</v>
      </c>
      <c r="U100" s="32" t="n">
        <f>13223</f>
        <v>13223.0</v>
      </c>
      <c r="V100" s="32" t="n">
        <f>6378133379</f>
        <v>6.378133379E9</v>
      </c>
      <c r="W100" s="32" t="n">
        <f>358588469</f>
        <v>3.58588469E8</v>
      </c>
      <c r="X100" s="36" t="n">
        <f>18</f>
        <v>18.0</v>
      </c>
    </row>
    <row r="101">
      <c r="A101" s="27" t="s">
        <v>42</v>
      </c>
      <c r="B101" s="27" t="s">
        <v>343</v>
      </c>
      <c r="C101" s="27" t="s">
        <v>344</v>
      </c>
      <c r="D101" s="27" t="s">
        <v>345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3355</f>
        <v>3355.0</v>
      </c>
      <c r="L101" s="34" t="s">
        <v>48</v>
      </c>
      <c r="M101" s="33" t="n">
        <f>3575</f>
        <v>3575.0</v>
      </c>
      <c r="N101" s="34" t="s">
        <v>49</v>
      </c>
      <c r="O101" s="33" t="n">
        <f>3245</f>
        <v>3245.0</v>
      </c>
      <c r="P101" s="34" t="s">
        <v>312</v>
      </c>
      <c r="Q101" s="33" t="n">
        <f>3515</f>
        <v>3515.0</v>
      </c>
      <c r="R101" s="34" t="s">
        <v>51</v>
      </c>
      <c r="S101" s="35" t="n">
        <f>3405</f>
        <v>3405.0</v>
      </c>
      <c r="T101" s="32" t="n">
        <f>1141210</f>
        <v>1141210.0</v>
      </c>
      <c r="U101" s="32" t="n">
        <f>118330</f>
        <v>118330.0</v>
      </c>
      <c r="V101" s="32" t="n">
        <f>3865542173</f>
        <v>3.865542173E9</v>
      </c>
      <c r="W101" s="32" t="n">
        <f>395543023</f>
        <v>3.95543023E8</v>
      </c>
      <c r="X101" s="36" t="n">
        <f>18</f>
        <v>18.0</v>
      </c>
    </row>
    <row r="102">
      <c r="A102" s="27" t="s">
        <v>42</v>
      </c>
      <c r="B102" s="27" t="s">
        <v>346</v>
      </c>
      <c r="C102" s="27" t="s">
        <v>347</v>
      </c>
      <c r="D102" s="27" t="s">
        <v>348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2219</f>
        <v>2219.0</v>
      </c>
      <c r="L102" s="34" t="s">
        <v>48</v>
      </c>
      <c r="M102" s="33" t="n">
        <f>2365</f>
        <v>2365.0</v>
      </c>
      <c r="N102" s="34" t="s">
        <v>49</v>
      </c>
      <c r="O102" s="33" t="n">
        <f>2155</f>
        <v>2155.0</v>
      </c>
      <c r="P102" s="34" t="s">
        <v>116</v>
      </c>
      <c r="Q102" s="33" t="n">
        <f>2353</f>
        <v>2353.0</v>
      </c>
      <c r="R102" s="34" t="s">
        <v>51</v>
      </c>
      <c r="S102" s="35" t="n">
        <f>2256.17</f>
        <v>2256.17</v>
      </c>
      <c r="T102" s="32" t="n">
        <f>359160</f>
        <v>359160.0</v>
      </c>
      <c r="U102" s="32" t="n">
        <f>202800</f>
        <v>202800.0</v>
      </c>
      <c r="V102" s="32" t="n">
        <f>803811380</f>
        <v>8.0381138E8</v>
      </c>
      <c r="W102" s="32" t="n">
        <f>452511940</f>
        <v>4.5251194E8</v>
      </c>
      <c r="X102" s="36" t="n">
        <f>18</f>
        <v>18.0</v>
      </c>
    </row>
    <row r="103">
      <c r="A103" s="27" t="s">
        <v>42</v>
      </c>
      <c r="B103" s="27" t="s">
        <v>349</v>
      </c>
      <c r="C103" s="27" t="s">
        <v>350</v>
      </c>
      <c r="D103" s="27" t="s">
        <v>351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3625</f>
        <v>3625.0</v>
      </c>
      <c r="L103" s="34" t="s">
        <v>48</v>
      </c>
      <c r="M103" s="33" t="n">
        <f>4280</f>
        <v>4280.0</v>
      </c>
      <c r="N103" s="34" t="s">
        <v>51</v>
      </c>
      <c r="O103" s="33" t="n">
        <f>3595</f>
        <v>3595.0</v>
      </c>
      <c r="P103" s="34" t="s">
        <v>48</v>
      </c>
      <c r="Q103" s="33" t="n">
        <f>4275</f>
        <v>4275.0</v>
      </c>
      <c r="R103" s="34" t="s">
        <v>51</v>
      </c>
      <c r="S103" s="35" t="n">
        <f>3995</f>
        <v>3995.0</v>
      </c>
      <c r="T103" s="32" t="n">
        <f>46060</f>
        <v>46060.0</v>
      </c>
      <c r="U103" s="32" t="n">
        <f>10</f>
        <v>10.0</v>
      </c>
      <c r="V103" s="32" t="n">
        <f>184287400</f>
        <v>1.842874E8</v>
      </c>
      <c r="W103" s="32" t="n">
        <f>41250</f>
        <v>41250.0</v>
      </c>
      <c r="X103" s="36" t="n">
        <f>18</f>
        <v>18.0</v>
      </c>
    </row>
    <row r="104">
      <c r="A104" s="27" t="s">
        <v>42</v>
      </c>
      <c r="B104" s="27" t="s">
        <v>352</v>
      </c>
      <c r="C104" s="27" t="s">
        <v>353</v>
      </c>
      <c r="D104" s="27" t="s">
        <v>354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13380</f>
        <v>13380.0</v>
      </c>
      <c r="L104" s="34" t="s">
        <v>48</v>
      </c>
      <c r="M104" s="33" t="n">
        <f>13780</f>
        <v>13780.0</v>
      </c>
      <c r="N104" s="34" t="s">
        <v>48</v>
      </c>
      <c r="O104" s="33" t="n">
        <f>11220</f>
        <v>11220.0</v>
      </c>
      <c r="P104" s="34" t="s">
        <v>299</v>
      </c>
      <c r="Q104" s="33" t="n">
        <f>11750</f>
        <v>11750.0</v>
      </c>
      <c r="R104" s="34" t="s">
        <v>51</v>
      </c>
      <c r="S104" s="35" t="n">
        <f>12215.56</f>
        <v>12215.56</v>
      </c>
      <c r="T104" s="32" t="n">
        <f>3744462</f>
        <v>3744462.0</v>
      </c>
      <c r="U104" s="32" t="n">
        <f>2918</f>
        <v>2918.0</v>
      </c>
      <c r="V104" s="32" t="n">
        <f>45725062583</f>
        <v>4.5725062583E10</v>
      </c>
      <c r="W104" s="32" t="n">
        <f>35691233</f>
        <v>3.5691233E7</v>
      </c>
      <c r="X104" s="36" t="n">
        <f>18</f>
        <v>18.0</v>
      </c>
    </row>
    <row r="105">
      <c r="A105" s="27" t="s">
        <v>42</v>
      </c>
      <c r="B105" s="27" t="s">
        <v>355</v>
      </c>
      <c r="C105" s="27" t="s">
        <v>356</v>
      </c>
      <c r="D105" s="27" t="s">
        <v>357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1900</f>
        <v>1900.0</v>
      </c>
      <c r="L105" s="34" t="s">
        <v>48</v>
      </c>
      <c r="M105" s="33" t="n">
        <f>2040</f>
        <v>2040.0</v>
      </c>
      <c r="N105" s="34" t="s">
        <v>49</v>
      </c>
      <c r="O105" s="33" t="n">
        <f>1850</f>
        <v>1850.0</v>
      </c>
      <c r="P105" s="34" t="s">
        <v>50</v>
      </c>
      <c r="Q105" s="33" t="n">
        <f>2018</f>
        <v>2018.0</v>
      </c>
      <c r="R105" s="34" t="s">
        <v>51</v>
      </c>
      <c r="S105" s="35" t="n">
        <f>1940.28</f>
        <v>1940.28</v>
      </c>
      <c r="T105" s="32" t="n">
        <f>95430</f>
        <v>95430.0</v>
      </c>
      <c r="U105" s="32" t="n">
        <f>110</f>
        <v>110.0</v>
      </c>
      <c r="V105" s="32" t="n">
        <f>183891730</f>
        <v>1.8389173E8</v>
      </c>
      <c r="W105" s="32" t="n">
        <f>214640</f>
        <v>214640.0</v>
      </c>
      <c r="X105" s="36" t="n">
        <f>18</f>
        <v>18.0</v>
      </c>
    </row>
    <row r="106">
      <c r="A106" s="27" t="s">
        <v>42</v>
      </c>
      <c r="B106" s="27" t="s">
        <v>358</v>
      </c>
      <c r="C106" s="27" t="s">
        <v>359</v>
      </c>
      <c r="D106" s="27" t="s">
        <v>360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1098</f>
        <v>1098.0</v>
      </c>
      <c r="L106" s="34" t="s">
        <v>48</v>
      </c>
      <c r="M106" s="33" t="n">
        <f>1266</f>
        <v>1266.0</v>
      </c>
      <c r="N106" s="34" t="s">
        <v>49</v>
      </c>
      <c r="O106" s="33" t="n">
        <f>1032</f>
        <v>1032.0</v>
      </c>
      <c r="P106" s="34" t="s">
        <v>48</v>
      </c>
      <c r="Q106" s="33" t="n">
        <f>1214</f>
        <v>1214.0</v>
      </c>
      <c r="R106" s="34" t="s">
        <v>51</v>
      </c>
      <c r="S106" s="35" t="n">
        <f>1122.22</f>
        <v>1122.22</v>
      </c>
      <c r="T106" s="32" t="n">
        <f>585820</f>
        <v>585820.0</v>
      </c>
      <c r="U106" s="32" t="n">
        <f>65760</f>
        <v>65760.0</v>
      </c>
      <c r="V106" s="32" t="n">
        <f>650519224</f>
        <v>6.50519224E8</v>
      </c>
      <c r="W106" s="32" t="n">
        <f>71129304</f>
        <v>7.1129304E7</v>
      </c>
      <c r="X106" s="36" t="n">
        <f>18</f>
        <v>18.0</v>
      </c>
    </row>
    <row r="107">
      <c r="A107" s="27" t="s">
        <v>42</v>
      </c>
      <c r="B107" s="27" t="s">
        <v>361</v>
      </c>
      <c r="C107" s="27" t="s">
        <v>362</v>
      </c>
      <c r="D107" s="27" t="s">
        <v>363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30900</f>
        <v>30900.0</v>
      </c>
      <c r="L107" s="34" t="s">
        <v>48</v>
      </c>
      <c r="M107" s="33" t="n">
        <f>32950</f>
        <v>32950.0</v>
      </c>
      <c r="N107" s="34" t="s">
        <v>49</v>
      </c>
      <c r="O107" s="33" t="n">
        <f>29960</f>
        <v>29960.0</v>
      </c>
      <c r="P107" s="34" t="s">
        <v>312</v>
      </c>
      <c r="Q107" s="33" t="n">
        <f>32500</f>
        <v>32500.0</v>
      </c>
      <c r="R107" s="34" t="s">
        <v>51</v>
      </c>
      <c r="S107" s="35" t="n">
        <f>31420.56</f>
        <v>31420.56</v>
      </c>
      <c r="T107" s="32" t="n">
        <f>132522</f>
        <v>132522.0</v>
      </c>
      <c r="U107" s="32" t="str">
        <f>"－"</f>
        <v>－</v>
      </c>
      <c r="V107" s="32" t="n">
        <f>4173425300</f>
        <v>4.1734253E9</v>
      </c>
      <c r="W107" s="32" t="str">
        <f>"－"</f>
        <v>－</v>
      </c>
      <c r="X107" s="36" t="n">
        <f>18</f>
        <v>18.0</v>
      </c>
    </row>
    <row r="108">
      <c r="A108" s="27" t="s">
        <v>42</v>
      </c>
      <c r="B108" s="27" t="s">
        <v>364</v>
      </c>
      <c r="C108" s="27" t="s">
        <v>365</v>
      </c>
      <c r="D108" s="27" t="s">
        <v>366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2656</f>
        <v>2656.0</v>
      </c>
      <c r="L108" s="34" t="s">
        <v>48</v>
      </c>
      <c r="M108" s="33" t="n">
        <f>2935</f>
        <v>2935.0</v>
      </c>
      <c r="N108" s="34" t="s">
        <v>49</v>
      </c>
      <c r="O108" s="33" t="n">
        <f>2640</f>
        <v>2640.0</v>
      </c>
      <c r="P108" s="34" t="s">
        <v>48</v>
      </c>
      <c r="Q108" s="33" t="n">
        <f>2897</f>
        <v>2897.0</v>
      </c>
      <c r="R108" s="34" t="s">
        <v>51</v>
      </c>
      <c r="S108" s="35" t="n">
        <f>2809.78</f>
        <v>2809.78</v>
      </c>
      <c r="T108" s="32" t="n">
        <f>17515</f>
        <v>17515.0</v>
      </c>
      <c r="U108" s="32" t="n">
        <f>18</f>
        <v>18.0</v>
      </c>
      <c r="V108" s="32" t="n">
        <f>49242558</f>
        <v>4.9242558E7</v>
      </c>
      <c r="W108" s="32" t="n">
        <f>51632</f>
        <v>51632.0</v>
      </c>
      <c r="X108" s="36" t="n">
        <f>18</f>
        <v>18.0</v>
      </c>
    </row>
    <row r="109">
      <c r="A109" s="27" t="s">
        <v>42</v>
      </c>
      <c r="B109" s="27" t="s">
        <v>367</v>
      </c>
      <c r="C109" s="27" t="s">
        <v>368</v>
      </c>
      <c r="D109" s="27" t="s">
        <v>369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3380</f>
        <v>3380.0</v>
      </c>
      <c r="L109" s="34" t="s">
        <v>48</v>
      </c>
      <c r="M109" s="33" t="n">
        <f>3650</f>
        <v>3650.0</v>
      </c>
      <c r="N109" s="34" t="s">
        <v>51</v>
      </c>
      <c r="O109" s="33" t="n">
        <f>3330</f>
        <v>3330.0</v>
      </c>
      <c r="P109" s="34" t="s">
        <v>48</v>
      </c>
      <c r="Q109" s="33" t="n">
        <f>3645</f>
        <v>3645.0</v>
      </c>
      <c r="R109" s="34" t="s">
        <v>51</v>
      </c>
      <c r="S109" s="35" t="n">
        <f>3507.5</f>
        <v>3507.5</v>
      </c>
      <c r="T109" s="32" t="n">
        <f>5404</f>
        <v>5404.0</v>
      </c>
      <c r="U109" s="32" t="str">
        <f>"－"</f>
        <v>－</v>
      </c>
      <c r="V109" s="32" t="n">
        <f>18794980</f>
        <v>1.879498E7</v>
      </c>
      <c r="W109" s="32" t="str">
        <f>"－"</f>
        <v>－</v>
      </c>
      <c r="X109" s="36" t="n">
        <f>18</f>
        <v>18.0</v>
      </c>
    </row>
    <row r="110">
      <c r="A110" s="27" t="s">
        <v>42</v>
      </c>
      <c r="B110" s="27" t="s">
        <v>370</v>
      </c>
      <c r="C110" s="27" t="s">
        <v>371</v>
      </c>
      <c r="D110" s="27" t="s">
        <v>372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2222</f>
        <v>2222.0</v>
      </c>
      <c r="L110" s="34" t="s">
        <v>48</v>
      </c>
      <c r="M110" s="33" t="n">
        <f>2626</f>
        <v>2626.0</v>
      </c>
      <c r="N110" s="34" t="s">
        <v>299</v>
      </c>
      <c r="O110" s="33" t="n">
        <f>2180</f>
        <v>2180.0</v>
      </c>
      <c r="P110" s="34" t="s">
        <v>96</v>
      </c>
      <c r="Q110" s="33" t="n">
        <f>2528</f>
        <v>2528.0</v>
      </c>
      <c r="R110" s="34" t="s">
        <v>51</v>
      </c>
      <c r="S110" s="35" t="n">
        <f>2433.94</f>
        <v>2433.94</v>
      </c>
      <c r="T110" s="32" t="n">
        <f>380253</f>
        <v>380253.0</v>
      </c>
      <c r="U110" s="32" t="n">
        <f>119</f>
        <v>119.0</v>
      </c>
      <c r="V110" s="32" t="n">
        <f>934317569</f>
        <v>9.34317569E8</v>
      </c>
      <c r="W110" s="32" t="n">
        <f>296666</f>
        <v>296666.0</v>
      </c>
      <c r="X110" s="36" t="n">
        <f>18</f>
        <v>18.0</v>
      </c>
    </row>
    <row r="111">
      <c r="A111" s="27" t="s">
        <v>42</v>
      </c>
      <c r="B111" s="27" t="s">
        <v>373</v>
      </c>
      <c r="C111" s="27" t="s">
        <v>374</v>
      </c>
      <c r="D111" s="27" t="s">
        <v>375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42400</f>
        <v>42400.0</v>
      </c>
      <c r="L111" s="34" t="s">
        <v>48</v>
      </c>
      <c r="M111" s="33" t="n">
        <f>43700</f>
        <v>43700.0</v>
      </c>
      <c r="N111" s="34" t="s">
        <v>49</v>
      </c>
      <c r="O111" s="33" t="n">
        <f>41350</f>
        <v>41350.0</v>
      </c>
      <c r="P111" s="34" t="s">
        <v>50</v>
      </c>
      <c r="Q111" s="33" t="n">
        <f>43400</f>
        <v>43400.0</v>
      </c>
      <c r="R111" s="34" t="s">
        <v>51</v>
      </c>
      <c r="S111" s="35" t="n">
        <f>42472.22</f>
        <v>42472.22</v>
      </c>
      <c r="T111" s="32" t="n">
        <f>13619</f>
        <v>13619.0</v>
      </c>
      <c r="U111" s="32" t="n">
        <f>1669</f>
        <v>1669.0</v>
      </c>
      <c r="V111" s="32" t="n">
        <f>576533725</f>
        <v>5.76533725E8</v>
      </c>
      <c r="W111" s="32" t="n">
        <f>70467625</f>
        <v>7.0467625E7</v>
      </c>
      <c r="X111" s="36" t="n">
        <f>18</f>
        <v>18.0</v>
      </c>
    </row>
    <row r="112">
      <c r="A112" s="27" t="s">
        <v>42</v>
      </c>
      <c r="B112" s="27" t="s">
        <v>376</v>
      </c>
      <c r="C112" s="27" t="s">
        <v>377</v>
      </c>
      <c r="D112" s="27" t="s">
        <v>378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str">
        <f>"－"</f>
        <v>－</v>
      </c>
      <c r="L112" s="34"/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5" t="str">
        <f>"－"</f>
        <v>－</v>
      </c>
      <c r="T112" s="32" t="str">
        <f>"－"</f>
        <v>－</v>
      </c>
      <c r="U112" s="32" t="str">
        <f>"－"</f>
        <v>－</v>
      </c>
      <c r="V112" s="32" t="str">
        <f>"－"</f>
        <v>－</v>
      </c>
      <c r="W112" s="32" t="str">
        <f>"－"</f>
        <v>－</v>
      </c>
      <c r="X112" s="36" t="str">
        <f>"－"</f>
        <v>－</v>
      </c>
    </row>
    <row r="113">
      <c r="A113" s="27" t="s">
        <v>42</v>
      </c>
      <c r="B113" s="27" t="s">
        <v>379</v>
      </c>
      <c r="C113" s="27" t="s">
        <v>380</v>
      </c>
      <c r="D113" s="27" t="s">
        <v>381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13310</f>
        <v>13310.0</v>
      </c>
      <c r="L113" s="34" t="s">
        <v>48</v>
      </c>
      <c r="M113" s="33" t="n">
        <f>15680</f>
        <v>15680.0</v>
      </c>
      <c r="N113" s="34" t="s">
        <v>49</v>
      </c>
      <c r="O113" s="33" t="n">
        <f>12620</f>
        <v>12620.0</v>
      </c>
      <c r="P113" s="34" t="s">
        <v>50</v>
      </c>
      <c r="Q113" s="33" t="n">
        <f>15260</f>
        <v>15260.0</v>
      </c>
      <c r="R113" s="34" t="s">
        <v>51</v>
      </c>
      <c r="S113" s="35" t="n">
        <f>13903.33</f>
        <v>13903.33</v>
      </c>
      <c r="T113" s="32" t="n">
        <f>3459760</f>
        <v>3459760.0</v>
      </c>
      <c r="U113" s="32" t="n">
        <f>45470</f>
        <v>45470.0</v>
      </c>
      <c r="V113" s="32" t="n">
        <f>47928389668</f>
        <v>4.7928389668E10</v>
      </c>
      <c r="W113" s="32" t="n">
        <f>635795968</f>
        <v>6.35795968E8</v>
      </c>
      <c r="X113" s="36" t="n">
        <f>18</f>
        <v>18.0</v>
      </c>
    </row>
    <row r="114">
      <c r="A114" s="27" t="s">
        <v>42</v>
      </c>
      <c r="B114" s="27" t="s">
        <v>382</v>
      </c>
      <c r="C114" s="27" t="s">
        <v>383</v>
      </c>
      <c r="D114" s="27" t="s">
        <v>384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3210</f>
        <v>3210.0</v>
      </c>
      <c r="L114" s="34" t="s">
        <v>48</v>
      </c>
      <c r="M114" s="33" t="n">
        <f>3290</f>
        <v>3290.0</v>
      </c>
      <c r="N114" s="34" t="s">
        <v>50</v>
      </c>
      <c r="O114" s="33" t="n">
        <f>2932</f>
        <v>2932.0</v>
      </c>
      <c r="P114" s="34" t="s">
        <v>49</v>
      </c>
      <c r="Q114" s="33" t="n">
        <f>2965</f>
        <v>2965.0</v>
      </c>
      <c r="R114" s="34" t="s">
        <v>51</v>
      </c>
      <c r="S114" s="35" t="n">
        <f>3121.78</f>
        <v>3121.78</v>
      </c>
      <c r="T114" s="32" t="n">
        <f>358400</f>
        <v>358400.0</v>
      </c>
      <c r="U114" s="32" t="n">
        <f>1340</f>
        <v>1340.0</v>
      </c>
      <c r="V114" s="32" t="n">
        <f>1093492750</f>
        <v>1.09349275E9</v>
      </c>
      <c r="W114" s="32" t="n">
        <f>4030680</f>
        <v>4030680.0</v>
      </c>
      <c r="X114" s="36" t="n">
        <f>18</f>
        <v>18.0</v>
      </c>
    </row>
    <row r="115">
      <c r="A115" s="27" t="s">
        <v>42</v>
      </c>
      <c r="B115" s="27" t="s">
        <v>385</v>
      </c>
      <c r="C115" s="27" t="s">
        <v>386</v>
      </c>
      <c r="D115" s="27" t="s">
        <v>387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15350</f>
        <v>15350.0</v>
      </c>
      <c r="L115" s="34" t="s">
        <v>48</v>
      </c>
      <c r="M115" s="33" t="n">
        <f>18530</f>
        <v>18530.0</v>
      </c>
      <c r="N115" s="34" t="s">
        <v>51</v>
      </c>
      <c r="O115" s="33" t="n">
        <f>14560</f>
        <v>14560.0</v>
      </c>
      <c r="P115" s="34" t="s">
        <v>50</v>
      </c>
      <c r="Q115" s="33" t="n">
        <f>18360</f>
        <v>18360.0</v>
      </c>
      <c r="R115" s="34" t="s">
        <v>51</v>
      </c>
      <c r="S115" s="35" t="n">
        <f>16260.56</f>
        <v>16260.56</v>
      </c>
      <c r="T115" s="32" t="n">
        <f>185325560</f>
        <v>1.8532556E8</v>
      </c>
      <c r="U115" s="32" t="n">
        <f>214409</f>
        <v>214409.0</v>
      </c>
      <c r="V115" s="32" t="n">
        <f>3043569477479</f>
        <v>3.043569477479E12</v>
      </c>
      <c r="W115" s="32" t="n">
        <f>3786802299</f>
        <v>3.786802299E9</v>
      </c>
      <c r="X115" s="36" t="n">
        <f>18</f>
        <v>18.0</v>
      </c>
    </row>
    <row r="116">
      <c r="A116" s="27" t="s">
        <v>42</v>
      </c>
      <c r="B116" s="27" t="s">
        <v>388</v>
      </c>
      <c r="C116" s="27" t="s">
        <v>389</v>
      </c>
      <c r="D116" s="27" t="s">
        <v>390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1574</f>
        <v>1574.0</v>
      </c>
      <c r="L116" s="34" t="s">
        <v>48</v>
      </c>
      <c r="M116" s="33" t="n">
        <f>1614</f>
        <v>1614.0</v>
      </c>
      <c r="N116" s="34" t="s">
        <v>50</v>
      </c>
      <c r="O116" s="33" t="n">
        <f>1421</f>
        <v>1421.0</v>
      </c>
      <c r="P116" s="34" t="s">
        <v>51</v>
      </c>
      <c r="Q116" s="33" t="n">
        <f>1426</f>
        <v>1426.0</v>
      </c>
      <c r="R116" s="34" t="s">
        <v>51</v>
      </c>
      <c r="S116" s="35" t="n">
        <f>1522.83</f>
        <v>1522.83</v>
      </c>
      <c r="T116" s="32" t="n">
        <f>23518475</f>
        <v>2.3518475E7</v>
      </c>
      <c r="U116" s="32" t="n">
        <f>1304318</f>
        <v>1304318.0</v>
      </c>
      <c r="V116" s="32" t="n">
        <f>35282087292</f>
        <v>3.5282087292E10</v>
      </c>
      <c r="W116" s="32" t="n">
        <f>1989098215</f>
        <v>1.989098215E9</v>
      </c>
      <c r="X116" s="36" t="n">
        <f>18</f>
        <v>18.0</v>
      </c>
    </row>
    <row r="117">
      <c r="A117" s="27" t="s">
        <v>42</v>
      </c>
      <c r="B117" s="27" t="s">
        <v>391</v>
      </c>
      <c r="C117" s="27" t="s">
        <v>392</v>
      </c>
      <c r="D117" s="27" t="s">
        <v>393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9280</f>
        <v>9280.0</v>
      </c>
      <c r="L117" s="34" t="s">
        <v>48</v>
      </c>
      <c r="M117" s="33" t="n">
        <f>9760</f>
        <v>9760.0</v>
      </c>
      <c r="N117" s="34" t="s">
        <v>50</v>
      </c>
      <c r="O117" s="33" t="n">
        <f>8550</f>
        <v>8550.0</v>
      </c>
      <c r="P117" s="34" t="s">
        <v>103</v>
      </c>
      <c r="Q117" s="33" t="n">
        <f>8740</f>
        <v>8740.0</v>
      </c>
      <c r="R117" s="34" t="s">
        <v>51</v>
      </c>
      <c r="S117" s="35" t="n">
        <f>9031.67</f>
        <v>9031.67</v>
      </c>
      <c r="T117" s="32" t="n">
        <f>6750</f>
        <v>6750.0</v>
      </c>
      <c r="U117" s="32" t="str">
        <f>"－"</f>
        <v>－</v>
      </c>
      <c r="V117" s="32" t="n">
        <f>61151200</f>
        <v>6.11512E7</v>
      </c>
      <c r="W117" s="32" t="str">
        <f>"－"</f>
        <v>－</v>
      </c>
      <c r="X117" s="36" t="n">
        <f>18</f>
        <v>18.0</v>
      </c>
    </row>
    <row r="118">
      <c r="A118" s="27" t="s">
        <v>42</v>
      </c>
      <c r="B118" s="27" t="s">
        <v>394</v>
      </c>
      <c r="C118" s="27" t="s">
        <v>395</v>
      </c>
      <c r="D118" s="27" t="s">
        <v>396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7650</f>
        <v>7650.0</v>
      </c>
      <c r="L118" s="34" t="s">
        <v>48</v>
      </c>
      <c r="M118" s="33" t="n">
        <f>8220</f>
        <v>8220.0</v>
      </c>
      <c r="N118" s="34" t="s">
        <v>72</v>
      </c>
      <c r="O118" s="33" t="n">
        <f>7580</f>
        <v>7580.0</v>
      </c>
      <c r="P118" s="34" t="s">
        <v>61</v>
      </c>
      <c r="Q118" s="33" t="n">
        <f>8140</f>
        <v>8140.0</v>
      </c>
      <c r="R118" s="34" t="s">
        <v>51</v>
      </c>
      <c r="S118" s="35" t="n">
        <f>7905.56</f>
        <v>7905.56</v>
      </c>
      <c r="T118" s="32" t="n">
        <f>11170</f>
        <v>11170.0</v>
      </c>
      <c r="U118" s="32" t="n">
        <f>10</f>
        <v>10.0</v>
      </c>
      <c r="V118" s="32" t="n">
        <f>88608600</f>
        <v>8.86086E7</v>
      </c>
      <c r="W118" s="32" t="n">
        <f>81400</f>
        <v>81400.0</v>
      </c>
      <c r="X118" s="36" t="n">
        <f>18</f>
        <v>18.0</v>
      </c>
    </row>
    <row r="119">
      <c r="A119" s="27" t="s">
        <v>42</v>
      </c>
      <c r="B119" s="27" t="s">
        <v>397</v>
      </c>
      <c r="C119" s="27" t="s">
        <v>398</v>
      </c>
      <c r="D119" s="27" t="s">
        <v>399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1328</f>
        <v>1328.0</v>
      </c>
      <c r="L119" s="34" t="s">
        <v>50</v>
      </c>
      <c r="M119" s="33" t="n">
        <f>1391</f>
        <v>1391.0</v>
      </c>
      <c r="N119" s="34" t="s">
        <v>49</v>
      </c>
      <c r="O119" s="33" t="n">
        <f>1328</f>
        <v>1328.0</v>
      </c>
      <c r="P119" s="34" t="s">
        <v>50</v>
      </c>
      <c r="Q119" s="33" t="n">
        <f>1391</f>
        <v>1391.0</v>
      </c>
      <c r="R119" s="34" t="s">
        <v>49</v>
      </c>
      <c r="S119" s="35" t="n">
        <f>1362</f>
        <v>1362.0</v>
      </c>
      <c r="T119" s="32" t="n">
        <f>650</f>
        <v>650.0</v>
      </c>
      <c r="U119" s="32" t="n">
        <f>10</f>
        <v>10.0</v>
      </c>
      <c r="V119" s="32" t="n">
        <f>882170</f>
        <v>882170.0</v>
      </c>
      <c r="W119" s="32" t="n">
        <f>13900</f>
        <v>13900.0</v>
      </c>
      <c r="X119" s="36" t="n">
        <f>7</f>
        <v>7.0</v>
      </c>
    </row>
    <row r="120">
      <c r="A120" s="27" t="s">
        <v>42</v>
      </c>
      <c r="B120" s="27" t="s">
        <v>400</v>
      </c>
      <c r="C120" s="27" t="s">
        <v>401</v>
      </c>
      <c r="D120" s="27" t="s">
        <v>402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598</f>
        <v>598.0</v>
      </c>
      <c r="L120" s="34" t="s">
        <v>48</v>
      </c>
      <c r="M120" s="33" t="n">
        <f>634</f>
        <v>634.0</v>
      </c>
      <c r="N120" s="34" t="s">
        <v>61</v>
      </c>
      <c r="O120" s="33" t="n">
        <f>572</f>
        <v>572.0</v>
      </c>
      <c r="P120" s="34" t="s">
        <v>48</v>
      </c>
      <c r="Q120" s="33" t="n">
        <f>584</f>
        <v>584.0</v>
      </c>
      <c r="R120" s="34" t="s">
        <v>51</v>
      </c>
      <c r="S120" s="35" t="n">
        <f>592.47</f>
        <v>592.47</v>
      </c>
      <c r="T120" s="32" t="n">
        <f>22760</f>
        <v>22760.0</v>
      </c>
      <c r="U120" s="32" t="str">
        <f>"－"</f>
        <v>－</v>
      </c>
      <c r="V120" s="32" t="n">
        <f>13445210</f>
        <v>1.344521E7</v>
      </c>
      <c r="W120" s="32" t="str">
        <f>"－"</f>
        <v>－</v>
      </c>
      <c r="X120" s="36" t="n">
        <f>15</f>
        <v>15.0</v>
      </c>
    </row>
    <row r="121">
      <c r="A121" s="27" t="s">
        <v>42</v>
      </c>
      <c r="B121" s="27" t="s">
        <v>403</v>
      </c>
      <c r="C121" s="27" t="s">
        <v>404</v>
      </c>
      <c r="D121" s="27" t="s">
        <v>405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577</f>
        <v>577.0</v>
      </c>
      <c r="L121" s="34" t="s">
        <v>48</v>
      </c>
      <c r="M121" s="33" t="n">
        <f>591</f>
        <v>591.0</v>
      </c>
      <c r="N121" s="34" t="s">
        <v>174</v>
      </c>
      <c r="O121" s="33" t="n">
        <f>551</f>
        <v>551.0</v>
      </c>
      <c r="P121" s="34" t="s">
        <v>48</v>
      </c>
      <c r="Q121" s="33" t="n">
        <f>566</f>
        <v>566.0</v>
      </c>
      <c r="R121" s="34" t="s">
        <v>51</v>
      </c>
      <c r="S121" s="35" t="n">
        <f>575</f>
        <v>575.0</v>
      </c>
      <c r="T121" s="32" t="n">
        <f>2450</f>
        <v>2450.0</v>
      </c>
      <c r="U121" s="32" t="str">
        <f>"－"</f>
        <v>－</v>
      </c>
      <c r="V121" s="32" t="n">
        <f>1408500</f>
        <v>1408500.0</v>
      </c>
      <c r="W121" s="32" t="str">
        <f>"－"</f>
        <v>－</v>
      </c>
      <c r="X121" s="36" t="n">
        <f>16</f>
        <v>16.0</v>
      </c>
    </row>
    <row r="122">
      <c r="A122" s="27" t="s">
        <v>42</v>
      </c>
      <c r="B122" s="27" t="s">
        <v>406</v>
      </c>
      <c r="C122" s="27" t="s">
        <v>407</v>
      </c>
      <c r="D122" s="27" t="s">
        <v>408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17750</f>
        <v>17750.0</v>
      </c>
      <c r="L122" s="34" t="s">
        <v>48</v>
      </c>
      <c r="M122" s="33" t="n">
        <f>19140</f>
        <v>19140.0</v>
      </c>
      <c r="N122" s="34" t="s">
        <v>49</v>
      </c>
      <c r="O122" s="33" t="n">
        <f>17070</f>
        <v>17070.0</v>
      </c>
      <c r="P122" s="34" t="s">
        <v>50</v>
      </c>
      <c r="Q122" s="33" t="n">
        <f>18630</f>
        <v>18630.0</v>
      </c>
      <c r="R122" s="34" t="s">
        <v>51</v>
      </c>
      <c r="S122" s="35" t="n">
        <f>17835.56</f>
        <v>17835.56</v>
      </c>
      <c r="T122" s="32" t="n">
        <f>29895</f>
        <v>29895.0</v>
      </c>
      <c r="U122" s="32" t="n">
        <f>34</f>
        <v>34.0</v>
      </c>
      <c r="V122" s="32" t="n">
        <f>534118572</f>
        <v>5.34118572E8</v>
      </c>
      <c r="W122" s="32" t="n">
        <f>612832</f>
        <v>612832.0</v>
      </c>
      <c r="X122" s="36" t="n">
        <f>18</f>
        <v>18.0</v>
      </c>
    </row>
    <row r="123">
      <c r="A123" s="27" t="s">
        <v>42</v>
      </c>
      <c r="B123" s="27" t="s">
        <v>409</v>
      </c>
      <c r="C123" s="27" t="s">
        <v>410</v>
      </c>
      <c r="D123" s="27" t="s">
        <v>411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1607</f>
        <v>1607.0</v>
      </c>
      <c r="L123" s="34" t="s">
        <v>48</v>
      </c>
      <c r="M123" s="33" t="n">
        <f>1765</f>
        <v>1765.0</v>
      </c>
      <c r="N123" s="34" t="s">
        <v>51</v>
      </c>
      <c r="O123" s="33" t="n">
        <f>1564</f>
        <v>1564.0</v>
      </c>
      <c r="P123" s="34" t="s">
        <v>50</v>
      </c>
      <c r="Q123" s="33" t="n">
        <f>1758</f>
        <v>1758.0</v>
      </c>
      <c r="R123" s="34" t="s">
        <v>51</v>
      </c>
      <c r="S123" s="35" t="n">
        <f>1653.78</f>
        <v>1653.78</v>
      </c>
      <c r="T123" s="32" t="n">
        <f>63448</f>
        <v>63448.0</v>
      </c>
      <c r="U123" s="32" t="str">
        <f>"－"</f>
        <v>－</v>
      </c>
      <c r="V123" s="32" t="n">
        <f>106252873</f>
        <v>1.06252873E8</v>
      </c>
      <c r="W123" s="32" t="str">
        <f>"－"</f>
        <v>－</v>
      </c>
      <c r="X123" s="36" t="n">
        <f>18</f>
        <v>18.0</v>
      </c>
    </row>
    <row r="124">
      <c r="A124" s="27" t="s">
        <v>42</v>
      </c>
      <c r="B124" s="27" t="s">
        <v>412</v>
      </c>
      <c r="C124" s="27" t="s">
        <v>413</v>
      </c>
      <c r="D124" s="27" t="s">
        <v>414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16340</f>
        <v>16340.0</v>
      </c>
      <c r="L124" s="34" t="s">
        <v>48</v>
      </c>
      <c r="M124" s="33" t="n">
        <f>19720</f>
        <v>19720.0</v>
      </c>
      <c r="N124" s="34" t="s">
        <v>51</v>
      </c>
      <c r="O124" s="33" t="n">
        <f>15500</f>
        <v>15500.0</v>
      </c>
      <c r="P124" s="34" t="s">
        <v>50</v>
      </c>
      <c r="Q124" s="33" t="n">
        <f>19560</f>
        <v>19560.0</v>
      </c>
      <c r="R124" s="34" t="s">
        <v>51</v>
      </c>
      <c r="S124" s="35" t="n">
        <f>17317.78</f>
        <v>17317.78</v>
      </c>
      <c r="T124" s="32" t="n">
        <f>11715430</f>
        <v>1.171543E7</v>
      </c>
      <c r="U124" s="32" t="n">
        <f>1350</f>
        <v>1350.0</v>
      </c>
      <c r="V124" s="32" t="n">
        <f>204796354133</f>
        <v>2.04796354133E11</v>
      </c>
      <c r="W124" s="32" t="n">
        <f>23423133</f>
        <v>2.3423133E7</v>
      </c>
      <c r="X124" s="36" t="n">
        <f>18</f>
        <v>18.0</v>
      </c>
    </row>
    <row r="125">
      <c r="A125" s="27" t="s">
        <v>42</v>
      </c>
      <c r="B125" s="27" t="s">
        <v>415</v>
      </c>
      <c r="C125" s="27" t="s">
        <v>416</v>
      </c>
      <c r="D125" s="27" t="s">
        <v>417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4185</f>
        <v>4185.0</v>
      </c>
      <c r="L125" s="34" t="s">
        <v>48</v>
      </c>
      <c r="M125" s="33" t="n">
        <f>4300</f>
        <v>4300.0</v>
      </c>
      <c r="N125" s="34" t="s">
        <v>50</v>
      </c>
      <c r="O125" s="33" t="n">
        <f>3785</f>
        <v>3785.0</v>
      </c>
      <c r="P125" s="34" t="s">
        <v>51</v>
      </c>
      <c r="Q125" s="33" t="n">
        <f>3800</f>
        <v>3800.0</v>
      </c>
      <c r="R125" s="34" t="s">
        <v>51</v>
      </c>
      <c r="S125" s="35" t="n">
        <f>4058.33</f>
        <v>4058.33</v>
      </c>
      <c r="T125" s="32" t="n">
        <f>688100</f>
        <v>688100.0</v>
      </c>
      <c r="U125" s="32" t="n">
        <f>5440</f>
        <v>5440.0</v>
      </c>
      <c r="V125" s="32" t="n">
        <f>2769771931</f>
        <v>2.769771931E9</v>
      </c>
      <c r="W125" s="32" t="n">
        <f>22268281</f>
        <v>2.2268281E7</v>
      </c>
      <c r="X125" s="36" t="n">
        <f>18</f>
        <v>18.0</v>
      </c>
    </row>
    <row r="126">
      <c r="A126" s="27" t="s">
        <v>42</v>
      </c>
      <c r="B126" s="27" t="s">
        <v>418</v>
      </c>
      <c r="C126" s="27" t="s">
        <v>419</v>
      </c>
      <c r="D126" s="27" t="s">
        <v>420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579</f>
        <v>579.0</v>
      </c>
      <c r="L126" s="34" t="s">
        <v>48</v>
      </c>
      <c r="M126" s="33" t="n">
        <f>650</f>
        <v>650.0</v>
      </c>
      <c r="N126" s="34" t="s">
        <v>49</v>
      </c>
      <c r="O126" s="33" t="n">
        <f>540</f>
        <v>540.0</v>
      </c>
      <c r="P126" s="34" t="s">
        <v>85</v>
      </c>
      <c r="Q126" s="33" t="n">
        <f>620</f>
        <v>620.0</v>
      </c>
      <c r="R126" s="34" t="s">
        <v>49</v>
      </c>
      <c r="S126" s="35" t="n">
        <f>574</f>
        <v>574.0</v>
      </c>
      <c r="T126" s="32" t="n">
        <f>1120</f>
        <v>1120.0</v>
      </c>
      <c r="U126" s="32" t="str">
        <f>"－"</f>
        <v>－</v>
      </c>
      <c r="V126" s="32" t="n">
        <f>665300</f>
        <v>665300.0</v>
      </c>
      <c r="W126" s="32" t="str">
        <f>"－"</f>
        <v>－</v>
      </c>
      <c r="X126" s="36" t="n">
        <f>13</f>
        <v>13.0</v>
      </c>
    </row>
    <row r="127">
      <c r="A127" s="27" t="s">
        <v>42</v>
      </c>
      <c r="B127" s="27" t="s">
        <v>421</v>
      </c>
      <c r="C127" s="27" t="s">
        <v>422</v>
      </c>
      <c r="D127" s="27" t="s">
        <v>423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1152</f>
        <v>1152.0</v>
      </c>
      <c r="L127" s="34" t="s">
        <v>48</v>
      </c>
      <c r="M127" s="33" t="n">
        <f>1239</f>
        <v>1239.0</v>
      </c>
      <c r="N127" s="34" t="s">
        <v>51</v>
      </c>
      <c r="O127" s="33" t="n">
        <f>1138</f>
        <v>1138.0</v>
      </c>
      <c r="P127" s="34" t="s">
        <v>48</v>
      </c>
      <c r="Q127" s="33" t="n">
        <f>1239</f>
        <v>1239.0</v>
      </c>
      <c r="R127" s="34" t="s">
        <v>51</v>
      </c>
      <c r="S127" s="35" t="n">
        <f>1181</f>
        <v>1181.0</v>
      </c>
      <c r="T127" s="32" t="n">
        <f>82020</f>
        <v>82020.0</v>
      </c>
      <c r="U127" s="32" t="str">
        <f>"－"</f>
        <v>－</v>
      </c>
      <c r="V127" s="32" t="n">
        <f>95339800</f>
        <v>9.53398E7</v>
      </c>
      <c r="W127" s="32" t="str">
        <f>"－"</f>
        <v>－</v>
      </c>
      <c r="X127" s="36" t="n">
        <f>9</f>
        <v>9.0</v>
      </c>
    </row>
    <row r="128">
      <c r="A128" s="27" t="s">
        <v>42</v>
      </c>
      <c r="B128" s="27" t="s">
        <v>424</v>
      </c>
      <c r="C128" s="27" t="s">
        <v>425</v>
      </c>
      <c r="D128" s="27" t="s">
        <v>426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1355</f>
        <v>1355.0</v>
      </c>
      <c r="L128" s="34" t="s">
        <v>48</v>
      </c>
      <c r="M128" s="33" t="n">
        <f>1385</f>
        <v>1385.0</v>
      </c>
      <c r="N128" s="34" t="s">
        <v>49</v>
      </c>
      <c r="O128" s="33" t="n">
        <f>1322</f>
        <v>1322.0</v>
      </c>
      <c r="P128" s="34" t="s">
        <v>96</v>
      </c>
      <c r="Q128" s="33" t="n">
        <f>1385</f>
        <v>1385.0</v>
      </c>
      <c r="R128" s="34" t="s">
        <v>49</v>
      </c>
      <c r="S128" s="35" t="n">
        <f>1344.29</f>
        <v>1344.29</v>
      </c>
      <c r="T128" s="32" t="n">
        <f>351</f>
        <v>351.0</v>
      </c>
      <c r="U128" s="32" t="str">
        <f>"－"</f>
        <v>－</v>
      </c>
      <c r="V128" s="32" t="n">
        <f>472423</f>
        <v>472423.0</v>
      </c>
      <c r="W128" s="32" t="str">
        <f>"－"</f>
        <v>－</v>
      </c>
      <c r="X128" s="36" t="n">
        <f>14</f>
        <v>14.0</v>
      </c>
    </row>
    <row r="129">
      <c r="A129" s="27" t="s">
        <v>42</v>
      </c>
      <c r="B129" s="27" t="s">
        <v>427</v>
      </c>
      <c r="C129" s="27" t="s">
        <v>428</v>
      </c>
      <c r="D129" s="27" t="s">
        <v>429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13080</f>
        <v>13080.0</v>
      </c>
      <c r="L129" s="34" t="s">
        <v>48</v>
      </c>
      <c r="M129" s="33" t="n">
        <f>14240</f>
        <v>14240.0</v>
      </c>
      <c r="N129" s="34" t="s">
        <v>49</v>
      </c>
      <c r="O129" s="33" t="n">
        <f>12750</f>
        <v>12750.0</v>
      </c>
      <c r="P129" s="34" t="s">
        <v>50</v>
      </c>
      <c r="Q129" s="33" t="n">
        <f>14060</f>
        <v>14060.0</v>
      </c>
      <c r="R129" s="34" t="s">
        <v>51</v>
      </c>
      <c r="S129" s="35" t="n">
        <f>13377.22</f>
        <v>13377.22</v>
      </c>
      <c r="T129" s="32" t="n">
        <f>313819</f>
        <v>313819.0</v>
      </c>
      <c r="U129" s="32" t="n">
        <f>217553</f>
        <v>217553.0</v>
      </c>
      <c r="V129" s="32" t="n">
        <f>4243842108</f>
        <v>4.243842108E9</v>
      </c>
      <c r="W129" s="32" t="n">
        <f>2914013808</f>
        <v>2.914013808E9</v>
      </c>
      <c r="X129" s="36" t="n">
        <f>18</f>
        <v>18.0</v>
      </c>
    </row>
    <row r="130">
      <c r="A130" s="27" t="s">
        <v>42</v>
      </c>
      <c r="B130" s="27" t="s">
        <v>430</v>
      </c>
      <c r="C130" s="27" t="s">
        <v>431</v>
      </c>
      <c r="D130" s="27" t="s">
        <v>432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1205</f>
        <v>1205.0</v>
      </c>
      <c r="L130" s="34" t="s">
        <v>48</v>
      </c>
      <c r="M130" s="33" t="n">
        <f>1312</f>
        <v>1312.0</v>
      </c>
      <c r="N130" s="34" t="s">
        <v>49</v>
      </c>
      <c r="O130" s="33" t="n">
        <f>1175</f>
        <v>1175.0</v>
      </c>
      <c r="P130" s="34" t="s">
        <v>50</v>
      </c>
      <c r="Q130" s="33" t="n">
        <f>1301</f>
        <v>1301.0</v>
      </c>
      <c r="R130" s="34" t="s">
        <v>51</v>
      </c>
      <c r="S130" s="35" t="n">
        <f>1235.89</f>
        <v>1235.89</v>
      </c>
      <c r="T130" s="32" t="n">
        <f>253879</f>
        <v>253879.0</v>
      </c>
      <c r="U130" s="32" t="n">
        <f>14966</f>
        <v>14966.0</v>
      </c>
      <c r="V130" s="32" t="n">
        <f>314093702</f>
        <v>3.14093702E8</v>
      </c>
      <c r="W130" s="32" t="n">
        <f>18588054</f>
        <v>1.8588054E7</v>
      </c>
      <c r="X130" s="36" t="n">
        <f>18</f>
        <v>18.0</v>
      </c>
    </row>
    <row r="131">
      <c r="A131" s="27" t="s">
        <v>42</v>
      </c>
      <c r="B131" s="27" t="s">
        <v>433</v>
      </c>
      <c r="C131" s="27" t="s">
        <v>434</v>
      </c>
      <c r="D131" s="27" t="s">
        <v>435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13500</f>
        <v>13500.0</v>
      </c>
      <c r="L131" s="34" t="s">
        <v>48</v>
      </c>
      <c r="M131" s="33" t="n">
        <f>14670</f>
        <v>14670.0</v>
      </c>
      <c r="N131" s="34" t="s">
        <v>49</v>
      </c>
      <c r="O131" s="33" t="n">
        <f>13080</f>
        <v>13080.0</v>
      </c>
      <c r="P131" s="34" t="s">
        <v>50</v>
      </c>
      <c r="Q131" s="33" t="n">
        <f>14480</f>
        <v>14480.0</v>
      </c>
      <c r="R131" s="34" t="s">
        <v>51</v>
      </c>
      <c r="S131" s="35" t="n">
        <f>13784.44</f>
        <v>13784.44</v>
      </c>
      <c r="T131" s="32" t="n">
        <f>97797</f>
        <v>97797.0</v>
      </c>
      <c r="U131" s="32" t="n">
        <f>86000</f>
        <v>86000.0</v>
      </c>
      <c r="V131" s="32" t="n">
        <f>1368082120</f>
        <v>1.36808212E9</v>
      </c>
      <c r="W131" s="32" t="n">
        <f>1204524000</f>
        <v>1.204524E9</v>
      </c>
      <c r="X131" s="36" t="n">
        <f>18</f>
        <v>18.0</v>
      </c>
    </row>
    <row r="132">
      <c r="A132" s="27" t="s">
        <v>42</v>
      </c>
      <c r="B132" s="27" t="s">
        <v>436</v>
      </c>
      <c r="C132" s="27" t="s">
        <v>437</v>
      </c>
      <c r="D132" s="27" t="s">
        <v>438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1585</f>
        <v>1585.0</v>
      </c>
      <c r="L132" s="34" t="s">
        <v>48</v>
      </c>
      <c r="M132" s="33" t="n">
        <f>1740</f>
        <v>1740.0</v>
      </c>
      <c r="N132" s="34" t="s">
        <v>51</v>
      </c>
      <c r="O132" s="33" t="n">
        <f>1563</f>
        <v>1563.0</v>
      </c>
      <c r="P132" s="34" t="s">
        <v>116</v>
      </c>
      <c r="Q132" s="33" t="n">
        <f>1736</f>
        <v>1736.0</v>
      </c>
      <c r="R132" s="34" t="s">
        <v>51</v>
      </c>
      <c r="S132" s="35" t="n">
        <f>1645.56</f>
        <v>1645.56</v>
      </c>
      <c r="T132" s="32" t="n">
        <f>952770</f>
        <v>952770.0</v>
      </c>
      <c r="U132" s="32" t="n">
        <f>250000</f>
        <v>250000.0</v>
      </c>
      <c r="V132" s="32" t="n">
        <f>1585226690</f>
        <v>1.58522669E9</v>
      </c>
      <c r="W132" s="32" t="n">
        <f>417209000</f>
        <v>4.17209E8</v>
      </c>
      <c r="X132" s="36" t="n">
        <f>18</f>
        <v>18.0</v>
      </c>
    </row>
    <row r="133">
      <c r="A133" s="27" t="s">
        <v>42</v>
      </c>
      <c r="B133" s="27" t="s">
        <v>439</v>
      </c>
      <c r="C133" s="27" t="s">
        <v>440</v>
      </c>
      <c r="D133" s="27" t="s">
        <v>441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1311</f>
        <v>1311.0</v>
      </c>
      <c r="L133" s="34" t="s">
        <v>61</v>
      </c>
      <c r="M133" s="33" t="n">
        <f>1388</f>
        <v>1388.0</v>
      </c>
      <c r="N133" s="34" t="s">
        <v>49</v>
      </c>
      <c r="O133" s="33" t="n">
        <f>1311</f>
        <v>1311.0</v>
      </c>
      <c r="P133" s="34" t="s">
        <v>61</v>
      </c>
      <c r="Q133" s="33" t="n">
        <f>1388</f>
        <v>1388.0</v>
      </c>
      <c r="R133" s="34" t="s">
        <v>49</v>
      </c>
      <c r="S133" s="35" t="n">
        <f>1349.67</f>
        <v>1349.67</v>
      </c>
      <c r="T133" s="32" t="n">
        <f>280</f>
        <v>280.0</v>
      </c>
      <c r="U133" s="32" t="str">
        <f>"－"</f>
        <v>－</v>
      </c>
      <c r="V133" s="32" t="n">
        <f>372390</f>
        <v>372390.0</v>
      </c>
      <c r="W133" s="32" t="str">
        <f>"－"</f>
        <v>－</v>
      </c>
      <c r="X133" s="36" t="n">
        <f>3</f>
        <v>3.0</v>
      </c>
    </row>
    <row r="134">
      <c r="A134" s="27" t="s">
        <v>42</v>
      </c>
      <c r="B134" s="27" t="s">
        <v>442</v>
      </c>
      <c r="C134" s="27" t="s">
        <v>443</v>
      </c>
      <c r="D134" s="27" t="s">
        <v>444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1606</f>
        <v>1606.0</v>
      </c>
      <c r="L134" s="34" t="s">
        <v>48</v>
      </c>
      <c r="M134" s="33" t="n">
        <f>1752</f>
        <v>1752.0</v>
      </c>
      <c r="N134" s="34" t="s">
        <v>51</v>
      </c>
      <c r="O134" s="33" t="n">
        <f>1577</f>
        <v>1577.0</v>
      </c>
      <c r="P134" s="34" t="s">
        <v>116</v>
      </c>
      <c r="Q134" s="33" t="n">
        <f>1745</f>
        <v>1745.0</v>
      </c>
      <c r="R134" s="34" t="s">
        <v>51</v>
      </c>
      <c r="S134" s="35" t="n">
        <f>1659.06</f>
        <v>1659.06</v>
      </c>
      <c r="T134" s="32" t="n">
        <f>545110</f>
        <v>545110.0</v>
      </c>
      <c r="U134" s="32" t="n">
        <f>62000</f>
        <v>62000.0</v>
      </c>
      <c r="V134" s="32" t="n">
        <f>898898740</f>
        <v>8.9889874E8</v>
      </c>
      <c r="W134" s="32" t="n">
        <f>99878280</f>
        <v>9.987828E7</v>
      </c>
      <c r="X134" s="36" t="n">
        <f>18</f>
        <v>18.0</v>
      </c>
    </row>
    <row r="135">
      <c r="A135" s="27" t="s">
        <v>42</v>
      </c>
      <c r="B135" s="27" t="s">
        <v>445</v>
      </c>
      <c r="C135" s="27" t="s">
        <v>446</v>
      </c>
      <c r="D135" s="27" t="s">
        <v>447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14690</f>
        <v>14690.0</v>
      </c>
      <c r="L135" s="34" t="s">
        <v>51</v>
      </c>
      <c r="M135" s="33" t="n">
        <f>15750</f>
        <v>15750.0</v>
      </c>
      <c r="N135" s="34" t="s">
        <v>51</v>
      </c>
      <c r="O135" s="33" t="n">
        <f>14690</f>
        <v>14690.0</v>
      </c>
      <c r="P135" s="34" t="s">
        <v>51</v>
      </c>
      <c r="Q135" s="33" t="n">
        <f>15690</f>
        <v>15690.0</v>
      </c>
      <c r="R135" s="34" t="s">
        <v>51</v>
      </c>
      <c r="S135" s="35" t="n">
        <f>15690</f>
        <v>15690.0</v>
      </c>
      <c r="T135" s="32" t="n">
        <f>12</f>
        <v>12.0</v>
      </c>
      <c r="U135" s="32" t="str">
        <f>"－"</f>
        <v>－</v>
      </c>
      <c r="V135" s="32" t="n">
        <f>187340</f>
        <v>187340.0</v>
      </c>
      <c r="W135" s="32" t="str">
        <f>"－"</f>
        <v>－</v>
      </c>
      <c r="X135" s="36" t="n">
        <f>1</f>
        <v>1.0</v>
      </c>
    </row>
    <row r="136">
      <c r="A136" s="27" t="s">
        <v>42</v>
      </c>
      <c r="B136" s="27" t="s">
        <v>448</v>
      </c>
      <c r="C136" s="27" t="s">
        <v>449</v>
      </c>
      <c r="D136" s="27" t="s">
        <v>450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13650</f>
        <v>13650.0</v>
      </c>
      <c r="L136" s="34" t="s">
        <v>50</v>
      </c>
      <c r="M136" s="33" t="n">
        <f>14600</f>
        <v>14600.0</v>
      </c>
      <c r="N136" s="34" t="s">
        <v>51</v>
      </c>
      <c r="O136" s="33" t="n">
        <f>13030</f>
        <v>13030.0</v>
      </c>
      <c r="P136" s="34" t="s">
        <v>50</v>
      </c>
      <c r="Q136" s="33" t="n">
        <f>14600</f>
        <v>14600.0</v>
      </c>
      <c r="R136" s="34" t="s">
        <v>51</v>
      </c>
      <c r="S136" s="35" t="n">
        <f>13662.94</f>
        <v>13662.94</v>
      </c>
      <c r="T136" s="32" t="n">
        <f>1643</f>
        <v>1643.0</v>
      </c>
      <c r="U136" s="32" t="str">
        <f>"－"</f>
        <v>－</v>
      </c>
      <c r="V136" s="32" t="n">
        <f>22463840</f>
        <v>2.246384E7</v>
      </c>
      <c r="W136" s="32" t="str">
        <f>"－"</f>
        <v>－</v>
      </c>
      <c r="X136" s="36" t="n">
        <f>17</f>
        <v>17.0</v>
      </c>
    </row>
    <row r="137">
      <c r="A137" s="27" t="s">
        <v>42</v>
      </c>
      <c r="B137" s="27" t="s">
        <v>451</v>
      </c>
      <c r="C137" s="27" t="s">
        <v>452</v>
      </c>
      <c r="D137" s="27" t="s">
        <v>453</v>
      </c>
      <c r="E137" s="28" t="s">
        <v>46</v>
      </c>
      <c r="F137" s="29" t="s">
        <v>46</v>
      </c>
      <c r="G137" s="30" t="s">
        <v>46</v>
      </c>
      <c r="H137" s="31" t="s">
        <v>454</v>
      </c>
      <c r="I137" s="31"/>
      <c r="J137" s="32" t="n">
        <v>10.0</v>
      </c>
      <c r="K137" s="33" t="n">
        <f>2241</f>
        <v>2241.0</v>
      </c>
      <c r="L137" s="34" t="s">
        <v>48</v>
      </c>
      <c r="M137" s="33" t="n">
        <f>2349</f>
        <v>2349.0</v>
      </c>
      <c r="N137" s="34" t="s">
        <v>51</v>
      </c>
      <c r="O137" s="33" t="n">
        <f>2133</f>
        <v>2133.0</v>
      </c>
      <c r="P137" s="34" t="s">
        <v>175</v>
      </c>
      <c r="Q137" s="33" t="n">
        <f>2349</f>
        <v>2349.0</v>
      </c>
      <c r="R137" s="34" t="s">
        <v>51</v>
      </c>
      <c r="S137" s="35" t="n">
        <f>2242.39</f>
        <v>2242.39</v>
      </c>
      <c r="T137" s="32" t="n">
        <f>73190</f>
        <v>73190.0</v>
      </c>
      <c r="U137" s="32" t="str">
        <f>"－"</f>
        <v>－</v>
      </c>
      <c r="V137" s="32" t="n">
        <f>163639890</f>
        <v>1.6363989E8</v>
      </c>
      <c r="W137" s="32" t="str">
        <f>"－"</f>
        <v>－</v>
      </c>
      <c r="X137" s="36" t="n">
        <f>18</f>
        <v>18.0</v>
      </c>
    </row>
    <row r="138">
      <c r="A138" s="27" t="s">
        <v>42</v>
      </c>
      <c r="B138" s="27" t="s">
        <v>455</v>
      </c>
      <c r="C138" s="27" t="s">
        <v>456</v>
      </c>
      <c r="D138" s="27" t="s">
        <v>457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100.0</v>
      </c>
      <c r="K138" s="33" t="n">
        <f>121</f>
        <v>121.0</v>
      </c>
      <c r="L138" s="34" t="s">
        <v>48</v>
      </c>
      <c r="M138" s="33" t="n">
        <f>131</f>
        <v>131.0</v>
      </c>
      <c r="N138" s="34" t="s">
        <v>49</v>
      </c>
      <c r="O138" s="33" t="n">
        <f>115</f>
        <v>115.0</v>
      </c>
      <c r="P138" s="34" t="s">
        <v>50</v>
      </c>
      <c r="Q138" s="33" t="n">
        <f>126</f>
        <v>126.0</v>
      </c>
      <c r="R138" s="34" t="s">
        <v>51</v>
      </c>
      <c r="S138" s="35" t="n">
        <f>119.44</f>
        <v>119.44</v>
      </c>
      <c r="T138" s="32" t="n">
        <f>15257200</f>
        <v>1.52572E7</v>
      </c>
      <c r="U138" s="32" t="n">
        <f>19000</f>
        <v>19000.0</v>
      </c>
      <c r="V138" s="32" t="n">
        <f>1850951710</f>
        <v>1.85095171E9</v>
      </c>
      <c r="W138" s="32" t="n">
        <f>2265710</f>
        <v>2265710.0</v>
      </c>
      <c r="X138" s="36" t="n">
        <f>18</f>
        <v>18.0</v>
      </c>
    </row>
    <row r="139">
      <c r="A139" s="27" t="s">
        <v>42</v>
      </c>
      <c r="B139" s="27" t="s">
        <v>458</v>
      </c>
      <c r="C139" s="27" t="s">
        <v>459</v>
      </c>
      <c r="D139" s="27" t="s">
        <v>460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26040</f>
        <v>26040.0</v>
      </c>
      <c r="L139" s="34" t="s">
        <v>48</v>
      </c>
      <c r="M139" s="33" t="n">
        <f>27220</f>
        <v>27220.0</v>
      </c>
      <c r="N139" s="34" t="s">
        <v>51</v>
      </c>
      <c r="O139" s="33" t="n">
        <f>25090</f>
        <v>25090.0</v>
      </c>
      <c r="P139" s="34" t="s">
        <v>50</v>
      </c>
      <c r="Q139" s="33" t="n">
        <f>27220</f>
        <v>27220.0</v>
      </c>
      <c r="R139" s="34" t="s">
        <v>51</v>
      </c>
      <c r="S139" s="35" t="n">
        <f>26035.88</f>
        <v>26035.88</v>
      </c>
      <c r="T139" s="32" t="n">
        <f>389</f>
        <v>389.0</v>
      </c>
      <c r="U139" s="32" t="str">
        <f>"－"</f>
        <v>－</v>
      </c>
      <c r="V139" s="32" t="n">
        <f>10136670</f>
        <v>1.013667E7</v>
      </c>
      <c r="W139" s="32" t="str">
        <f>"－"</f>
        <v>－</v>
      </c>
      <c r="X139" s="36" t="n">
        <f>17</f>
        <v>17.0</v>
      </c>
    </row>
    <row r="140">
      <c r="A140" s="27" t="s">
        <v>42</v>
      </c>
      <c r="B140" s="27" t="s">
        <v>461</v>
      </c>
      <c r="C140" s="27" t="s">
        <v>462</v>
      </c>
      <c r="D140" s="27" t="s">
        <v>463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8680</f>
        <v>8680.0</v>
      </c>
      <c r="L140" s="34" t="s">
        <v>48</v>
      </c>
      <c r="M140" s="33" t="n">
        <f>9260</f>
        <v>9260.0</v>
      </c>
      <c r="N140" s="34" t="s">
        <v>464</v>
      </c>
      <c r="O140" s="33" t="n">
        <f>8340</f>
        <v>8340.0</v>
      </c>
      <c r="P140" s="34" t="s">
        <v>50</v>
      </c>
      <c r="Q140" s="33" t="n">
        <f>9000</f>
        <v>9000.0</v>
      </c>
      <c r="R140" s="34" t="s">
        <v>51</v>
      </c>
      <c r="S140" s="35" t="n">
        <f>8772.22</f>
        <v>8772.22</v>
      </c>
      <c r="T140" s="32" t="n">
        <f>3448</f>
        <v>3448.0</v>
      </c>
      <c r="U140" s="32" t="str">
        <f>"－"</f>
        <v>－</v>
      </c>
      <c r="V140" s="32" t="n">
        <f>30227820</f>
        <v>3.022782E7</v>
      </c>
      <c r="W140" s="32" t="str">
        <f>"－"</f>
        <v>－</v>
      </c>
      <c r="X140" s="36" t="n">
        <f>18</f>
        <v>18.0</v>
      </c>
    </row>
    <row r="141">
      <c r="A141" s="27" t="s">
        <v>42</v>
      </c>
      <c r="B141" s="27" t="s">
        <v>465</v>
      </c>
      <c r="C141" s="27" t="s">
        <v>466</v>
      </c>
      <c r="D141" s="27" t="s">
        <v>467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17830</f>
        <v>17830.0</v>
      </c>
      <c r="L141" s="34" t="s">
        <v>48</v>
      </c>
      <c r="M141" s="33" t="n">
        <f>19410</f>
        <v>19410.0</v>
      </c>
      <c r="N141" s="34" t="s">
        <v>49</v>
      </c>
      <c r="O141" s="33" t="n">
        <f>17100</f>
        <v>17100.0</v>
      </c>
      <c r="P141" s="34" t="s">
        <v>50</v>
      </c>
      <c r="Q141" s="33" t="n">
        <f>19100</f>
        <v>19100.0</v>
      </c>
      <c r="R141" s="34" t="s">
        <v>51</v>
      </c>
      <c r="S141" s="35" t="n">
        <f>18263.13</f>
        <v>18263.13</v>
      </c>
      <c r="T141" s="32" t="n">
        <f>845</f>
        <v>845.0</v>
      </c>
      <c r="U141" s="32" t="str">
        <f>"－"</f>
        <v>－</v>
      </c>
      <c r="V141" s="32" t="n">
        <f>15629620</f>
        <v>1.562962E7</v>
      </c>
      <c r="W141" s="32" t="str">
        <f>"－"</f>
        <v>－</v>
      </c>
      <c r="X141" s="36" t="n">
        <f>16</f>
        <v>16.0</v>
      </c>
    </row>
    <row r="142">
      <c r="A142" s="27" t="s">
        <v>42</v>
      </c>
      <c r="B142" s="27" t="s">
        <v>468</v>
      </c>
      <c r="C142" s="27" t="s">
        <v>469</v>
      </c>
      <c r="D142" s="27" t="s">
        <v>470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21640</f>
        <v>21640.0</v>
      </c>
      <c r="L142" s="34" t="s">
        <v>48</v>
      </c>
      <c r="M142" s="33" t="n">
        <f>23360</f>
        <v>23360.0</v>
      </c>
      <c r="N142" s="34" t="s">
        <v>49</v>
      </c>
      <c r="O142" s="33" t="n">
        <f>21450</f>
        <v>21450.0</v>
      </c>
      <c r="P142" s="34" t="s">
        <v>50</v>
      </c>
      <c r="Q142" s="33" t="n">
        <f>22990</f>
        <v>22990.0</v>
      </c>
      <c r="R142" s="34" t="s">
        <v>49</v>
      </c>
      <c r="S142" s="35" t="n">
        <f>22026.67</f>
        <v>22026.67</v>
      </c>
      <c r="T142" s="32" t="n">
        <f>109</f>
        <v>109.0</v>
      </c>
      <c r="U142" s="32" t="str">
        <f>"－"</f>
        <v>－</v>
      </c>
      <c r="V142" s="32" t="n">
        <f>2426850</f>
        <v>2426850.0</v>
      </c>
      <c r="W142" s="32" t="str">
        <f>"－"</f>
        <v>－</v>
      </c>
      <c r="X142" s="36" t="n">
        <f>12</f>
        <v>12.0</v>
      </c>
    </row>
    <row r="143">
      <c r="A143" s="27" t="s">
        <v>42</v>
      </c>
      <c r="B143" s="27" t="s">
        <v>471</v>
      </c>
      <c r="C143" s="27" t="s">
        <v>472</v>
      </c>
      <c r="D143" s="27" t="s">
        <v>473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23660</f>
        <v>23660.0</v>
      </c>
      <c r="L143" s="34" t="s">
        <v>48</v>
      </c>
      <c r="M143" s="33" t="n">
        <f>27060</f>
        <v>27060.0</v>
      </c>
      <c r="N143" s="34" t="s">
        <v>51</v>
      </c>
      <c r="O143" s="33" t="n">
        <f>23290</f>
        <v>23290.0</v>
      </c>
      <c r="P143" s="34" t="s">
        <v>50</v>
      </c>
      <c r="Q143" s="33" t="n">
        <f>27020</f>
        <v>27020.0</v>
      </c>
      <c r="R143" s="34" t="s">
        <v>51</v>
      </c>
      <c r="S143" s="35" t="n">
        <f>24682.22</f>
        <v>24682.22</v>
      </c>
      <c r="T143" s="32" t="n">
        <f>5321</f>
        <v>5321.0</v>
      </c>
      <c r="U143" s="32" t="str">
        <f>"－"</f>
        <v>－</v>
      </c>
      <c r="V143" s="32" t="n">
        <f>131793130</f>
        <v>1.3179313E8</v>
      </c>
      <c r="W143" s="32" t="str">
        <f>"－"</f>
        <v>－</v>
      </c>
      <c r="X143" s="36" t="n">
        <f>18</f>
        <v>18.0</v>
      </c>
    </row>
    <row r="144">
      <c r="A144" s="27" t="s">
        <v>42</v>
      </c>
      <c r="B144" s="27" t="s">
        <v>474</v>
      </c>
      <c r="C144" s="27" t="s">
        <v>475</v>
      </c>
      <c r="D144" s="27" t="s">
        <v>476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16990</f>
        <v>16990.0</v>
      </c>
      <c r="L144" s="34" t="s">
        <v>48</v>
      </c>
      <c r="M144" s="33" t="n">
        <f>18400</f>
        <v>18400.0</v>
      </c>
      <c r="N144" s="34" t="s">
        <v>49</v>
      </c>
      <c r="O144" s="33" t="n">
        <f>16000</f>
        <v>16000.0</v>
      </c>
      <c r="P144" s="34" t="s">
        <v>50</v>
      </c>
      <c r="Q144" s="33" t="n">
        <f>17870</f>
        <v>17870.0</v>
      </c>
      <c r="R144" s="34" t="s">
        <v>51</v>
      </c>
      <c r="S144" s="35" t="n">
        <f>16853.89</f>
        <v>16853.89</v>
      </c>
      <c r="T144" s="32" t="n">
        <f>1982</f>
        <v>1982.0</v>
      </c>
      <c r="U144" s="32" t="str">
        <f>"－"</f>
        <v>－</v>
      </c>
      <c r="V144" s="32" t="n">
        <f>33133070</f>
        <v>3.313307E7</v>
      </c>
      <c r="W144" s="32" t="str">
        <f>"－"</f>
        <v>－</v>
      </c>
      <c r="X144" s="36" t="n">
        <f>18</f>
        <v>18.0</v>
      </c>
    </row>
    <row r="145">
      <c r="A145" s="27" t="s">
        <v>42</v>
      </c>
      <c r="B145" s="27" t="s">
        <v>477</v>
      </c>
      <c r="C145" s="27" t="s">
        <v>478</v>
      </c>
      <c r="D145" s="27" t="s">
        <v>479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9980</f>
        <v>9980.0</v>
      </c>
      <c r="L145" s="34" t="s">
        <v>48</v>
      </c>
      <c r="M145" s="33" t="n">
        <f>11300</f>
        <v>11300.0</v>
      </c>
      <c r="N145" s="34" t="s">
        <v>49</v>
      </c>
      <c r="O145" s="33" t="n">
        <f>9350</f>
        <v>9350.0</v>
      </c>
      <c r="P145" s="34" t="s">
        <v>50</v>
      </c>
      <c r="Q145" s="33" t="n">
        <f>10930</f>
        <v>10930.0</v>
      </c>
      <c r="R145" s="34" t="s">
        <v>51</v>
      </c>
      <c r="S145" s="35" t="n">
        <f>10172.22</f>
        <v>10172.22</v>
      </c>
      <c r="T145" s="32" t="n">
        <f>4200</f>
        <v>4200.0</v>
      </c>
      <c r="U145" s="32" t="str">
        <f>"－"</f>
        <v>－</v>
      </c>
      <c r="V145" s="32" t="n">
        <f>43216510</f>
        <v>4.321651E7</v>
      </c>
      <c r="W145" s="32" t="str">
        <f>"－"</f>
        <v>－</v>
      </c>
      <c r="X145" s="36" t="n">
        <f>18</f>
        <v>18.0</v>
      </c>
    </row>
    <row r="146">
      <c r="A146" s="27" t="s">
        <v>42</v>
      </c>
      <c r="B146" s="27" t="s">
        <v>480</v>
      </c>
      <c r="C146" s="27" t="s">
        <v>481</v>
      </c>
      <c r="D146" s="27" t="s">
        <v>482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28890</f>
        <v>28890.0</v>
      </c>
      <c r="L146" s="34" t="s">
        <v>50</v>
      </c>
      <c r="M146" s="33" t="n">
        <f>31950</f>
        <v>31950.0</v>
      </c>
      <c r="N146" s="34" t="s">
        <v>49</v>
      </c>
      <c r="O146" s="33" t="n">
        <f>28230</f>
        <v>28230.0</v>
      </c>
      <c r="P146" s="34" t="s">
        <v>50</v>
      </c>
      <c r="Q146" s="33" t="n">
        <f>31750</f>
        <v>31750.0</v>
      </c>
      <c r="R146" s="34" t="s">
        <v>51</v>
      </c>
      <c r="S146" s="35" t="n">
        <f>30318.46</f>
        <v>30318.46</v>
      </c>
      <c r="T146" s="32" t="n">
        <f>87</f>
        <v>87.0</v>
      </c>
      <c r="U146" s="32" t="str">
        <f>"－"</f>
        <v>－</v>
      </c>
      <c r="V146" s="32" t="n">
        <f>2553290</f>
        <v>2553290.0</v>
      </c>
      <c r="W146" s="32" t="str">
        <f>"－"</f>
        <v>－</v>
      </c>
      <c r="X146" s="36" t="n">
        <f>13</f>
        <v>13.0</v>
      </c>
    </row>
    <row r="147">
      <c r="A147" s="27" t="s">
        <v>42</v>
      </c>
      <c r="B147" s="27" t="s">
        <v>483</v>
      </c>
      <c r="C147" s="27" t="s">
        <v>484</v>
      </c>
      <c r="D147" s="27" t="s">
        <v>485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18490</f>
        <v>18490.0</v>
      </c>
      <c r="L147" s="34" t="s">
        <v>48</v>
      </c>
      <c r="M147" s="33" t="n">
        <f>20100</f>
        <v>20100.0</v>
      </c>
      <c r="N147" s="34" t="s">
        <v>49</v>
      </c>
      <c r="O147" s="33" t="n">
        <f>18250</f>
        <v>18250.0</v>
      </c>
      <c r="P147" s="34" t="s">
        <v>50</v>
      </c>
      <c r="Q147" s="33" t="n">
        <f>20080</f>
        <v>20080.0</v>
      </c>
      <c r="R147" s="34" t="s">
        <v>51</v>
      </c>
      <c r="S147" s="35" t="n">
        <f>19124.44</f>
        <v>19124.44</v>
      </c>
      <c r="T147" s="32" t="n">
        <f>682</f>
        <v>682.0</v>
      </c>
      <c r="U147" s="32" t="str">
        <f>"－"</f>
        <v>－</v>
      </c>
      <c r="V147" s="32" t="n">
        <f>13033040</f>
        <v>1.303304E7</v>
      </c>
      <c r="W147" s="32" t="str">
        <f>"－"</f>
        <v>－</v>
      </c>
      <c r="X147" s="36" t="n">
        <f>18</f>
        <v>18.0</v>
      </c>
    </row>
    <row r="148">
      <c r="A148" s="27" t="s">
        <v>42</v>
      </c>
      <c r="B148" s="27" t="s">
        <v>486</v>
      </c>
      <c r="C148" s="27" t="s">
        <v>487</v>
      </c>
      <c r="D148" s="27" t="s">
        <v>488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22130</f>
        <v>22130.0</v>
      </c>
      <c r="L148" s="34" t="s">
        <v>48</v>
      </c>
      <c r="M148" s="33" t="n">
        <f>23940</f>
        <v>23940.0</v>
      </c>
      <c r="N148" s="34" t="s">
        <v>299</v>
      </c>
      <c r="O148" s="33" t="n">
        <f>21980</f>
        <v>21980.0</v>
      </c>
      <c r="P148" s="34" t="s">
        <v>50</v>
      </c>
      <c r="Q148" s="33" t="n">
        <f>23560</f>
        <v>23560.0</v>
      </c>
      <c r="R148" s="34" t="s">
        <v>51</v>
      </c>
      <c r="S148" s="35" t="n">
        <f>22866.25</f>
        <v>22866.25</v>
      </c>
      <c r="T148" s="32" t="n">
        <f>708</f>
        <v>708.0</v>
      </c>
      <c r="U148" s="32" t="str">
        <f>"－"</f>
        <v>－</v>
      </c>
      <c r="V148" s="32" t="n">
        <f>16391970</f>
        <v>1.639197E7</v>
      </c>
      <c r="W148" s="32" t="str">
        <f>"－"</f>
        <v>－</v>
      </c>
      <c r="X148" s="36" t="n">
        <f>16</f>
        <v>16.0</v>
      </c>
    </row>
    <row r="149">
      <c r="A149" s="27" t="s">
        <v>42</v>
      </c>
      <c r="B149" s="27" t="s">
        <v>489</v>
      </c>
      <c r="C149" s="27" t="s">
        <v>490</v>
      </c>
      <c r="D149" s="27" t="s">
        <v>491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6550</f>
        <v>6550.0</v>
      </c>
      <c r="L149" s="34" t="s">
        <v>48</v>
      </c>
      <c r="M149" s="33" t="n">
        <f>6700</f>
        <v>6700.0</v>
      </c>
      <c r="N149" s="34" t="s">
        <v>49</v>
      </c>
      <c r="O149" s="33" t="n">
        <f>6260</f>
        <v>6260.0</v>
      </c>
      <c r="P149" s="34" t="s">
        <v>50</v>
      </c>
      <c r="Q149" s="33" t="n">
        <f>6610</f>
        <v>6610.0</v>
      </c>
      <c r="R149" s="34" t="s">
        <v>51</v>
      </c>
      <c r="S149" s="35" t="n">
        <f>6508.33</f>
        <v>6508.33</v>
      </c>
      <c r="T149" s="32" t="n">
        <f>2363</f>
        <v>2363.0</v>
      </c>
      <c r="U149" s="32" t="str">
        <f>"－"</f>
        <v>－</v>
      </c>
      <c r="V149" s="32" t="n">
        <f>15351880</f>
        <v>1.535188E7</v>
      </c>
      <c r="W149" s="32" t="str">
        <f>"－"</f>
        <v>－</v>
      </c>
      <c r="X149" s="36" t="n">
        <f>18</f>
        <v>18.0</v>
      </c>
    </row>
    <row r="150">
      <c r="A150" s="27" t="s">
        <v>42</v>
      </c>
      <c r="B150" s="27" t="s">
        <v>492</v>
      </c>
      <c r="C150" s="27" t="s">
        <v>493</v>
      </c>
      <c r="D150" s="27" t="s">
        <v>494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15050</f>
        <v>15050.0</v>
      </c>
      <c r="L150" s="34" t="s">
        <v>48</v>
      </c>
      <c r="M150" s="33" t="n">
        <f>16360</f>
        <v>16360.0</v>
      </c>
      <c r="N150" s="34" t="s">
        <v>464</v>
      </c>
      <c r="O150" s="33" t="n">
        <f>14000</f>
        <v>14000.0</v>
      </c>
      <c r="P150" s="34" t="s">
        <v>50</v>
      </c>
      <c r="Q150" s="33" t="n">
        <f>16160</f>
        <v>16160.0</v>
      </c>
      <c r="R150" s="34" t="s">
        <v>51</v>
      </c>
      <c r="S150" s="35" t="n">
        <f>15269.44</f>
        <v>15269.44</v>
      </c>
      <c r="T150" s="32" t="n">
        <f>913</f>
        <v>913.0</v>
      </c>
      <c r="U150" s="32" t="str">
        <f>"－"</f>
        <v>－</v>
      </c>
      <c r="V150" s="32" t="n">
        <f>14011120</f>
        <v>1.401112E7</v>
      </c>
      <c r="W150" s="32" t="str">
        <f>"－"</f>
        <v>－</v>
      </c>
      <c r="X150" s="36" t="n">
        <f>18</f>
        <v>18.0</v>
      </c>
    </row>
    <row r="151">
      <c r="A151" s="27" t="s">
        <v>42</v>
      </c>
      <c r="B151" s="27" t="s">
        <v>495</v>
      </c>
      <c r="C151" s="27" t="s">
        <v>496</v>
      </c>
      <c r="D151" s="27" t="s">
        <v>497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28460</f>
        <v>28460.0</v>
      </c>
      <c r="L151" s="34" t="s">
        <v>48</v>
      </c>
      <c r="M151" s="33" t="n">
        <f>31250</f>
        <v>31250.0</v>
      </c>
      <c r="N151" s="34" t="s">
        <v>49</v>
      </c>
      <c r="O151" s="33" t="n">
        <f>28090</f>
        <v>28090.0</v>
      </c>
      <c r="P151" s="34" t="s">
        <v>48</v>
      </c>
      <c r="Q151" s="33" t="n">
        <f>31100</f>
        <v>31100.0</v>
      </c>
      <c r="R151" s="34" t="s">
        <v>49</v>
      </c>
      <c r="S151" s="35" t="n">
        <f>29534.62</f>
        <v>29534.62</v>
      </c>
      <c r="T151" s="32" t="n">
        <f>397</f>
        <v>397.0</v>
      </c>
      <c r="U151" s="32" t="str">
        <f>"－"</f>
        <v>－</v>
      </c>
      <c r="V151" s="32" t="n">
        <f>11789910</f>
        <v>1.178991E7</v>
      </c>
      <c r="W151" s="32" t="str">
        <f>"－"</f>
        <v>－</v>
      </c>
      <c r="X151" s="36" t="n">
        <f>13</f>
        <v>13.0</v>
      </c>
    </row>
    <row r="152">
      <c r="A152" s="27" t="s">
        <v>42</v>
      </c>
      <c r="B152" s="27" t="s">
        <v>498</v>
      </c>
      <c r="C152" s="27" t="s">
        <v>499</v>
      </c>
      <c r="D152" s="27" t="s">
        <v>500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18280</f>
        <v>18280.0</v>
      </c>
      <c r="L152" s="34" t="s">
        <v>48</v>
      </c>
      <c r="M152" s="33" t="n">
        <f>20180</f>
        <v>20180.0</v>
      </c>
      <c r="N152" s="34" t="s">
        <v>51</v>
      </c>
      <c r="O152" s="33" t="n">
        <f>17850</f>
        <v>17850.0</v>
      </c>
      <c r="P152" s="34" t="s">
        <v>50</v>
      </c>
      <c r="Q152" s="33" t="n">
        <f>20180</f>
        <v>20180.0</v>
      </c>
      <c r="R152" s="34" t="s">
        <v>51</v>
      </c>
      <c r="S152" s="35" t="n">
        <f>18953.64</f>
        <v>18953.64</v>
      </c>
      <c r="T152" s="32" t="n">
        <f>128</f>
        <v>128.0</v>
      </c>
      <c r="U152" s="32" t="str">
        <f>"－"</f>
        <v>－</v>
      </c>
      <c r="V152" s="32" t="n">
        <f>2317150</f>
        <v>2317150.0</v>
      </c>
      <c r="W152" s="32" t="str">
        <f>"－"</f>
        <v>－</v>
      </c>
      <c r="X152" s="36" t="n">
        <f>11</f>
        <v>11.0</v>
      </c>
    </row>
    <row r="153">
      <c r="A153" s="27" t="s">
        <v>42</v>
      </c>
      <c r="B153" s="27" t="s">
        <v>501</v>
      </c>
      <c r="C153" s="27" t="s">
        <v>502</v>
      </c>
      <c r="D153" s="27" t="s">
        <v>503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6920</f>
        <v>6920.0</v>
      </c>
      <c r="L153" s="34" t="s">
        <v>48</v>
      </c>
      <c r="M153" s="33" t="n">
        <f>7410</f>
        <v>7410.0</v>
      </c>
      <c r="N153" s="34" t="s">
        <v>49</v>
      </c>
      <c r="O153" s="33" t="n">
        <f>6500</f>
        <v>6500.0</v>
      </c>
      <c r="P153" s="34" t="s">
        <v>68</v>
      </c>
      <c r="Q153" s="33" t="n">
        <f>7210</f>
        <v>7210.0</v>
      </c>
      <c r="R153" s="34" t="s">
        <v>51</v>
      </c>
      <c r="S153" s="35" t="n">
        <f>6781.11</f>
        <v>6781.11</v>
      </c>
      <c r="T153" s="32" t="n">
        <f>5907</f>
        <v>5907.0</v>
      </c>
      <c r="U153" s="32" t="str">
        <f>"－"</f>
        <v>－</v>
      </c>
      <c r="V153" s="32" t="n">
        <f>40787090</f>
        <v>4.078709E7</v>
      </c>
      <c r="W153" s="32" t="str">
        <f>"－"</f>
        <v>－</v>
      </c>
      <c r="X153" s="36" t="n">
        <f>18</f>
        <v>18.0</v>
      </c>
    </row>
    <row r="154">
      <c r="A154" s="27" t="s">
        <v>42</v>
      </c>
      <c r="B154" s="27" t="s">
        <v>504</v>
      </c>
      <c r="C154" s="27" t="s">
        <v>505</v>
      </c>
      <c r="D154" s="27" t="s">
        <v>506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10190</f>
        <v>10190.0</v>
      </c>
      <c r="L154" s="34" t="s">
        <v>48</v>
      </c>
      <c r="M154" s="33" t="n">
        <f>11080</f>
        <v>11080.0</v>
      </c>
      <c r="N154" s="34" t="s">
        <v>49</v>
      </c>
      <c r="O154" s="33" t="n">
        <f>9800</f>
        <v>9800.0</v>
      </c>
      <c r="P154" s="34" t="s">
        <v>312</v>
      </c>
      <c r="Q154" s="33" t="n">
        <f>10840</f>
        <v>10840.0</v>
      </c>
      <c r="R154" s="34" t="s">
        <v>51</v>
      </c>
      <c r="S154" s="35" t="n">
        <f>10193.75</f>
        <v>10193.75</v>
      </c>
      <c r="T154" s="32" t="n">
        <f>497</f>
        <v>497.0</v>
      </c>
      <c r="U154" s="32" t="str">
        <f>"－"</f>
        <v>－</v>
      </c>
      <c r="V154" s="32" t="n">
        <f>5266090</f>
        <v>5266090.0</v>
      </c>
      <c r="W154" s="32" t="str">
        <f>"－"</f>
        <v>－</v>
      </c>
      <c r="X154" s="36" t="n">
        <f>16</f>
        <v>16.0</v>
      </c>
    </row>
    <row r="155">
      <c r="A155" s="27" t="s">
        <v>42</v>
      </c>
      <c r="B155" s="27" t="s">
        <v>507</v>
      </c>
      <c r="C155" s="27" t="s">
        <v>508</v>
      </c>
      <c r="D155" s="27" t="s">
        <v>509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1.0</v>
      </c>
      <c r="K155" s="33" t="n">
        <f>24190</f>
        <v>24190.0</v>
      </c>
      <c r="L155" s="34" t="s">
        <v>48</v>
      </c>
      <c r="M155" s="33" t="n">
        <f>25910</f>
        <v>25910.0</v>
      </c>
      <c r="N155" s="34" t="s">
        <v>464</v>
      </c>
      <c r="O155" s="33" t="n">
        <f>22880</f>
        <v>22880.0</v>
      </c>
      <c r="P155" s="34" t="s">
        <v>116</v>
      </c>
      <c r="Q155" s="33" t="n">
        <f>25380</f>
        <v>25380.0</v>
      </c>
      <c r="R155" s="34" t="s">
        <v>51</v>
      </c>
      <c r="S155" s="35" t="n">
        <f>24130</f>
        <v>24130.0</v>
      </c>
      <c r="T155" s="32" t="n">
        <f>524</f>
        <v>524.0</v>
      </c>
      <c r="U155" s="32" t="str">
        <f>"－"</f>
        <v>－</v>
      </c>
      <c r="V155" s="32" t="n">
        <f>12598540</f>
        <v>1.259854E7</v>
      </c>
      <c r="W155" s="32" t="str">
        <f>"－"</f>
        <v>－</v>
      </c>
      <c r="X155" s="36" t="n">
        <f>16</f>
        <v>16.0</v>
      </c>
    </row>
    <row r="156">
      <c r="A156" s="27" t="s">
        <v>42</v>
      </c>
      <c r="B156" s="27" t="s">
        <v>510</v>
      </c>
      <c r="C156" s="27" t="s">
        <v>511</v>
      </c>
      <c r="D156" s="27" t="s">
        <v>512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810</f>
        <v>810.0</v>
      </c>
      <c r="L156" s="34" t="s">
        <v>48</v>
      </c>
      <c r="M156" s="33" t="n">
        <f>860</f>
        <v>860.0</v>
      </c>
      <c r="N156" s="34" t="s">
        <v>51</v>
      </c>
      <c r="O156" s="33" t="n">
        <f>758</f>
        <v>758.0</v>
      </c>
      <c r="P156" s="34" t="s">
        <v>50</v>
      </c>
      <c r="Q156" s="33" t="n">
        <f>839</f>
        <v>839.0</v>
      </c>
      <c r="R156" s="34" t="s">
        <v>51</v>
      </c>
      <c r="S156" s="35" t="n">
        <f>807.11</f>
        <v>807.11</v>
      </c>
      <c r="T156" s="32" t="n">
        <f>88240</f>
        <v>88240.0</v>
      </c>
      <c r="U156" s="32" t="str">
        <f>"－"</f>
        <v>－</v>
      </c>
      <c r="V156" s="32" t="n">
        <f>71853820</f>
        <v>7.185382E7</v>
      </c>
      <c r="W156" s="32" t="str">
        <f>"－"</f>
        <v>－</v>
      </c>
      <c r="X156" s="36" t="n">
        <f>18</f>
        <v>18.0</v>
      </c>
    </row>
    <row r="157">
      <c r="A157" s="27" t="s">
        <v>42</v>
      </c>
      <c r="B157" s="27" t="s">
        <v>513</v>
      </c>
      <c r="C157" s="27" t="s">
        <v>514</v>
      </c>
      <c r="D157" s="27" t="s">
        <v>515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1827</f>
        <v>1827.0</v>
      </c>
      <c r="L157" s="34" t="s">
        <v>48</v>
      </c>
      <c r="M157" s="33" t="n">
        <f>1988</f>
        <v>1988.0</v>
      </c>
      <c r="N157" s="34" t="s">
        <v>51</v>
      </c>
      <c r="O157" s="33" t="n">
        <f>1825</f>
        <v>1825.0</v>
      </c>
      <c r="P157" s="34" t="s">
        <v>48</v>
      </c>
      <c r="Q157" s="33" t="n">
        <f>1988</f>
        <v>1988.0</v>
      </c>
      <c r="R157" s="34" t="s">
        <v>51</v>
      </c>
      <c r="S157" s="35" t="n">
        <f>1903.42</f>
        <v>1903.42</v>
      </c>
      <c r="T157" s="32" t="n">
        <f>2330</f>
        <v>2330.0</v>
      </c>
      <c r="U157" s="32" t="str">
        <f>"－"</f>
        <v>－</v>
      </c>
      <c r="V157" s="32" t="n">
        <f>4277530</f>
        <v>4277530.0</v>
      </c>
      <c r="W157" s="32" t="str">
        <f>"－"</f>
        <v>－</v>
      </c>
      <c r="X157" s="36" t="n">
        <f>12</f>
        <v>12.0</v>
      </c>
    </row>
    <row r="158">
      <c r="A158" s="27" t="s">
        <v>42</v>
      </c>
      <c r="B158" s="27" t="s">
        <v>516</v>
      </c>
      <c r="C158" s="27" t="s">
        <v>517</v>
      </c>
      <c r="D158" s="27" t="s">
        <v>518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1855</f>
        <v>1855.0</v>
      </c>
      <c r="L158" s="34" t="s">
        <v>48</v>
      </c>
      <c r="M158" s="33" t="n">
        <f>2017</f>
        <v>2017.0</v>
      </c>
      <c r="N158" s="34" t="s">
        <v>51</v>
      </c>
      <c r="O158" s="33" t="n">
        <f>1834</f>
        <v>1834.0</v>
      </c>
      <c r="P158" s="34" t="s">
        <v>50</v>
      </c>
      <c r="Q158" s="33" t="n">
        <f>2015</f>
        <v>2015.0</v>
      </c>
      <c r="R158" s="34" t="s">
        <v>51</v>
      </c>
      <c r="S158" s="35" t="n">
        <f>1913</f>
        <v>1913.0</v>
      </c>
      <c r="T158" s="32" t="n">
        <f>6770</f>
        <v>6770.0</v>
      </c>
      <c r="U158" s="32" t="str">
        <f>"－"</f>
        <v>－</v>
      </c>
      <c r="V158" s="32" t="n">
        <f>13047490</f>
        <v>1.304749E7</v>
      </c>
      <c r="W158" s="32" t="str">
        <f>"－"</f>
        <v>－</v>
      </c>
      <c r="X158" s="36" t="n">
        <f>15</f>
        <v>15.0</v>
      </c>
    </row>
    <row r="159">
      <c r="A159" s="27" t="s">
        <v>42</v>
      </c>
      <c r="B159" s="27" t="s">
        <v>519</v>
      </c>
      <c r="C159" s="27" t="s">
        <v>520</v>
      </c>
      <c r="D159" s="27" t="s">
        <v>521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1120</f>
        <v>1120.0</v>
      </c>
      <c r="L159" s="34" t="s">
        <v>61</v>
      </c>
      <c r="M159" s="33" t="n">
        <f>1195</f>
        <v>1195.0</v>
      </c>
      <c r="N159" s="34" t="s">
        <v>49</v>
      </c>
      <c r="O159" s="33" t="n">
        <f>1108</f>
        <v>1108.0</v>
      </c>
      <c r="P159" s="34" t="s">
        <v>312</v>
      </c>
      <c r="Q159" s="33" t="n">
        <f>1188</f>
        <v>1188.0</v>
      </c>
      <c r="R159" s="34" t="s">
        <v>51</v>
      </c>
      <c r="S159" s="35" t="n">
        <f>1144.63</f>
        <v>1144.63</v>
      </c>
      <c r="T159" s="32" t="n">
        <f>8650</f>
        <v>8650.0</v>
      </c>
      <c r="U159" s="32" t="str">
        <f>"－"</f>
        <v>－</v>
      </c>
      <c r="V159" s="32" t="n">
        <f>9869810</f>
        <v>9869810.0</v>
      </c>
      <c r="W159" s="32" t="str">
        <f>"－"</f>
        <v>－</v>
      </c>
      <c r="X159" s="36" t="n">
        <f>8</f>
        <v>8.0</v>
      </c>
    </row>
    <row r="160">
      <c r="A160" s="27" t="s">
        <v>42</v>
      </c>
      <c r="B160" s="27" t="s">
        <v>522</v>
      </c>
      <c r="C160" s="27" t="s">
        <v>523</v>
      </c>
      <c r="D160" s="27" t="s">
        <v>524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2208</f>
        <v>2208.0</v>
      </c>
      <c r="L160" s="34" t="s">
        <v>48</v>
      </c>
      <c r="M160" s="33" t="n">
        <f>2359</f>
        <v>2359.0</v>
      </c>
      <c r="N160" s="34" t="s">
        <v>49</v>
      </c>
      <c r="O160" s="33" t="n">
        <f>2144</f>
        <v>2144.0</v>
      </c>
      <c r="P160" s="34" t="s">
        <v>312</v>
      </c>
      <c r="Q160" s="33" t="n">
        <f>2326</f>
        <v>2326.0</v>
      </c>
      <c r="R160" s="34" t="s">
        <v>51</v>
      </c>
      <c r="S160" s="35" t="n">
        <f>2249.28</f>
        <v>2249.28</v>
      </c>
      <c r="T160" s="32" t="n">
        <f>1255239</f>
        <v>1255239.0</v>
      </c>
      <c r="U160" s="32" t="n">
        <f>93</f>
        <v>93.0</v>
      </c>
      <c r="V160" s="32" t="n">
        <f>2830429072</f>
        <v>2.830429072E9</v>
      </c>
      <c r="W160" s="32" t="n">
        <f>215976</f>
        <v>215976.0</v>
      </c>
      <c r="X160" s="36" t="n">
        <f>18</f>
        <v>18.0</v>
      </c>
    </row>
    <row r="161">
      <c r="A161" s="27" t="s">
        <v>42</v>
      </c>
      <c r="B161" s="27" t="s">
        <v>525</v>
      </c>
      <c r="C161" s="27" t="s">
        <v>526</v>
      </c>
      <c r="D161" s="27" t="s">
        <v>527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2711</f>
        <v>2711.0</v>
      </c>
      <c r="L161" s="34" t="s">
        <v>48</v>
      </c>
      <c r="M161" s="33" t="n">
        <f>2736</f>
        <v>2736.0</v>
      </c>
      <c r="N161" s="34" t="s">
        <v>299</v>
      </c>
      <c r="O161" s="33" t="n">
        <f>2672</f>
        <v>2672.0</v>
      </c>
      <c r="P161" s="34" t="s">
        <v>50</v>
      </c>
      <c r="Q161" s="33" t="n">
        <f>2716</f>
        <v>2716.0</v>
      </c>
      <c r="R161" s="34" t="s">
        <v>51</v>
      </c>
      <c r="S161" s="35" t="n">
        <f>2713.61</f>
        <v>2713.61</v>
      </c>
      <c r="T161" s="32" t="n">
        <f>156722</f>
        <v>156722.0</v>
      </c>
      <c r="U161" s="32" t="n">
        <f>111000</f>
        <v>111000.0</v>
      </c>
      <c r="V161" s="32" t="n">
        <f>427107821</f>
        <v>4.27107821E8</v>
      </c>
      <c r="W161" s="32" t="n">
        <f>302907900</f>
        <v>3.029079E8</v>
      </c>
      <c r="X161" s="36" t="n">
        <f>18</f>
        <v>18.0</v>
      </c>
    </row>
    <row r="162">
      <c r="A162" s="27" t="s">
        <v>42</v>
      </c>
      <c r="B162" s="27" t="s">
        <v>528</v>
      </c>
      <c r="C162" s="27" t="s">
        <v>529</v>
      </c>
      <c r="D162" s="27" t="s">
        <v>530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1989</f>
        <v>1989.0</v>
      </c>
      <c r="L162" s="34" t="s">
        <v>48</v>
      </c>
      <c r="M162" s="33" t="n">
        <f>2113</f>
        <v>2113.0</v>
      </c>
      <c r="N162" s="34" t="s">
        <v>49</v>
      </c>
      <c r="O162" s="33" t="n">
        <f>1923</f>
        <v>1923.0</v>
      </c>
      <c r="P162" s="34" t="s">
        <v>312</v>
      </c>
      <c r="Q162" s="33" t="n">
        <f>2092</f>
        <v>2092.0</v>
      </c>
      <c r="R162" s="34" t="s">
        <v>51</v>
      </c>
      <c r="S162" s="35" t="n">
        <f>2017.44</f>
        <v>2017.44</v>
      </c>
      <c r="T162" s="32" t="n">
        <f>117791</f>
        <v>117791.0</v>
      </c>
      <c r="U162" s="32" t="str">
        <f>"－"</f>
        <v>－</v>
      </c>
      <c r="V162" s="32" t="n">
        <f>240456382</f>
        <v>2.40456382E8</v>
      </c>
      <c r="W162" s="32" t="str">
        <f>"－"</f>
        <v>－</v>
      </c>
      <c r="X162" s="36" t="n">
        <f>18</f>
        <v>18.0</v>
      </c>
    </row>
    <row r="163">
      <c r="A163" s="27" t="s">
        <v>42</v>
      </c>
      <c r="B163" s="27" t="s">
        <v>531</v>
      </c>
      <c r="C163" s="27" t="s">
        <v>532</v>
      </c>
      <c r="D163" s="27" t="s">
        <v>533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1620</f>
        <v>1620.0</v>
      </c>
      <c r="L163" s="34" t="s">
        <v>48</v>
      </c>
      <c r="M163" s="33" t="n">
        <f>1624</f>
        <v>1624.0</v>
      </c>
      <c r="N163" s="34" t="s">
        <v>92</v>
      </c>
      <c r="O163" s="33" t="n">
        <f>1513</f>
        <v>1513.0</v>
      </c>
      <c r="P163" s="34" t="s">
        <v>50</v>
      </c>
      <c r="Q163" s="33" t="n">
        <f>1601</f>
        <v>1601.0</v>
      </c>
      <c r="R163" s="34" t="s">
        <v>51</v>
      </c>
      <c r="S163" s="35" t="n">
        <f>1571.83</f>
        <v>1571.83</v>
      </c>
      <c r="T163" s="32" t="n">
        <f>54645</f>
        <v>54645.0</v>
      </c>
      <c r="U163" s="32" t="n">
        <f>4</f>
        <v>4.0</v>
      </c>
      <c r="V163" s="32" t="n">
        <f>86056334</f>
        <v>8.6056334E7</v>
      </c>
      <c r="W163" s="32" t="n">
        <f>6355</f>
        <v>6355.0</v>
      </c>
      <c r="X163" s="36" t="n">
        <f>18</f>
        <v>18.0</v>
      </c>
    </row>
    <row r="164">
      <c r="A164" s="27" t="s">
        <v>42</v>
      </c>
      <c r="B164" s="27" t="s">
        <v>534</v>
      </c>
      <c r="C164" s="27" t="s">
        <v>535</v>
      </c>
      <c r="D164" s="27" t="s">
        <v>536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1727</f>
        <v>1727.0</v>
      </c>
      <c r="L164" s="34" t="s">
        <v>48</v>
      </c>
      <c r="M164" s="33" t="n">
        <f>1748</f>
        <v>1748.0</v>
      </c>
      <c r="N164" s="34" t="s">
        <v>48</v>
      </c>
      <c r="O164" s="33" t="n">
        <f>1507</f>
        <v>1507.0</v>
      </c>
      <c r="P164" s="34" t="s">
        <v>312</v>
      </c>
      <c r="Q164" s="33" t="n">
        <f>1727</f>
        <v>1727.0</v>
      </c>
      <c r="R164" s="34" t="s">
        <v>51</v>
      </c>
      <c r="S164" s="35" t="n">
        <f>1640.83</f>
        <v>1640.83</v>
      </c>
      <c r="T164" s="32" t="n">
        <f>223016</f>
        <v>223016.0</v>
      </c>
      <c r="U164" s="32" t="str">
        <f>"－"</f>
        <v>－</v>
      </c>
      <c r="V164" s="32" t="n">
        <f>364165961</f>
        <v>3.64165961E8</v>
      </c>
      <c r="W164" s="32" t="str">
        <f>"－"</f>
        <v>－</v>
      </c>
      <c r="X164" s="36" t="n">
        <f>18</f>
        <v>18.0</v>
      </c>
    </row>
    <row r="165">
      <c r="A165" s="27" t="s">
        <v>42</v>
      </c>
      <c r="B165" s="27" t="s">
        <v>537</v>
      </c>
      <c r="C165" s="27" t="s">
        <v>538</v>
      </c>
      <c r="D165" s="27" t="s">
        <v>539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8100</f>
        <v>8100.0</v>
      </c>
      <c r="L165" s="34" t="s">
        <v>48</v>
      </c>
      <c r="M165" s="33" t="n">
        <f>8970</f>
        <v>8970.0</v>
      </c>
      <c r="N165" s="34" t="s">
        <v>51</v>
      </c>
      <c r="O165" s="33" t="n">
        <f>8030</f>
        <v>8030.0</v>
      </c>
      <c r="P165" s="34" t="s">
        <v>48</v>
      </c>
      <c r="Q165" s="33" t="n">
        <f>8950</f>
        <v>8950.0</v>
      </c>
      <c r="R165" s="34" t="s">
        <v>51</v>
      </c>
      <c r="S165" s="35" t="n">
        <f>8528.89</f>
        <v>8528.89</v>
      </c>
      <c r="T165" s="32" t="n">
        <f>17971</f>
        <v>17971.0</v>
      </c>
      <c r="U165" s="32" t="n">
        <f>79</f>
        <v>79.0</v>
      </c>
      <c r="V165" s="32" t="n">
        <f>154665640</f>
        <v>1.5466564E8</v>
      </c>
      <c r="W165" s="32" t="n">
        <f>692000</f>
        <v>692000.0</v>
      </c>
      <c r="X165" s="36" t="n">
        <f>18</f>
        <v>18.0</v>
      </c>
    </row>
    <row r="166">
      <c r="A166" s="27" t="s">
        <v>42</v>
      </c>
      <c r="B166" s="27" t="s">
        <v>540</v>
      </c>
      <c r="C166" s="27" t="s">
        <v>541</v>
      </c>
      <c r="D166" s="27" t="s">
        <v>542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100.0</v>
      </c>
      <c r="K166" s="33" t="n">
        <f>110</f>
        <v>110.0</v>
      </c>
      <c r="L166" s="34" t="s">
        <v>48</v>
      </c>
      <c r="M166" s="33" t="n">
        <f>123</f>
        <v>123.0</v>
      </c>
      <c r="N166" s="34" t="s">
        <v>49</v>
      </c>
      <c r="O166" s="33" t="n">
        <f>106</f>
        <v>106.0</v>
      </c>
      <c r="P166" s="34" t="s">
        <v>50</v>
      </c>
      <c r="Q166" s="33" t="n">
        <f>118</f>
        <v>118.0</v>
      </c>
      <c r="R166" s="34" t="s">
        <v>51</v>
      </c>
      <c r="S166" s="35" t="n">
        <f>110.47</f>
        <v>110.47</v>
      </c>
      <c r="T166" s="32" t="n">
        <f>34600</f>
        <v>34600.0</v>
      </c>
      <c r="U166" s="32" t="str">
        <f>"－"</f>
        <v>－</v>
      </c>
      <c r="V166" s="32" t="n">
        <f>3920600</f>
        <v>3920600.0</v>
      </c>
      <c r="W166" s="32" t="str">
        <f>"－"</f>
        <v>－</v>
      </c>
      <c r="X166" s="36" t="n">
        <f>17</f>
        <v>17.0</v>
      </c>
    </row>
    <row r="167">
      <c r="A167" s="27" t="s">
        <v>42</v>
      </c>
      <c r="B167" s="27" t="s">
        <v>543</v>
      </c>
      <c r="C167" s="27" t="s">
        <v>544</v>
      </c>
      <c r="D167" s="27" t="s">
        <v>545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566</f>
        <v>566.0</v>
      </c>
      <c r="L167" s="34" t="s">
        <v>48</v>
      </c>
      <c r="M167" s="33" t="n">
        <f>761</f>
        <v>761.0</v>
      </c>
      <c r="N167" s="34" t="s">
        <v>299</v>
      </c>
      <c r="O167" s="33" t="n">
        <f>541</f>
        <v>541.0</v>
      </c>
      <c r="P167" s="34" t="s">
        <v>48</v>
      </c>
      <c r="Q167" s="33" t="n">
        <f>730</f>
        <v>730.0</v>
      </c>
      <c r="R167" s="34" t="s">
        <v>51</v>
      </c>
      <c r="S167" s="35" t="n">
        <f>673.22</f>
        <v>673.22</v>
      </c>
      <c r="T167" s="32" t="n">
        <f>191286049</f>
        <v>1.91286049E8</v>
      </c>
      <c r="U167" s="32" t="n">
        <f>92089</f>
        <v>92089.0</v>
      </c>
      <c r="V167" s="32" t="n">
        <f>127836940207</f>
        <v>1.27836940207E11</v>
      </c>
      <c r="W167" s="32" t="n">
        <f>63203779</f>
        <v>6.3203779E7</v>
      </c>
      <c r="X167" s="36" t="n">
        <f>18</f>
        <v>18.0</v>
      </c>
    </row>
    <row r="168">
      <c r="A168" s="27" t="s">
        <v>42</v>
      </c>
      <c r="B168" s="27" t="s">
        <v>546</v>
      </c>
      <c r="C168" s="27" t="s">
        <v>547</v>
      </c>
      <c r="D168" s="27" t="s">
        <v>548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17310</f>
        <v>17310.0</v>
      </c>
      <c r="L168" s="34" t="s">
        <v>48</v>
      </c>
      <c r="M168" s="33" t="n">
        <f>18400</f>
        <v>18400.0</v>
      </c>
      <c r="N168" s="34" t="s">
        <v>68</v>
      </c>
      <c r="O168" s="33" t="n">
        <f>17010</f>
        <v>17010.0</v>
      </c>
      <c r="P168" s="34" t="s">
        <v>50</v>
      </c>
      <c r="Q168" s="33" t="n">
        <f>17800</f>
        <v>17800.0</v>
      </c>
      <c r="R168" s="34" t="s">
        <v>51</v>
      </c>
      <c r="S168" s="35" t="n">
        <f>17741.11</f>
        <v>17741.11</v>
      </c>
      <c r="T168" s="32" t="n">
        <f>2710</f>
        <v>2710.0</v>
      </c>
      <c r="U168" s="32" t="str">
        <f>"－"</f>
        <v>－</v>
      </c>
      <c r="V168" s="32" t="n">
        <f>48046460</f>
        <v>4.804646E7</v>
      </c>
      <c r="W168" s="32" t="str">
        <f>"－"</f>
        <v>－</v>
      </c>
      <c r="X168" s="36" t="n">
        <f>18</f>
        <v>18.0</v>
      </c>
    </row>
    <row r="169">
      <c r="A169" s="27" t="s">
        <v>42</v>
      </c>
      <c r="B169" s="27" t="s">
        <v>549</v>
      </c>
      <c r="C169" s="27" t="s">
        <v>550</v>
      </c>
      <c r="D169" s="27" t="s">
        <v>551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1500</f>
        <v>1500.0</v>
      </c>
      <c r="L169" s="34" t="s">
        <v>48</v>
      </c>
      <c r="M169" s="33" t="n">
        <f>1835</f>
        <v>1835.0</v>
      </c>
      <c r="N169" s="34" t="s">
        <v>68</v>
      </c>
      <c r="O169" s="33" t="n">
        <f>1390</f>
        <v>1390.0</v>
      </c>
      <c r="P169" s="34" t="s">
        <v>50</v>
      </c>
      <c r="Q169" s="33" t="n">
        <f>1740</f>
        <v>1740.0</v>
      </c>
      <c r="R169" s="34" t="s">
        <v>51</v>
      </c>
      <c r="S169" s="35" t="n">
        <f>1626.56</f>
        <v>1626.56</v>
      </c>
      <c r="T169" s="32" t="n">
        <f>3430</f>
        <v>3430.0</v>
      </c>
      <c r="U169" s="32" t="str">
        <f>"－"</f>
        <v>－</v>
      </c>
      <c r="V169" s="32" t="n">
        <f>5659610</f>
        <v>5659610.0</v>
      </c>
      <c r="W169" s="32" t="str">
        <f>"－"</f>
        <v>－</v>
      </c>
      <c r="X169" s="36" t="n">
        <f>16</f>
        <v>16.0</v>
      </c>
    </row>
    <row r="170">
      <c r="A170" s="27" t="s">
        <v>42</v>
      </c>
      <c r="B170" s="27" t="s">
        <v>552</v>
      </c>
      <c r="C170" s="27" t="s">
        <v>553</v>
      </c>
      <c r="D170" s="27" t="s">
        <v>554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7840</f>
        <v>7840.0</v>
      </c>
      <c r="L170" s="34" t="s">
        <v>48</v>
      </c>
      <c r="M170" s="33" t="n">
        <f>11200</f>
        <v>11200.0</v>
      </c>
      <c r="N170" s="34" t="s">
        <v>555</v>
      </c>
      <c r="O170" s="33" t="n">
        <f>7560</f>
        <v>7560.0</v>
      </c>
      <c r="P170" s="34" t="s">
        <v>50</v>
      </c>
      <c r="Q170" s="33" t="n">
        <f>9900</f>
        <v>9900.0</v>
      </c>
      <c r="R170" s="34" t="s">
        <v>51</v>
      </c>
      <c r="S170" s="35" t="n">
        <f>8878.33</f>
        <v>8878.33</v>
      </c>
      <c r="T170" s="32" t="n">
        <f>2677</f>
        <v>2677.0</v>
      </c>
      <c r="U170" s="32" t="str">
        <f>"－"</f>
        <v>－</v>
      </c>
      <c r="V170" s="32" t="n">
        <f>25487750</f>
        <v>2.548775E7</v>
      </c>
      <c r="W170" s="32" t="str">
        <f>"－"</f>
        <v>－</v>
      </c>
      <c r="X170" s="36" t="n">
        <f>18</f>
        <v>18.0</v>
      </c>
    </row>
    <row r="171">
      <c r="A171" s="27" t="s">
        <v>42</v>
      </c>
      <c r="B171" s="27" t="s">
        <v>556</v>
      </c>
      <c r="C171" s="27" t="s">
        <v>557</v>
      </c>
      <c r="D171" s="27" t="s">
        <v>558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23830</f>
        <v>23830.0</v>
      </c>
      <c r="L171" s="34" t="s">
        <v>48</v>
      </c>
      <c r="M171" s="33" t="n">
        <f>25190</f>
        <v>25190.0</v>
      </c>
      <c r="N171" s="34" t="s">
        <v>174</v>
      </c>
      <c r="O171" s="33" t="n">
        <f>22000</f>
        <v>22000.0</v>
      </c>
      <c r="P171" s="34" t="s">
        <v>50</v>
      </c>
      <c r="Q171" s="33" t="n">
        <f>22270</f>
        <v>22270.0</v>
      </c>
      <c r="R171" s="34" t="s">
        <v>51</v>
      </c>
      <c r="S171" s="35" t="n">
        <f>23504</f>
        <v>23504.0</v>
      </c>
      <c r="T171" s="32" t="n">
        <f>213</f>
        <v>213.0</v>
      </c>
      <c r="U171" s="32" t="str">
        <f>"－"</f>
        <v>－</v>
      </c>
      <c r="V171" s="32" t="n">
        <f>4990880</f>
        <v>4990880.0</v>
      </c>
      <c r="W171" s="32" t="str">
        <f>"－"</f>
        <v>－</v>
      </c>
      <c r="X171" s="36" t="n">
        <f>15</f>
        <v>15.0</v>
      </c>
    </row>
    <row r="172">
      <c r="A172" s="27" t="s">
        <v>42</v>
      </c>
      <c r="B172" s="27" t="s">
        <v>559</v>
      </c>
      <c r="C172" s="27" t="s">
        <v>560</v>
      </c>
      <c r="D172" s="27" t="s">
        <v>561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1.0</v>
      </c>
      <c r="K172" s="33" t="n">
        <f>12860</f>
        <v>12860.0</v>
      </c>
      <c r="L172" s="34" t="s">
        <v>68</v>
      </c>
      <c r="M172" s="33" t="n">
        <f>14750</f>
        <v>14750.0</v>
      </c>
      <c r="N172" s="34" t="s">
        <v>92</v>
      </c>
      <c r="O172" s="33" t="n">
        <f>12860</f>
        <v>12860.0</v>
      </c>
      <c r="P172" s="34" t="s">
        <v>68</v>
      </c>
      <c r="Q172" s="33" t="n">
        <f>13900</f>
        <v>13900.0</v>
      </c>
      <c r="R172" s="34" t="s">
        <v>103</v>
      </c>
      <c r="S172" s="35" t="n">
        <f>13840</f>
        <v>13840.0</v>
      </c>
      <c r="T172" s="32" t="n">
        <f>16</f>
        <v>16.0</v>
      </c>
      <c r="U172" s="32" t="str">
        <f>"－"</f>
        <v>－</v>
      </c>
      <c r="V172" s="32" t="n">
        <f>217520</f>
        <v>217520.0</v>
      </c>
      <c r="W172" s="32" t="str">
        <f>"－"</f>
        <v>－</v>
      </c>
      <c r="X172" s="36" t="n">
        <f>5</f>
        <v>5.0</v>
      </c>
    </row>
    <row r="173">
      <c r="A173" s="27" t="s">
        <v>42</v>
      </c>
      <c r="B173" s="27" t="s">
        <v>562</v>
      </c>
      <c r="C173" s="27" t="s">
        <v>563</v>
      </c>
      <c r="D173" s="27" t="s">
        <v>564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49900</f>
        <v>49900.0</v>
      </c>
      <c r="L173" s="34" t="s">
        <v>48</v>
      </c>
      <c r="M173" s="33" t="n">
        <f>50700</f>
        <v>50700.0</v>
      </c>
      <c r="N173" s="34" t="s">
        <v>51</v>
      </c>
      <c r="O173" s="33" t="n">
        <f>49600</f>
        <v>49600.0</v>
      </c>
      <c r="P173" s="34" t="s">
        <v>50</v>
      </c>
      <c r="Q173" s="33" t="n">
        <f>50600</f>
        <v>50600.0</v>
      </c>
      <c r="R173" s="34" t="s">
        <v>51</v>
      </c>
      <c r="S173" s="35" t="n">
        <f>50169.44</f>
        <v>50169.44</v>
      </c>
      <c r="T173" s="32" t="n">
        <f>5000</f>
        <v>5000.0</v>
      </c>
      <c r="U173" s="32" t="n">
        <f>1000</f>
        <v>1000.0</v>
      </c>
      <c r="V173" s="32" t="n">
        <f>250662500</f>
        <v>2.506625E8</v>
      </c>
      <c r="W173" s="32" t="n">
        <f>49985000</f>
        <v>4.9985E7</v>
      </c>
      <c r="X173" s="36" t="n">
        <f>18</f>
        <v>18.0</v>
      </c>
    </row>
    <row r="174">
      <c r="A174" s="27" t="s">
        <v>42</v>
      </c>
      <c r="B174" s="27" t="s">
        <v>565</v>
      </c>
      <c r="C174" s="27" t="s">
        <v>566</v>
      </c>
      <c r="D174" s="27" t="s">
        <v>567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124</f>
        <v>124.0</v>
      </c>
      <c r="L174" s="34" t="s">
        <v>48</v>
      </c>
      <c r="M174" s="33" t="n">
        <f>124</f>
        <v>124.0</v>
      </c>
      <c r="N174" s="34" t="s">
        <v>48</v>
      </c>
      <c r="O174" s="33" t="n">
        <f>113</f>
        <v>113.0</v>
      </c>
      <c r="P174" s="34" t="s">
        <v>68</v>
      </c>
      <c r="Q174" s="33" t="n">
        <f>120</f>
        <v>120.0</v>
      </c>
      <c r="R174" s="34" t="s">
        <v>51</v>
      </c>
      <c r="S174" s="35" t="n">
        <f>118.39</f>
        <v>118.39</v>
      </c>
      <c r="T174" s="32" t="n">
        <f>6118400</f>
        <v>6118400.0</v>
      </c>
      <c r="U174" s="32" t="n">
        <f>14300</f>
        <v>14300.0</v>
      </c>
      <c r="V174" s="32" t="n">
        <f>727473003</f>
        <v>7.27473003E8</v>
      </c>
      <c r="W174" s="32" t="n">
        <f>1696603</f>
        <v>1696603.0</v>
      </c>
      <c r="X174" s="36" t="n">
        <f>18</f>
        <v>18.0</v>
      </c>
    </row>
    <row r="175">
      <c r="A175" s="27" t="s">
        <v>42</v>
      </c>
      <c r="B175" s="27" t="s">
        <v>568</v>
      </c>
      <c r="C175" s="27" t="s">
        <v>569</v>
      </c>
      <c r="D175" s="27" t="s">
        <v>570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23290</f>
        <v>23290.0</v>
      </c>
      <c r="L175" s="34" t="s">
        <v>48</v>
      </c>
      <c r="M175" s="33" t="n">
        <f>24890</f>
        <v>24890.0</v>
      </c>
      <c r="N175" s="34" t="s">
        <v>49</v>
      </c>
      <c r="O175" s="33" t="n">
        <f>22170</f>
        <v>22170.0</v>
      </c>
      <c r="P175" s="34" t="s">
        <v>312</v>
      </c>
      <c r="Q175" s="33" t="n">
        <f>24390</f>
        <v>24390.0</v>
      </c>
      <c r="R175" s="34" t="s">
        <v>51</v>
      </c>
      <c r="S175" s="35" t="n">
        <f>23382.22</f>
        <v>23382.22</v>
      </c>
      <c r="T175" s="32" t="n">
        <f>11330</f>
        <v>11330.0</v>
      </c>
      <c r="U175" s="32" t="str">
        <f>"－"</f>
        <v>－</v>
      </c>
      <c r="V175" s="32" t="n">
        <f>266911100</f>
        <v>2.669111E8</v>
      </c>
      <c r="W175" s="32" t="str">
        <f>"－"</f>
        <v>－</v>
      </c>
      <c r="X175" s="36" t="n">
        <f>18</f>
        <v>18.0</v>
      </c>
    </row>
    <row r="176">
      <c r="A176" s="27" t="s">
        <v>42</v>
      </c>
      <c r="B176" s="27" t="s">
        <v>571</v>
      </c>
      <c r="C176" s="27" t="s">
        <v>572</v>
      </c>
      <c r="D176" s="27" t="s">
        <v>573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2270</f>
        <v>2270.0</v>
      </c>
      <c r="L176" s="34" t="s">
        <v>48</v>
      </c>
      <c r="M176" s="33" t="n">
        <f>2409</f>
        <v>2409.0</v>
      </c>
      <c r="N176" s="34" t="s">
        <v>49</v>
      </c>
      <c r="O176" s="33" t="n">
        <f>2193</f>
        <v>2193.0</v>
      </c>
      <c r="P176" s="34" t="s">
        <v>312</v>
      </c>
      <c r="Q176" s="33" t="n">
        <f>2389</f>
        <v>2389.0</v>
      </c>
      <c r="R176" s="34" t="s">
        <v>51</v>
      </c>
      <c r="S176" s="35" t="n">
        <f>2295.83</f>
        <v>2295.83</v>
      </c>
      <c r="T176" s="32" t="n">
        <f>83260</f>
        <v>83260.0</v>
      </c>
      <c r="U176" s="32" t="str">
        <f>"－"</f>
        <v>－</v>
      </c>
      <c r="V176" s="32" t="n">
        <f>190829830</f>
        <v>1.9082983E8</v>
      </c>
      <c r="W176" s="32" t="str">
        <f>"－"</f>
        <v>－</v>
      </c>
      <c r="X176" s="36" t="n">
        <f>18</f>
        <v>18.0</v>
      </c>
    </row>
    <row r="177">
      <c r="A177" s="27" t="s">
        <v>42</v>
      </c>
      <c r="B177" s="27" t="s">
        <v>574</v>
      </c>
      <c r="C177" s="27" t="s">
        <v>575</v>
      </c>
      <c r="D177" s="27" t="s">
        <v>576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1231</f>
        <v>1231.0</v>
      </c>
      <c r="L177" s="34" t="s">
        <v>48</v>
      </c>
      <c r="M177" s="33" t="n">
        <f>1263</f>
        <v>1263.0</v>
      </c>
      <c r="N177" s="34" t="s">
        <v>49</v>
      </c>
      <c r="O177" s="33" t="n">
        <f>1175</f>
        <v>1175.0</v>
      </c>
      <c r="P177" s="34" t="s">
        <v>50</v>
      </c>
      <c r="Q177" s="33" t="n">
        <f>1246</f>
        <v>1246.0</v>
      </c>
      <c r="R177" s="34" t="s">
        <v>51</v>
      </c>
      <c r="S177" s="35" t="n">
        <f>1225.83</f>
        <v>1225.83</v>
      </c>
      <c r="T177" s="32" t="n">
        <f>148760</f>
        <v>148760.0</v>
      </c>
      <c r="U177" s="32" t="n">
        <f>30</f>
        <v>30.0</v>
      </c>
      <c r="V177" s="32" t="n">
        <f>183257140</f>
        <v>1.8325714E8</v>
      </c>
      <c r="W177" s="32" t="n">
        <f>36180</f>
        <v>36180.0</v>
      </c>
      <c r="X177" s="36" t="n">
        <f>18</f>
        <v>18.0</v>
      </c>
    </row>
    <row r="178">
      <c r="A178" s="27" t="s">
        <v>42</v>
      </c>
      <c r="B178" s="27" t="s">
        <v>577</v>
      </c>
      <c r="C178" s="27" t="s">
        <v>578</v>
      </c>
      <c r="D178" s="27" t="s">
        <v>579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100.0</v>
      </c>
      <c r="K178" s="33" t="n">
        <f>137</f>
        <v>137.0</v>
      </c>
      <c r="L178" s="34" t="s">
        <v>48</v>
      </c>
      <c r="M178" s="33" t="n">
        <f>161</f>
        <v>161.0</v>
      </c>
      <c r="N178" s="34" t="s">
        <v>92</v>
      </c>
      <c r="O178" s="33" t="n">
        <f>135</f>
        <v>135.0</v>
      </c>
      <c r="P178" s="34" t="s">
        <v>48</v>
      </c>
      <c r="Q178" s="33" t="n">
        <f>154</f>
        <v>154.0</v>
      </c>
      <c r="R178" s="34" t="s">
        <v>51</v>
      </c>
      <c r="S178" s="35" t="n">
        <f>148.61</f>
        <v>148.61</v>
      </c>
      <c r="T178" s="32" t="n">
        <f>855100</f>
        <v>855100.0</v>
      </c>
      <c r="U178" s="32" t="str">
        <f>"－"</f>
        <v>－</v>
      </c>
      <c r="V178" s="32" t="n">
        <f>129267000</f>
        <v>1.29267E8</v>
      </c>
      <c r="W178" s="32" t="str">
        <f>"－"</f>
        <v>－</v>
      </c>
      <c r="X178" s="36" t="n">
        <f>18</f>
        <v>18.0</v>
      </c>
    </row>
    <row r="179">
      <c r="A179" s="27" t="s">
        <v>42</v>
      </c>
      <c r="B179" s="27" t="s">
        <v>580</v>
      </c>
      <c r="C179" s="27" t="s">
        <v>581</v>
      </c>
      <c r="D179" s="27" t="s">
        <v>582</v>
      </c>
      <c r="E179" s="28" t="s">
        <v>46</v>
      </c>
      <c r="F179" s="29" t="s">
        <v>46</v>
      </c>
      <c r="G179" s="30" t="s">
        <v>46</v>
      </c>
      <c r="H179" s="31" t="s">
        <v>583</v>
      </c>
      <c r="I179" s="31" t="s">
        <v>47</v>
      </c>
      <c r="J179" s="32" t="n">
        <v>10.0</v>
      </c>
      <c r="K179" s="33" t="n">
        <f>5000</f>
        <v>5000.0</v>
      </c>
      <c r="L179" s="34" t="s">
        <v>48</v>
      </c>
      <c r="M179" s="33" t="n">
        <f>5700</f>
        <v>5700.0</v>
      </c>
      <c r="N179" s="34" t="s">
        <v>68</v>
      </c>
      <c r="O179" s="33" t="n">
        <f>5000</f>
        <v>5000.0</v>
      </c>
      <c r="P179" s="34" t="s">
        <v>48</v>
      </c>
      <c r="Q179" s="33" t="n">
        <f>5050</f>
        <v>5050.0</v>
      </c>
      <c r="R179" s="34" t="s">
        <v>49</v>
      </c>
      <c r="S179" s="35" t="n">
        <f>5234.62</f>
        <v>5234.62</v>
      </c>
      <c r="T179" s="32" t="n">
        <f>2630</f>
        <v>2630.0</v>
      </c>
      <c r="U179" s="32" t="str">
        <f>"－"</f>
        <v>－</v>
      </c>
      <c r="V179" s="32" t="n">
        <f>14054400</f>
        <v>1.40544E7</v>
      </c>
      <c r="W179" s="32" t="str">
        <f>"－"</f>
        <v>－</v>
      </c>
      <c r="X179" s="36" t="n">
        <f>13</f>
        <v>13.0</v>
      </c>
    </row>
    <row r="180">
      <c r="A180" s="27" t="s">
        <v>42</v>
      </c>
      <c r="B180" s="27" t="s">
        <v>584</v>
      </c>
      <c r="C180" s="27" t="s">
        <v>585</v>
      </c>
      <c r="D180" s="27" t="s">
        <v>586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str">
        <f>"－"</f>
        <v>－</v>
      </c>
      <c r="L180" s="34"/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5" t="str">
        <f>"－"</f>
        <v>－</v>
      </c>
      <c r="T180" s="32" t="str">
        <f>"－"</f>
        <v>－</v>
      </c>
      <c r="U180" s="32" t="str">
        <f>"－"</f>
        <v>－</v>
      </c>
      <c r="V180" s="32" t="str">
        <f>"－"</f>
        <v>－</v>
      </c>
      <c r="W180" s="32" t="str">
        <f>"－"</f>
        <v>－</v>
      </c>
      <c r="X180" s="36" t="str">
        <f>"－"</f>
        <v>－</v>
      </c>
    </row>
    <row r="181">
      <c r="A181" s="27" t="s">
        <v>42</v>
      </c>
      <c r="B181" s="27" t="s">
        <v>587</v>
      </c>
      <c r="C181" s="27" t="s">
        <v>588</v>
      </c>
      <c r="D181" s="27" t="s">
        <v>589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224</f>
        <v>224.0</v>
      </c>
      <c r="L181" s="34" t="s">
        <v>48</v>
      </c>
      <c r="M181" s="33" t="n">
        <f>328</f>
        <v>328.0</v>
      </c>
      <c r="N181" s="34" t="s">
        <v>85</v>
      </c>
      <c r="O181" s="33" t="n">
        <f>206</f>
        <v>206.0</v>
      </c>
      <c r="P181" s="34" t="s">
        <v>68</v>
      </c>
      <c r="Q181" s="33" t="n">
        <f>282</f>
        <v>282.0</v>
      </c>
      <c r="R181" s="34" t="s">
        <v>51</v>
      </c>
      <c r="S181" s="35" t="n">
        <f>262.44</f>
        <v>262.44</v>
      </c>
      <c r="T181" s="32" t="n">
        <f>17690</f>
        <v>17690.0</v>
      </c>
      <c r="U181" s="32" t="str">
        <f>"－"</f>
        <v>－</v>
      </c>
      <c r="V181" s="32" t="n">
        <f>4809890</f>
        <v>4809890.0</v>
      </c>
      <c r="W181" s="32" t="str">
        <f>"－"</f>
        <v>－</v>
      </c>
      <c r="X181" s="36" t="n">
        <f>18</f>
        <v>18.0</v>
      </c>
    </row>
    <row r="182">
      <c r="A182" s="27" t="s">
        <v>42</v>
      </c>
      <c r="B182" s="27" t="s">
        <v>590</v>
      </c>
      <c r="C182" s="27" t="s">
        <v>591</v>
      </c>
      <c r="D182" s="27" t="s">
        <v>592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953</f>
        <v>953.0</v>
      </c>
      <c r="L182" s="34" t="s">
        <v>50</v>
      </c>
      <c r="M182" s="33" t="n">
        <f>1002</f>
        <v>1002.0</v>
      </c>
      <c r="N182" s="34" t="s">
        <v>299</v>
      </c>
      <c r="O182" s="33" t="n">
        <f>953</f>
        <v>953.0</v>
      </c>
      <c r="P182" s="34" t="s">
        <v>50</v>
      </c>
      <c r="Q182" s="33" t="n">
        <f>1002</f>
        <v>1002.0</v>
      </c>
      <c r="R182" s="34" t="s">
        <v>299</v>
      </c>
      <c r="S182" s="35" t="n">
        <f>992.75</f>
        <v>992.75</v>
      </c>
      <c r="T182" s="32" t="n">
        <f>120</f>
        <v>120.0</v>
      </c>
      <c r="U182" s="32" t="str">
        <f>"－"</f>
        <v>－</v>
      </c>
      <c r="V182" s="32" t="n">
        <f>119330</f>
        <v>119330.0</v>
      </c>
      <c r="W182" s="32" t="str">
        <f>"－"</f>
        <v>－</v>
      </c>
      <c r="X182" s="36" t="n">
        <f>4</f>
        <v>4.0</v>
      </c>
    </row>
    <row r="183">
      <c r="A183" s="27" t="s">
        <v>42</v>
      </c>
      <c r="B183" s="27" t="s">
        <v>593</v>
      </c>
      <c r="C183" s="27" t="s">
        <v>594</v>
      </c>
      <c r="D183" s="27" t="s">
        <v>595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420</f>
        <v>420.0</v>
      </c>
      <c r="L183" s="34" t="s">
        <v>48</v>
      </c>
      <c r="M183" s="33" t="n">
        <f>469</f>
        <v>469.0</v>
      </c>
      <c r="N183" s="34" t="s">
        <v>51</v>
      </c>
      <c r="O183" s="33" t="n">
        <f>401</f>
        <v>401.0</v>
      </c>
      <c r="P183" s="34" t="s">
        <v>116</v>
      </c>
      <c r="Q183" s="33" t="n">
        <f>469</f>
        <v>469.0</v>
      </c>
      <c r="R183" s="34" t="s">
        <v>51</v>
      </c>
      <c r="S183" s="35" t="n">
        <f>428.28</f>
        <v>428.28</v>
      </c>
      <c r="T183" s="32" t="n">
        <f>5860</f>
        <v>5860.0</v>
      </c>
      <c r="U183" s="32" t="str">
        <f>"－"</f>
        <v>－</v>
      </c>
      <c r="V183" s="32" t="n">
        <f>2517860</f>
        <v>2517860.0</v>
      </c>
      <c r="W183" s="32" t="str">
        <f>"－"</f>
        <v>－</v>
      </c>
      <c r="X183" s="36" t="n">
        <f>18</f>
        <v>18.0</v>
      </c>
    </row>
    <row r="184">
      <c r="A184" s="27" t="s">
        <v>42</v>
      </c>
      <c r="B184" s="27" t="s">
        <v>596</v>
      </c>
      <c r="C184" s="27" t="s">
        <v>597</v>
      </c>
      <c r="D184" s="27" t="s">
        <v>598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296</f>
        <v>296.0</v>
      </c>
      <c r="L184" s="34" t="s">
        <v>48</v>
      </c>
      <c r="M184" s="33" t="n">
        <f>296</f>
        <v>296.0</v>
      </c>
      <c r="N184" s="34" t="s">
        <v>48</v>
      </c>
      <c r="O184" s="33" t="n">
        <f>267</f>
        <v>267.0</v>
      </c>
      <c r="P184" s="34" t="s">
        <v>68</v>
      </c>
      <c r="Q184" s="33" t="n">
        <f>279</f>
        <v>279.0</v>
      </c>
      <c r="R184" s="34" t="s">
        <v>51</v>
      </c>
      <c r="S184" s="35" t="n">
        <f>278.5</f>
        <v>278.5</v>
      </c>
      <c r="T184" s="32" t="n">
        <f>516900</f>
        <v>516900.0</v>
      </c>
      <c r="U184" s="32" t="str">
        <f>"－"</f>
        <v>－</v>
      </c>
      <c r="V184" s="32" t="n">
        <f>143725440</f>
        <v>1.4372544E8</v>
      </c>
      <c r="W184" s="32" t="str">
        <f>"－"</f>
        <v>－</v>
      </c>
      <c r="X184" s="36" t="n">
        <f>18</f>
        <v>18.0</v>
      </c>
    </row>
    <row r="185">
      <c r="A185" s="27" t="s">
        <v>42</v>
      </c>
      <c r="B185" s="27" t="s">
        <v>599</v>
      </c>
      <c r="C185" s="27" t="s">
        <v>600</v>
      </c>
      <c r="D185" s="27" t="s">
        <v>601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100.0</v>
      </c>
      <c r="K185" s="33" t="n">
        <f>2</f>
        <v>2.0</v>
      </c>
      <c r="L185" s="34" t="s">
        <v>48</v>
      </c>
      <c r="M185" s="33" t="n">
        <f>2</f>
        <v>2.0</v>
      </c>
      <c r="N185" s="34" t="s">
        <v>48</v>
      </c>
      <c r="O185" s="33" t="n">
        <f>1</f>
        <v>1.0</v>
      </c>
      <c r="P185" s="34" t="s">
        <v>48</v>
      </c>
      <c r="Q185" s="33" t="n">
        <f>2</f>
        <v>2.0</v>
      </c>
      <c r="R185" s="34" t="s">
        <v>51</v>
      </c>
      <c r="S185" s="35" t="n">
        <f>1.94</f>
        <v>1.94</v>
      </c>
      <c r="T185" s="32" t="n">
        <f>194824500</f>
        <v>1.948245E8</v>
      </c>
      <c r="U185" s="32" t="str">
        <f>"－"</f>
        <v>－</v>
      </c>
      <c r="V185" s="32" t="n">
        <f>370419100</f>
        <v>3.704191E8</v>
      </c>
      <c r="W185" s="32" t="str">
        <f>"－"</f>
        <v>－</v>
      </c>
      <c r="X185" s="36" t="n">
        <f>18</f>
        <v>18.0</v>
      </c>
    </row>
    <row r="186">
      <c r="A186" s="27" t="s">
        <v>42</v>
      </c>
      <c r="B186" s="27" t="s">
        <v>602</v>
      </c>
      <c r="C186" s="27" t="s">
        <v>603</v>
      </c>
      <c r="D186" s="27" t="s">
        <v>604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10.0</v>
      </c>
      <c r="K186" s="33" t="n">
        <f>261</f>
        <v>261.0</v>
      </c>
      <c r="L186" s="34" t="s">
        <v>48</v>
      </c>
      <c r="M186" s="33" t="n">
        <f>359</f>
        <v>359.0</v>
      </c>
      <c r="N186" s="34" t="s">
        <v>92</v>
      </c>
      <c r="O186" s="33" t="n">
        <f>249</f>
        <v>249.0</v>
      </c>
      <c r="P186" s="34" t="s">
        <v>48</v>
      </c>
      <c r="Q186" s="33" t="n">
        <f>341</f>
        <v>341.0</v>
      </c>
      <c r="R186" s="34" t="s">
        <v>51</v>
      </c>
      <c r="S186" s="35" t="n">
        <f>315.06</f>
        <v>315.06</v>
      </c>
      <c r="T186" s="32" t="n">
        <f>9632560</f>
        <v>9632560.0</v>
      </c>
      <c r="U186" s="32" t="str">
        <f>"－"</f>
        <v>－</v>
      </c>
      <c r="V186" s="32" t="n">
        <f>2993768820</f>
        <v>2.99376882E9</v>
      </c>
      <c r="W186" s="32" t="str">
        <f>"－"</f>
        <v>－</v>
      </c>
      <c r="X186" s="36" t="n">
        <f>18</f>
        <v>18.0</v>
      </c>
    </row>
    <row r="187">
      <c r="A187" s="27" t="s">
        <v>42</v>
      </c>
      <c r="B187" s="27" t="s">
        <v>605</v>
      </c>
      <c r="C187" s="27" t="s">
        <v>606</v>
      </c>
      <c r="D187" s="27" t="s">
        <v>607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1.0</v>
      </c>
      <c r="K187" s="33" t="n">
        <f>1371</f>
        <v>1371.0</v>
      </c>
      <c r="L187" s="34" t="s">
        <v>48</v>
      </c>
      <c r="M187" s="33" t="n">
        <f>1758</f>
        <v>1758.0</v>
      </c>
      <c r="N187" s="34" t="s">
        <v>464</v>
      </c>
      <c r="O187" s="33" t="n">
        <f>1370</f>
        <v>1370.0</v>
      </c>
      <c r="P187" s="34" t="s">
        <v>48</v>
      </c>
      <c r="Q187" s="33" t="n">
        <f>1693</f>
        <v>1693.0</v>
      </c>
      <c r="R187" s="34" t="s">
        <v>51</v>
      </c>
      <c r="S187" s="35" t="n">
        <f>1609.71</f>
        <v>1609.71</v>
      </c>
      <c r="T187" s="32" t="n">
        <f>2633</f>
        <v>2633.0</v>
      </c>
      <c r="U187" s="32" t="str">
        <f>"－"</f>
        <v>－</v>
      </c>
      <c r="V187" s="32" t="n">
        <f>4142169</f>
        <v>4142169.0</v>
      </c>
      <c r="W187" s="32" t="str">
        <f>"－"</f>
        <v>－</v>
      </c>
      <c r="X187" s="36" t="n">
        <f>17</f>
        <v>17.0</v>
      </c>
    </row>
    <row r="188">
      <c r="A188" s="27" t="s">
        <v>42</v>
      </c>
      <c r="B188" s="27" t="s">
        <v>608</v>
      </c>
      <c r="C188" s="27" t="s">
        <v>609</v>
      </c>
      <c r="D188" s="27" t="s">
        <v>610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100.0</v>
      </c>
      <c r="K188" s="33" t="n">
        <f>264</f>
        <v>264.0</v>
      </c>
      <c r="L188" s="34" t="s">
        <v>96</v>
      </c>
      <c r="M188" s="33" t="n">
        <f>280</f>
        <v>280.0</v>
      </c>
      <c r="N188" s="34" t="s">
        <v>103</v>
      </c>
      <c r="O188" s="33" t="n">
        <f>239</f>
        <v>239.0</v>
      </c>
      <c r="P188" s="34" t="s">
        <v>464</v>
      </c>
      <c r="Q188" s="33" t="n">
        <f>263</f>
        <v>263.0</v>
      </c>
      <c r="R188" s="34" t="s">
        <v>464</v>
      </c>
      <c r="S188" s="35" t="n">
        <f>268.6</f>
        <v>268.6</v>
      </c>
      <c r="T188" s="32" t="n">
        <f>1600</f>
        <v>1600.0</v>
      </c>
      <c r="U188" s="32" t="str">
        <f>"－"</f>
        <v>－</v>
      </c>
      <c r="V188" s="32" t="n">
        <f>428700</f>
        <v>428700.0</v>
      </c>
      <c r="W188" s="32" t="str">
        <f>"－"</f>
        <v>－</v>
      </c>
      <c r="X188" s="36" t="n">
        <f>5</f>
        <v>5.0</v>
      </c>
    </row>
    <row r="189">
      <c r="A189" s="27" t="s">
        <v>42</v>
      </c>
      <c r="B189" s="27" t="s">
        <v>611</v>
      </c>
      <c r="C189" s="27" t="s">
        <v>612</v>
      </c>
      <c r="D189" s="27" t="s">
        <v>613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2600</f>
        <v>2600.0</v>
      </c>
      <c r="L189" s="34" t="s">
        <v>50</v>
      </c>
      <c r="M189" s="33" t="n">
        <f>2753</f>
        <v>2753.0</v>
      </c>
      <c r="N189" s="34" t="s">
        <v>50</v>
      </c>
      <c r="O189" s="33" t="n">
        <f>2535</f>
        <v>2535.0</v>
      </c>
      <c r="P189" s="34" t="s">
        <v>174</v>
      </c>
      <c r="Q189" s="33" t="n">
        <f>2606</f>
        <v>2606.0</v>
      </c>
      <c r="R189" s="34" t="s">
        <v>464</v>
      </c>
      <c r="S189" s="35" t="n">
        <f>2613</f>
        <v>2613.0</v>
      </c>
      <c r="T189" s="32" t="n">
        <f>610</f>
        <v>610.0</v>
      </c>
      <c r="U189" s="32" t="str">
        <f>"－"</f>
        <v>－</v>
      </c>
      <c r="V189" s="32" t="n">
        <f>1602120</f>
        <v>1602120.0</v>
      </c>
      <c r="W189" s="32" t="str">
        <f>"－"</f>
        <v>－</v>
      </c>
      <c r="X189" s="36" t="n">
        <f>8</f>
        <v>8.0</v>
      </c>
    </row>
    <row r="190">
      <c r="A190" s="27" t="s">
        <v>42</v>
      </c>
      <c r="B190" s="27" t="s">
        <v>614</v>
      </c>
      <c r="C190" s="27" t="s">
        <v>615</v>
      </c>
      <c r="D190" s="27" t="s">
        <v>616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1550</f>
        <v>1550.0</v>
      </c>
      <c r="L190" s="34" t="s">
        <v>48</v>
      </c>
      <c r="M190" s="33" t="n">
        <f>1550</f>
        <v>1550.0</v>
      </c>
      <c r="N190" s="34" t="s">
        <v>48</v>
      </c>
      <c r="O190" s="33" t="n">
        <f>1152</f>
        <v>1152.0</v>
      </c>
      <c r="P190" s="34" t="s">
        <v>61</v>
      </c>
      <c r="Q190" s="33" t="n">
        <f>1248</f>
        <v>1248.0</v>
      </c>
      <c r="R190" s="34" t="s">
        <v>464</v>
      </c>
      <c r="S190" s="35" t="n">
        <f>1315.33</f>
        <v>1315.33</v>
      </c>
      <c r="T190" s="32" t="n">
        <f>1100</f>
        <v>1100.0</v>
      </c>
      <c r="U190" s="32" t="str">
        <f>"－"</f>
        <v>－</v>
      </c>
      <c r="V190" s="32" t="n">
        <f>1420940</f>
        <v>1420940.0</v>
      </c>
      <c r="W190" s="32" t="str">
        <f>"－"</f>
        <v>－</v>
      </c>
      <c r="X190" s="36" t="n">
        <f>9</f>
        <v>9.0</v>
      </c>
    </row>
    <row r="191">
      <c r="A191" s="27" t="s">
        <v>42</v>
      </c>
      <c r="B191" s="27" t="s">
        <v>617</v>
      </c>
      <c r="C191" s="27" t="s">
        <v>618</v>
      </c>
      <c r="D191" s="27" t="s">
        <v>619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67</f>
        <v>67.0</v>
      </c>
      <c r="L191" s="34" t="s">
        <v>48</v>
      </c>
      <c r="M191" s="33" t="n">
        <f>67</f>
        <v>67.0</v>
      </c>
      <c r="N191" s="34" t="s">
        <v>48</v>
      </c>
      <c r="O191" s="33" t="n">
        <f>62</f>
        <v>62.0</v>
      </c>
      <c r="P191" s="34" t="s">
        <v>312</v>
      </c>
      <c r="Q191" s="33" t="n">
        <f>65</f>
        <v>65.0</v>
      </c>
      <c r="R191" s="34" t="s">
        <v>51</v>
      </c>
      <c r="S191" s="35" t="n">
        <f>64.94</f>
        <v>64.94</v>
      </c>
      <c r="T191" s="32" t="n">
        <f>6813200</f>
        <v>6813200.0</v>
      </c>
      <c r="U191" s="32" t="str">
        <f>"－"</f>
        <v>－</v>
      </c>
      <c r="V191" s="32" t="n">
        <f>444246500</f>
        <v>4.442465E8</v>
      </c>
      <c r="W191" s="32" t="str">
        <f>"－"</f>
        <v>－</v>
      </c>
      <c r="X191" s="36" t="n">
        <f>18</f>
        <v>18.0</v>
      </c>
    </row>
    <row r="192">
      <c r="A192" s="27" t="s">
        <v>42</v>
      </c>
      <c r="B192" s="27" t="s">
        <v>620</v>
      </c>
      <c r="C192" s="27" t="s">
        <v>621</v>
      </c>
      <c r="D192" s="27" t="s">
        <v>622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100.0</v>
      </c>
      <c r="K192" s="33" t="n">
        <f>64</f>
        <v>64.0</v>
      </c>
      <c r="L192" s="34" t="s">
        <v>48</v>
      </c>
      <c r="M192" s="33" t="n">
        <f>67</f>
        <v>67.0</v>
      </c>
      <c r="N192" s="34" t="s">
        <v>85</v>
      </c>
      <c r="O192" s="33" t="n">
        <f>63</f>
        <v>63.0</v>
      </c>
      <c r="P192" s="34" t="s">
        <v>50</v>
      </c>
      <c r="Q192" s="33" t="n">
        <f>67</f>
        <v>67.0</v>
      </c>
      <c r="R192" s="34" t="s">
        <v>51</v>
      </c>
      <c r="S192" s="35" t="n">
        <f>65.39</f>
        <v>65.39</v>
      </c>
      <c r="T192" s="32" t="n">
        <f>1697000</f>
        <v>1697000.0</v>
      </c>
      <c r="U192" s="32" t="str">
        <f>"－"</f>
        <v>－</v>
      </c>
      <c r="V192" s="32" t="n">
        <f>110415800</f>
        <v>1.104158E8</v>
      </c>
      <c r="W192" s="32" t="str">
        <f>"－"</f>
        <v>－</v>
      </c>
      <c r="X192" s="36" t="n">
        <f>18</f>
        <v>18.0</v>
      </c>
    </row>
    <row r="193">
      <c r="A193" s="27" t="s">
        <v>42</v>
      </c>
      <c r="B193" s="27" t="s">
        <v>623</v>
      </c>
      <c r="C193" s="27" t="s">
        <v>624</v>
      </c>
      <c r="D193" s="27" t="s">
        <v>625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1950</f>
        <v>1950.0</v>
      </c>
      <c r="L193" s="34" t="s">
        <v>48</v>
      </c>
      <c r="M193" s="33" t="n">
        <f>1978</f>
        <v>1978.0</v>
      </c>
      <c r="N193" s="34" t="s">
        <v>50</v>
      </c>
      <c r="O193" s="33" t="n">
        <f>1820</f>
        <v>1820.0</v>
      </c>
      <c r="P193" s="34" t="s">
        <v>312</v>
      </c>
      <c r="Q193" s="33" t="n">
        <f>1895</f>
        <v>1895.0</v>
      </c>
      <c r="R193" s="34" t="s">
        <v>51</v>
      </c>
      <c r="S193" s="35" t="n">
        <f>1905.44</f>
        <v>1905.44</v>
      </c>
      <c r="T193" s="32" t="n">
        <f>6260</f>
        <v>6260.0</v>
      </c>
      <c r="U193" s="32" t="str">
        <f>"－"</f>
        <v>－</v>
      </c>
      <c r="V193" s="32" t="n">
        <f>11952240</f>
        <v>1.195224E7</v>
      </c>
      <c r="W193" s="32" t="str">
        <f>"－"</f>
        <v>－</v>
      </c>
      <c r="X193" s="36" t="n">
        <f>18</f>
        <v>18.0</v>
      </c>
    </row>
    <row r="194">
      <c r="A194" s="27" t="s">
        <v>42</v>
      </c>
      <c r="B194" s="27" t="s">
        <v>626</v>
      </c>
      <c r="C194" s="27" t="s">
        <v>627</v>
      </c>
      <c r="D194" s="27" t="s">
        <v>628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1395</f>
        <v>1395.0</v>
      </c>
      <c r="L194" s="34" t="s">
        <v>48</v>
      </c>
      <c r="M194" s="33" t="n">
        <f>1503</f>
        <v>1503.0</v>
      </c>
      <c r="N194" s="34" t="s">
        <v>49</v>
      </c>
      <c r="O194" s="33" t="n">
        <f>1347</f>
        <v>1347.0</v>
      </c>
      <c r="P194" s="34" t="s">
        <v>50</v>
      </c>
      <c r="Q194" s="33" t="n">
        <f>1485</f>
        <v>1485.0</v>
      </c>
      <c r="R194" s="34" t="s">
        <v>51</v>
      </c>
      <c r="S194" s="35" t="n">
        <f>1410.61</f>
        <v>1410.61</v>
      </c>
      <c r="T194" s="32" t="n">
        <f>79200</f>
        <v>79200.0</v>
      </c>
      <c r="U194" s="32" t="str">
        <f>"－"</f>
        <v>－</v>
      </c>
      <c r="V194" s="32" t="n">
        <f>112552380</f>
        <v>1.1255238E8</v>
      </c>
      <c r="W194" s="32" t="str">
        <f>"－"</f>
        <v>－</v>
      </c>
      <c r="X194" s="36" t="n">
        <f>18</f>
        <v>18.0</v>
      </c>
    </row>
    <row r="195">
      <c r="A195" s="27" t="s">
        <v>42</v>
      </c>
      <c r="B195" s="27" t="s">
        <v>629</v>
      </c>
      <c r="C195" s="27" t="s">
        <v>630</v>
      </c>
      <c r="D195" s="27" t="s">
        <v>631</v>
      </c>
      <c r="E195" s="28" t="s">
        <v>46</v>
      </c>
      <c r="F195" s="29" t="s">
        <v>46</v>
      </c>
      <c r="G195" s="30" t="s">
        <v>46</v>
      </c>
      <c r="H195" s="31"/>
      <c r="I195" s="31" t="s">
        <v>47</v>
      </c>
      <c r="J195" s="32" t="n">
        <v>10.0</v>
      </c>
      <c r="K195" s="33" t="n">
        <f>72</f>
        <v>72.0</v>
      </c>
      <c r="L195" s="34" t="s">
        <v>48</v>
      </c>
      <c r="M195" s="33" t="n">
        <f>95</f>
        <v>95.0</v>
      </c>
      <c r="N195" s="34" t="s">
        <v>299</v>
      </c>
      <c r="O195" s="33" t="n">
        <f>69</f>
        <v>69.0</v>
      </c>
      <c r="P195" s="34" t="s">
        <v>48</v>
      </c>
      <c r="Q195" s="33" t="n">
        <f>90</f>
        <v>90.0</v>
      </c>
      <c r="R195" s="34" t="s">
        <v>51</v>
      </c>
      <c r="S195" s="35" t="n">
        <f>83.39</f>
        <v>83.39</v>
      </c>
      <c r="T195" s="32" t="n">
        <f>1096675930</f>
        <v>1.09667593E9</v>
      </c>
      <c r="U195" s="32" t="n">
        <f>4679610</f>
        <v>4679610.0</v>
      </c>
      <c r="V195" s="32" t="n">
        <f>91595599364</f>
        <v>9.1595599364E10</v>
      </c>
      <c r="W195" s="32" t="n">
        <f>389134094</f>
        <v>3.89134094E8</v>
      </c>
      <c r="X195" s="36" t="n">
        <f>18</f>
        <v>18.0</v>
      </c>
    </row>
    <row r="196">
      <c r="A196" s="27" t="s">
        <v>42</v>
      </c>
      <c r="B196" s="27" t="s">
        <v>632</v>
      </c>
      <c r="C196" s="27" t="s">
        <v>633</v>
      </c>
      <c r="D196" s="27" t="s">
        <v>634</v>
      </c>
      <c r="E196" s="28" t="s">
        <v>46</v>
      </c>
      <c r="F196" s="29" t="s">
        <v>46</v>
      </c>
      <c r="G196" s="30" t="s">
        <v>46</v>
      </c>
      <c r="H196" s="31"/>
      <c r="I196" s="31" t="s">
        <v>635</v>
      </c>
      <c r="J196" s="32" t="n">
        <v>1.0</v>
      </c>
      <c r="K196" s="33" t="n">
        <f>8920</f>
        <v>8920.0</v>
      </c>
      <c r="L196" s="34" t="s">
        <v>48</v>
      </c>
      <c r="M196" s="33" t="n">
        <f>9180</f>
        <v>9180.0</v>
      </c>
      <c r="N196" s="34" t="s">
        <v>61</v>
      </c>
      <c r="O196" s="33" t="n">
        <f>7610</f>
        <v>7610.0</v>
      </c>
      <c r="P196" s="34" t="s">
        <v>103</v>
      </c>
      <c r="Q196" s="33" t="n">
        <f>7820</f>
        <v>7820.0</v>
      </c>
      <c r="R196" s="34" t="s">
        <v>51</v>
      </c>
      <c r="S196" s="35" t="n">
        <f>8477.22</f>
        <v>8477.22</v>
      </c>
      <c r="T196" s="32" t="n">
        <f>20240</f>
        <v>20240.0</v>
      </c>
      <c r="U196" s="32" t="str">
        <f>"－"</f>
        <v>－</v>
      </c>
      <c r="V196" s="32" t="n">
        <f>163160390</f>
        <v>1.6316039E8</v>
      </c>
      <c r="W196" s="32" t="str">
        <f>"－"</f>
        <v>－</v>
      </c>
      <c r="X196" s="36" t="n">
        <f>18</f>
        <v>18.0</v>
      </c>
    </row>
    <row r="197">
      <c r="A197" s="27" t="s">
        <v>42</v>
      </c>
      <c r="B197" s="27" t="s">
        <v>636</v>
      </c>
      <c r="C197" s="27" t="s">
        <v>637</v>
      </c>
      <c r="D197" s="27" t="s">
        <v>638</v>
      </c>
      <c r="E197" s="28" t="s">
        <v>46</v>
      </c>
      <c r="F197" s="29" t="s">
        <v>46</v>
      </c>
      <c r="G197" s="30" t="s">
        <v>46</v>
      </c>
      <c r="H197" s="31"/>
      <c r="I197" s="31" t="s">
        <v>635</v>
      </c>
      <c r="J197" s="32" t="n">
        <v>1.0</v>
      </c>
      <c r="K197" s="33" t="n">
        <f>6590</f>
        <v>6590.0</v>
      </c>
      <c r="L197" s="34" t="s">
        <v>48</v>
      </c>
      <c r="M197" s="33" t="n">
        <f>7200</f>
        <v>7200.0</v>
      </c>
      <c r="N197" s="34" t="s">
        <v>103</v>
      </c>
      <c r="O197" s="33" t="n">
        <f>6500</f>
        <v>6500.0</v>
      </c>
      <c r="P197" s="34" t="s">
        <v>174</v>
      </c>
      <c r="Q197" s="33" t="n">
        <f>7000</f>
        <v>7000.0</v>
      </c>
      <c r="R197" s="34" t="s">
        <v>51</v>
      </c>
      <c r="S197" s="35" t="n">
        <f>6763.33</f>
        <v>6763.33</v>
      </c>
      <c r="T197" s="32" t="n">
        <f>17715</f>
        <v>17715.0</v>
      </c>
      <c r="U197" s="32" t="str">
        <f>"－"</f>
        <v>－</v>
      </c>
      <c r="V197" s="32" t="n">
        <f>121535030</f>
        <v>1.2153503E8</v>
      </c>
      <c r="W197" s="32" t="str">
        <f>"－"</f>
        <v>－</v>
      </c>
      <c r="X197" s="36" t="n">
        <f>18</f>
        <v>18.0</v>
      </c>
    </row>
    <row r="198">
      <c r="A198" s="27" t="s">
        <v>42</v>
      </c>
      <c r="B198" s="27" t="s">
        <v>639</v>
      </c>
      <c r="C198" s="27" t="s">
        <v>640</v>
      </c>
      <c r="D198" s="27" t="s">
        <v>641</v>
      </c>
      <c r="E198" s="28" t="s">
        <v>46</v>
      </c>
      <c r="F198" s="29" t="s">
        <v>46</v>
      </c>
      <c r="G198" s="30" t="s">
        <v>46</v>
      </c>
      <c r="H198" s="31"/>
      <c r="I198" s="31" t="s">
        <v>635</v>
      </c>
      <c r="J198" s="32" t="n">
        <v>1.0</v>
      </c>
      <c r="K198" s="33" t="n">
        <f>7000</f>
        <v>7000.0</v>
      </c>
      <c r="L198" s="34" t="s">
        <v>48</v>
      </c>
      <c r="M198" s="33" t="n">
        <f>7520</f>
        <v>7520.0</v>
      </c>
      <c r="N198" s="34" t="s">
        <v>49</v>
      </c>
      <c r="O198" s="33" t="n">
        <f>6510</f>
        <v>6510.0</v>
      </c>
      <c r="P198" s="34" t="s">
        <v>312</v>
      </c>
      <c r="Q198" s="33" t="n">
        <f>7510</f>
        <v>7510.0</v>
      </c>
      <c r="R198" s="34" t="s">
        <v>51</v>
      </c>
      <c r="S198" s="35" t="n">
        <f>6968.89</f>
        <v>6968.89</v>
      </c>
      <c r="T198" s="32" t="n">
        <f>1772</f>
        <v>1772.0</v>
      </c>
      <c r="U198" s="32" t="str">
        <f>"－"</f>
        <v>－</v>
      </c>
      <c r="V198" s="32" t="n">
        <f>12412170</f>
        <v>1.241217E7</v>
      </c>
      <c r="W198" s="32" t="str">
        <f>"－"</f>
        <v>－</v>
      </c>
      <c r="X198" s="36" t="n">
        <f>18</f>
        <v>18.0</v>
      </c>
    </row>
    <row r="199">
      <c r="A199" s="27" t="s">
        <v>42</v>
      </c>
      <c r="B199" s="27" t="s">
        <v>642</v>
      </c>
      <c r="C199" s="27" t="s">
        <v>643</v>
      </c>
      <c r="D199" s="27" t="s">
        <v>644</v>
      </c>
      <c r="E199" s="28" t="s">
        <v>46</v>
      </c>
      <c r="F199" s="29" t="s">
        <v>46</v>
      </c>
      <c r="G199" s="30" t="s">
        <v>46</v>
      </c>
      <c r="H199" s="31"/>
      <c r="I199" s="31" t="s">
        <v>635</v>
      </c>
      <c r="J199" s="32" t="n">
        <v>1.0</v>
      </c>
      <c r="K199" s="33" t="n">
        <f>9260</f>
        <v>9260.0</v>
      </c>
      <c r="L199" s="34" t="s">
        <v>48</v>
      </c>
      <c r="M199" s="33" t="n">
        <f>9500</f>
        <v>9500.0</v>
      </c>
      <c r="N199" s="34" t="s">
        <v>48</v>
      </c>
      <c r="O199" s="33" t="n">
        <f>8690</f>
        <v>8690.0</v>
      </c>
      <c r="P199" s="34" t="s">
        <v>464</v>
      </c>
      <c r="Q199" s="33" t="n">
        <f>8890</f>
        <v>8890.0</v>
      </c>
      <c r="R199" s="34" t="s">
        <v>51</v>
      </c>
      <c r="S199" s="35" t="n">
        <f>9177.22</f>
        <v>9177.22</v>
      </c>
      <c r="T199" s="32" t="n">
        <f>10218</f>
        <v>10218.0</v>
      </c>
      <c r="U199" s="32" t="str">
        <f>"－"</f>
        <v>－</v>
      </c>
      <c r="V199" s="32" t="n">
        <f>92458680</f>
        <v>9.245868E7</v>
      </c>
      <c r="W199" s="32" t="str">
        <f>"－"</f>
        <v>－</v>
      </c>
      <c r="X199" s="36" t="n">
        <f>18</f>
        <v>18.0</v>
      </c>
    </row>
    <row r="200">
      <c r="A200" s="27" t="s">
        <v>42</v>
      </c>
      <c r="B200" s="27" t="s">
        <v>645</v>
      </c>
      <c r="C200" s="27" t="s">
        <v>646</v>
      </c>
      <c r="D200" s="27" t="s">
        <v>647</v>
      </c>
      <c r="E200" s="28" t="s">
        <v>46</v>
      </c>
      <c r="F200" s="29" t="s">
        <v>46</v>
      </c>
      <c r="G200" s="30" t="s">
        <v>46</v>
      </c>
      <c r="H200" s="31"/>
      <c r="I200" s="31" t="s">
        <v>635</v>
      </c>
      <c r="J200" s="32" t="n">
        <v>1.0</v>
      </c>
      <c r="K200" s="33" t="n">
        <f>1174</f>
        <v>1174.0</v>
      </c>
      <c r="L200" s="34" t="s">
        <v>48</v>
      </c>
      <c r="M200" s="33" t="n">
        <f>1200</f>
        <v>1200.0</v>
      </c>
      <c r="N200" s="34" t="s">
        <v>48</v>
      </c>
      <c r="O200" s="33" t="n">
        <f>920</f>
        <v>920.0</v>
      </c>
      <c r="P200" s="34" t="s">
        <v>61</v>
      </c>
      <c r="Q200" s="33" t="n">
        <f>968</f>
        <v>968.0</v>
      </c>
      <c r="R200" s="34" t="s">
        <v>51</v>
      </c>
      <c r="S200" s="35" t="n">
        <f>1026.33</f>
        <v>1026.33</v>
      </c>
      <c r="T200" s="32" t="n">
        <f>7886003</f>
        <v>7886003.0</v>
      </c>
      <c r="U200" s="32" t="n">
        <f>71</f>
        <v>71.0</v>
      </c>
      <c r="V200" s="32" t="n">
        <f>8134153212</f>
        <v>8.134153212E9</v>
      </c>
      <c r="W200" s="32" t="n">
        <f>81862</f>
        <v>81862.0</v>
      </c>
      <c r="X200" s="36" t="n">
        <f>18</f>
        <v>18.0</v>
      </c>
    </row>
    <row r="201">
      <c r="A201" s="27" t="s">
        <v>42</v>
      </c>
      <c r="B201" s="27" t="s">
        <v>648</v>
      </c>
      <c r="C201" s="27" t="s">
        <v>649</v>
      </c>
      <c r="D201" s="27" t="s">
        <v>650</v>
      </c>
      <c r="E201" s="28" t="s">
        <v>46</v>
      </c>
      <c r="F201" s="29" t="s">
        <v>46</v>
      </c>
      <c r="G201" s="30" t="s">
        <v>46</v>
      </c>
      <c r="H201" s="31"/>
      <c r="I201" s="31" t="s">
        <v>635</v>
      </c>
      <c r="J201" s="32" t="n">
        <v>1.0</v>
      </c>
      <c r="K201" s="33" t="n">
        <f>15600</f>
        <v>15600.0</v>
      </c>
      <c r="L201" s="34" t="s">
        <v>48</v>
      </c>
      <c r="M201" s="33" t="n">
        <f>17100</f>
        <v>17100.0</v>
      </c>
      <c r="N201" s="34" t="s">
        <v>68</v>
      </c>
      <c r="O201" s="33" t="n">
        <f>15200</f>
        <v>15200.0</v>
      </c>
      <c r="P201" s="34" t="s">
        <v>50</v>
      </c>
      <c r="Q201" s="33" t="n">
        <f>16240</f>
        <v>16240.0</v>
      </c>
      <c r="R201" s="34" t="s">
        <v>51</v>
      </c>
      <c r="S201" s="35" t="n">
        <f>16111.11</f>
        <v>16111.11</v>
      </c>
      <c r="T201" s="32" t="n">
        <f>43391</f>
        <v>43391.0</v>
      </c>
      <c r="U201" s="32" t="str">
        <f>"－"</f>
        <v>－</v>
      </c>
      <c r="V201" s="32" t="n">
        <f>710269960</f>
        <v>7.1026996E8</v>
      </c>
      <c r="W201" s="32" t="str">
        <f>"－"</f>
        <v>－</v>
      </c>
      <c r="X201" s="36" t="n">
        <f>18</f>
        <v>18.0</v>
      </c>
    </row>
    <row r="202">
      <c r="A202" s="27" t="s">
        <v>42</v>
      </c>
      <c r="B202" s="27" t="s">
        <v>651</v>
      </c>
      <c r="C202" s="27" t="s">
        <v>652</v>
      </c>
      <c r="D202" s="27" t="s">
        <v>653</v>
      </c>
      <c r="E202" s="28" t="s">
        <v>46</v>
      </c>
      <c r="F202" s="29" t="s">
        <v>46</v>
      </c>
      <c r="G202" s="30" t="s">
        <v>46</v>
      </c>
      <c r="H202" s="31"/>
      <c r="I202" s="31" t="s">
        <v>635</v>
      </c>
      <c r="J202" s="32" t="n">
        <v>1.0</v>
      </c>
      <c r="K202" s="33" t="n">
        <f>6270</f>
        <v>6270.0</v>
      </c>
      <c r="L202" s="34" t="s">
        <v>48</v>
      </c>
      <c r="M202" s="33" t="n">
        <f>6360</f>
        <v>6360.0</v>
      </c>
      <c r="N202" s="34" t="s">
        <v>50</v>
      </c>
      <c r="O202" s="33" t="n">
        <f>5970</f>
        <v>5970.0</v>
      </c>
      <c r="P202" s="34" t="s">
        <v>92</v>
      </c>
      <c r="Q202" s="33" t="n">
        <f>6100</f>
        <v>6100.0</v>
      </c>
      <c r="R202" s="34" t="s">
        <v>51</v>
      </c>
      <c r="S202" s="35" t="n">
        <f>6163.89</f>
        <v>6163.89</v>
      </c>
      <c r="T202" s="32" t="n">
        <f>12159</f>
        <v>12159.0</v>
      </c>
      <c r="U202" s="32" t="str">
        <f>"－"</f>
        <v>－</v>
      </c>
      <c r="V202" s="32" t="n">
        <f>74562870</f>
        <v>7.456287E7</v>
      </c>
      <c r="W202" s="32" t="str">
        <f>"－"</f>
        <v>－</v>
      </c>
      <c r="X202" s="36" t="n">
        <f>18</f>
        <v>18.0</v>
      </c>
    </row>
    <row r="203">
      <c r="A203" s="27" t="s">
        <v>42</v>
      </c>
      <c r="B203" s="27" t="s">
        <v>654</v>
      </c>
      <c r="C203" s="27" t="s">
        <v>655</v>
      </c>
      <c r="D203" s="27" t="s">
        <v>656</v>
      </c>
      <c r="E203" s="28" t="s">
        <v>46</v>
      </c>
      <c r="F203" s="29" t="s">
        <v>46</v>
      </c>
      <c r="G203" s="30" t="s">
        <v>46</v>
      </c>
      <c r="H203" s="31"/>
      <c r="I203" s="31" t="s">
        <v>635</v>
      </c>
      <c r="J203" s="32" t="n">
        <v>1.0</v>
      </c>
      <c r="K203" s="33" t="n">
        <f>202</f>
        <v>202.0</v>
      </c>
      <c r="L203" s="34" t="s">
        <v>48</v>
      </c>
      <c r="M203" s="33" t="n">
        <f>261</f>
        <v>261.0</v>
      </c>
      <c r="N203" s="34" t="s">
        <v>92</v>
      </c>
      <c r="O203" s="33" t="n">
        <f>178</f>
        <v>178.0</v>
      </c>
      <c r="P203" s="34" t="s">
        <v>312</v>
      </c>
      <c r="Q203" s="33" t="n">
        <f>227</f>
        <v>227.0</v>
      </c>
      <c r="R203" s="34" t="s">
        <v>51</v>
      </c>
      <c r="S203" s="35" t="n">
        <f>216.56</f>
        <v>216.56</v>
      </c>
      <c r="T203" s="32" t="n">
        <f>607425930</f>
        <v>6.0742593E8</v>
      </c>
      <c r="U203" s="32" t="str">
        <f>"－"</f>
        <v>－</v>
      </c>
      <c r="V203" s="32" t="n">
        <f>134067526485</f>
        <v>1.34067526485E11</v>
      </c>
      <c r="W203" s="32" t="str">
        <f>"－"</f>
        <v>－</v>
      </c>
      <c r="X203" s="36" t="n">
        <f>18</f>
        <v>18.0</v>
      </c>
    </row>
    <row r="204">
      <c r="A204" s="27" t="s">
        <v>42</v>
      </c>
      <c r="B204" s="27" t="s">
        <v>657</v>
      </c>
      <c r="C204" s="27" t="s">
        <v>658</v>
      </c>
      <c r="D204" s="27" t="s">
        <v>659</v>
      </c>
      <c r="E204" s="28" t="s">
        <v>46</v>
      </c>
      <c r="F204" s="29" t="s">
        <v>46</v>
      </c>
      <c r="G204" s="30" t="s">
        <v>46</v>
      </c>
      <c r="H204" s="31"/>
      <c r="I204" s="31" t="s">
        <v>635</v>
      </c>
      <c r="J204" s="32" t="n">
        <v>1.0</v>
      </c>
      <c r="K204" s="33" t="n">
        <f>8050</f>
        <v>8050.0</v>
      </c>
      <c r="L204" s="34" t="s">
        <v>48</v>
      </c>
      <c r="M204" s="33" t="n">
        <f>8400</f>
        <v>8400.0</v>
      </c>
      <c r="N204" s="34" t="s">
        <v>312</v>
      </c>
      <c r="O204" s="33" t="n">
        <f>6790</f>
        <v>6790.0</v>
      </c>
      <c r="P204" s="34" t="s">
        <v>299</v>
      </c>
      <c r="Q204" s="33" t="n">
        <f>7030</f>
        <v>7030.0</v>
      </c>
      <c r="R204" s="34" t="s">
        <v>51</v>
      </c>
      <c r="S204" s="35" t="n">
        <f>7495</f>
        <v>7495.0</v>
      </c>
      <c r="T204" s="32" t="n">
        <f>326970</f>
        <v>326970.0</v>
      </c>
      <c r="U204" s="32" t="str">
        <f>"－"</f>
        <v>－</v>
      </c>
      <c r="V204" s="32" t="n">
        <f>2434218220</f>
        <v>2.43421822E9</v>
      </c>
      <c r="W204" s="32" t="str">
        <f>"－"</f>
        <v>－</v>
      </c>
      <c r="X204" s="36" t="n">
        <f>18</f>
        <v>18.0</v>
      </c>
    </row>
    <row r="205">
      <c r="A205" s="27" t="s">
        <v>42</v>
      </c>
      <c r="B205" s="27" t="s">
        <v>660</v>
      </c>
      <c r="C205" s="27" t="s">
        <v>661</v>
      </c>
      <c r="D205" s="27" t="s">
        <v>662</v>
      </c>
      <c r="E205" s="28" t="s">
        <v>46</v>
      </c>
      <c r="F205" s="29" t="s">
        <v>46</v>
      </c>
      <c r="G205" s="30" t="s">
        <v>46</v>
      </c>
      <c r="H205" s="31"/>
      <c r="I205" s="31" t="s">
        <v>635</v>
      </c>
      <c r="J205" s="32" t="n">
        <v>1.0</v>
      </c>
      <c r="K205" s="33" t="n">
        <f>15970</f>
        <v>15970.0</v>
      </c>
      <c r="L205" s="34" t="s">
        <v>48</v>
      </c>
      <c r="M205" s="33" t="n">
        <f>18040</f>
        <v>18040.0</v>
      </c>
      <c r="N205" s="34" t="s">
        <v>49</v>
      </c>
      <c r="O205" s="33" t="n">
        <f>14700</f>
        <v>14700.0</v>
      </c>
      <c r="P205" s="34" t="s">
        <v>312</v>
      </c>
      <c r="Q205" s="33" t="n">
        <f>17500</f>
        <v>17500.0</v>
      </c>
      <c r="R205" s="34" t="s">
        <v>51</v>
      </c>
      <c r="S205" s="35" t="n">
        <f>16180.56</f>
        <v>16180.56</v>
      </c>
      <c r="T205" s="32" t="n">
        <f>676185</f>
        <v>676185.0</v>
      </c>
      <c r="U205" s="32" t="n">
        <f>58</f>
        <v>58.0</v>
      </c>
      <c r="V205" s="32" t="n">
        <f>10984150710</f>
        <v>1.098415071E10</v>
      </c>
      <c r="W205" s="32" t="n">
        <f>934380</f>
        <v>934380.0</v>
      </c>
      <c r="X205" s="36" t="n">
        <f>18</f>
        <v>18.0</v>
      </c>
    </row>
    <row r="206">
      <c r="A206" s="27" t="s">
        <v>42</v>
      </c>
      <c r="B206" s="27" t="s">
        <v>663</v>
      </c>
      <c r="C206" s="27" t="s">
        <v>664</v>
      </c>
      <c r="D206" s="27" t="s">
        <v>665</v>
      </c>
      <c r="E206" s="28" t="s">
        <v>46</v>
      </c>
      <c r="F206" s="29" t="s">
        <v>46</v>
      </c>
      <c r="G206" s="30" t="s">
        <v>46</v>
      </c>
      <c r="H206" s="31"/>
      <c r="I206" s="31" t="s">
        <v>635</v>
      </c>
      <c r="J206" s="32" t="n">
        <v>1.0</v>
      </c>
      <c r="K206" s="33" t="n">
        <f>4570</f>
        <v>4570.0</v>
      </c>
      <c r="L206" s="34" t="s">
        <v>48</v>
      </c>
      <c r="M206" s="33" t="n">
        <f>4775</f>
        <v>4775.0</v>
      </c>
      <c r="N206" s="34" t="s">
        <v>312</v>
      </c>
      <c r="O206" s="33" t="n">
        <f>4220</f>
        <v>4220.0</v>
      </c>
      <c r="P206" s="34" t="s">
        <v>49</v>
      </c>
      <c r="Q206" s="33" t="n">
        <f>4300</f>
        <v>4300.0</v>
      </c>
      <c r="R206" s="34" t="s">
        <v>51</v>
      </c>
      <c r="S206" s="35" t="n">
        <f>4519.17</f>
        <v>4519.17</v>
      </c>
      <c r="T206" s="32" t="n">
        <f>433484</f>
        <v>433484.0</v>
      </c>
      <c r="U206" s="32" t="n">
        <f>227</f>
        <v>227.0</v>
      </c>
      <c r="V206" s="32" t="n">
        <f>1953033535</f>
        <v>1.953033535E9</v>
      </c>
      <c r="W206" s="32" t="n">
        <f>1045470</f>
        <v>1045470.0</v>
      </c>
      <c r="X206" s="36" t="n">
        <f>18</f>
        <v>18.0</v>
      </c>
    </row>
    <row r="207">
      <c r="A207" s="27" t="s">
        <v>42</v>
      </c>
      <c r="B207" s="27" t="s">
        <v>666</v>
      </c>
      <c r="C207" s="27" t="s">
        <v>667</v>
      </c>
      <c r="D207" s="27" t="s">
        <v>668</v>
      </c>
      <c r="E207" s="28" t="s">
        <v>46</v>
      </c>
      <c r="F207" s="29" t="s">
        <v>46</v>
      </c>
      <c r="G207" s="30" t="s">
        <v>46</v>
      </c>
      <c r="H207" s="31"/>
      <c r="I207" s="31" t="s">
        <v>635</v>
      </c>
      <c r="J207" s="32" t="n">
        <v>1.0</v>
      </c>
      <c r="K207" s="33" t="n">
        <f>8450</f>
        <v>8450.0</v>
      </c>
      <c r="L207" s="34" t="s">
        <v>48</v>
      </c>
      <c r="M207" s="33" t="n">
        <f>10510</f>
        <v>10510.0</v>
      </c>
      <c r="N207" s="34" t="s">
        <v>51</v>
      </c>
      <c r="O207" s="33" t="n">
        <f>8320</f>
        <v>8320.0</v>
      </c>
      <c r="P207" s="34" t="s">
        <v>48</v>
      </c>
      <c r="Q207" s="33" t="n">
        <f>10480</f>
        <v>10480.0</v>
      </c>
      <c r="R207" s="34" t="s">
        <v>51</v>
      </c>
      <c r="S207" s="35" t="n">
        <f>9488.89</f>
        <v>9488.89</v>
      </c>
      <c r="T207" s="32" t="n">
        <f>311880</f>
        <v>311880.0</v>
      </c>
      <c r="U207" s="32" t="str">
        <f>"－"</f>
        <v>－</v>
      </c>
      <c r="V207" s="32" t="n">
        <f>3062837280</f>
        <v>3.06283728E9</v>
      </c>
      <c r="W207" s="32" t="str">
        <f>"－"</f>
        <v>－</v>
      </c>
      <c r="X207" s="36" t="n">
        <f>18</f>
        <v>18.0</v>
      </c>
    </row>
    <row r="208">
      <c r="A208" s="27" t="s">
        <v>42</v>
      </c>
      <c r="B208" s="27" t="s">
        <v>669</v>
      </c>
      <c r="C208" s="27" t="s">
        <v>670</v>
      </c>
      <c r="D208" s="27" t="s">
        <v>671</v>
      </c>
      <c r="E208" s="28" t="s">
        <v>46</v>
      </c>
      <c r="F208" s="29" t="s">
        <v>46</v>
      </c>
      <c r="G208" s="30" t="s">
        <v>46</v>
      </c>
      <c r="H208" s="31"/>
      <c r="I208" s="31" t="s">
        <v>635</v>
      </c>
      <c r="J208" s="32" t="n">
        <v>1.0</v>
      </c>
      <c r="K208" s="33" t="n">
        <f>9370</f>
        <v>9370.0</v>
      </c>
      <c r="L208" s="34" t="s">
        <v>48</v>
      </c>
      <c r="M208" s="33" t="n">
        <f>9600</f>
        <v>9600.0</v>
      </c>
      <c r="N208" s="34" t="s">
        <v>92</v>
      </c>
      <c r="O208" s="33" t="n">
        <f>9070</f>
        <v>9070.0</v>
      </c>
      <c r="P208" s="34" t="s">
        <v>116</v>
      </c>
      <c r="Q208" s="33" t="n">
        <f>9590</f>
        <v>9590.0</v>
      </c>
      <c r="R208" s="34" t="s">
        <v>51</v>
      </c>
      <c r="S208" s="35" t="n">
        <f>9377.33</f>
        <v>9377.33</v>
      </c>
      <c r="T208" s="32" t="n">
        <f>528</f>
        <v>528.0</v>
      </c>
      <c r="U208" s="32" t="str">
        <f>"－"</f>
        <v>－</v>
      </c>
      <c r="V208" s="32" t="n">
        <f>4910370</f>
        <v>4910370.0</v>
      </c>
      <c r="W208" s="32" t="str">
        <f>"－"</f>
        <v>－</v>
      </c>
      <c r="X208" s="36" t="n">
        <f>15</f>
        <v>15.0</v>
      </c>
    </row>
    <row r="209">
      <c r="A209" s="27" t="s">
        <v>42</v>
      </c>
      <c r="B209" s="27" t="s">
        <v>672</v>
      </c>
      <c r="C209" s="27" t="s">
        <v>673</v>
      </c>
      <c r="D209" s="27" t="s">
        <v>674</v>
      </c>
      <c r="E209" s="28" t="s">
        <v>46</v>
      </c>
      <c r="F209" s="29" t="s">
        <v>46</v>
      </c>
      <c r="G209" s="30" t="s">
        <v>46</v>
      </c>
      <c r="H209" s="31"/>
      <c r="I209" s="31" t="s">
        <v>635</v>
      </c>
      <c r="J209" s="32" t="n">
        <v>1.0</v>
      </c>
      <c r="K209" s="33" t="n">
        <f>12600</f>
        <v>12600.0</v>
      </c>
      <c r="L209" s="34" t="s">
        <v>48</v>
      </c>
      <c r="M209" s="33" t="n">
        <f>13530</f>
        <v>13530.0</v>
      </c>
      <c r="N209" s="34" t="s">
        <v>49</v>
      </c>
      <c r="O209" s="33" t="n">
        <f>11790</f>
        <v>11790.0</v>
      </c>
      <c r="P209" s="34" t="s">
        <v>312</v>
      </c>
      <c r="Q209" s="33" t="n">
        <f>13350</f>
        <v>13350.0</v>
      </c>
      <c r="R209" s="34" t="s">
        <v>51</v>
      </c>
      <c r="S209" s="35" t="n">
        <f>12583.33</f>
        <v>12583.33</v>
      </c>
      <c r="T209" s="32" t="n">
        <f>12853</f>
        <v>12853.0</v>
      </c>
      <c r="U209" s="32" t="str">
        <f>"－"</f>
        <v>－</v>
      </c>
      <c r="V209" s="32" t="n">
        <f>162918930</f>
        <v>1.6291893E8</v>
      </c>
      <c r="W209" s="32" t="str">
        <f>"－"</f>
        <v>－</v>
      </c>
      <c r="X209" s="36" t="n">
        <f>18</f>
        <v>18.0</v>
      </c>
    </row>
    <row r="210">
      <c r="A210" s="27" t="s">
        <v>42</v>
      </c>
      <c r="B210" s="27" t="s">
        <v>675</v>
      </c>
      <c r="C210" s="27" t="s">
        <v>676</v>
      </c>
      <c r="D210" s="27" t="s">
        <v>677</v>
      </c>
      <c r="E210" s="28" t="s">
        <v>46</v>
      </c>
      <c r="F210" s="29" t="s">
        <v>46</v>
      </c>
      <c r="G210" s="30" t="s">
        <v>46</v>
      </c>
      <c r="H210" s="31"/>
      <c r="I210" s="31" t="s">
        <v>635</v>
      </c>
      <c r="J210" s="32" t="n">
        <v>1.0</v>
      </c>
      <c r="K210" s="33" t="n">
        <f>10850</f>
        <v>10850.0</v>
      </c>
      <c r="L210" s="34" t="s">
        <v>48</v>
      </c>
      <c r="M210" s="33" t="n">
        <f>11330</f>
        <v>11330.0</v>
      </c>
      <c r="N210" s="34" t="s">
        <v>51</v>
      </c>
      <c r="O210" s="33" t="n">
        <f>10250</f>
        <v>10250.0</v>
      </c>
      <c r="P210" s="34" t="s">
        <v>68</v>
      </c>
      <c r="Q210" s="33" t="n">
        <f>11280</f>
        <v>11280.0</v>
      </c>
      <c r="R210" s="34" t="s">
        <v>51</v>
      </c>
      <c r="S210" s="35" t="n">
        <f>10870.56</f>
        <v>10870.56</v>
      </c>
      <c r="T210" s="32" t="n">
        <f>9699</f>
        <v>9699.0</v>
      </c>
      <c r="U210" s="32" t="str">
        <f>"－"</f>
        <v>－</v>
      </c>
      <c r="V210" s="32" t="n">
        <f>106641660</f>
        <v>1.0664166E8</v>
      </c>
      <c r="W210" s="32" t="str">
        <f>"－"</f>
        <v>－</v>
      </c>
      <c r="X210" s="36" t="n">
        <f>18</f>
        <v>18.0</v>
      </c>
    </row>
    <row r="211">
      <c r="A211" s="27" t="s">
        <v>42</v>
      </c>
      <c r="B211" s="27" t="s">
        <v>678</v>
      </c>
      <c r="C211" s="27" t="s">
        <v>679</v>
      </c>
      <c r="D211" s="27" t="s">
        <v>680</v>
      </c>
      <c r="E211" s="28" t="s">
        <v>46</v>
      </c>
      <c r="F211" s="29" t="s">
        <v>46</v>
      </c>
      <c r="G211" s="30" t="s">
        <v>46</v>
      </c>
      <c r="H211" s="31"/>
      <c r="I211" s="31" t="s">
        <v>635</v>
      </c>
      <c r="J211" s="32" t="n">
        <v>1.0</v>
      </c>
      <c r="K211" s="33" t="n">
        <f>5880</f>
        <v>5880.0</v>
      </c>
      <c r="L211" s="34" t="s">
        <v>48</v>
      </c>
      <c r="M211" s="33" t="n">
        <f>5880</f>
        <v>5880.0</v>
      </c>
      <c r="N211" s="34" t="s">
        <v>48</v>
      </c>
      <c r="O211" s="33" t="n">
        <f>4760</f>
        <v>4760.0</v>
      </c>
      <c r="P211" s="34" t="s">
        <v>68</v>
      </c>
      <c r="Q211" s="33" t="n">
        <f>5400</f>
        <v>5400.0</v>
      </c>
      <c r="R211" s="34" t="s">
        <v>51</v>
      </c>
      <c r="S211" s="35" t="n">
        <f>5209.44</f>
        <v>5209.44</v>
      </c>
      <c r="T211" s="32" t="n">
        <f>148375</f>
        <v>148375.0</v>
      </c>
      <c r="U211" s="32" t="str">
        <f>"－"</f>
        <v>－</v>
      </c>
      <c r="V211" s="32" t="n">
        <f>773647080</f>
        <v>7.7364708E8</v>
      </c>
      <c r="W211" s="32" t="str">
        <f>"－"</f>
        <v>－</v>
      </c>
      <c r="X211" s="36" t="n">
        <f>18</f>
        <v>18.0</v>
      </c>
    </row>
    <row r="212">
      <c r="A212" s="27" t="s">
        <v>42</v>
      </c>
      <c r="B212" s="27" t="s">
        <v>681</v>
      </c>
      <c r="C212" s="27" t="s">
        <v>682</v>
      </c>
      <c r="D212" s="27" t="s">
        <v>683</v>
      </c>
      <c r="E212" s="28" t="s">
        <v>46</v>
      </c>
      <c r="F212" s="29" t="s">
        <v>46</v>
      </c>
      <c r="G212" s="30" t="s">
        <v>46</v>
      </c>
      <c r="H212" s="31"/>
      <c r="I212" s="31" t="s">
        <v>635</v>
      </c>
      <c r="J212" s="32" t="n">
        <v>1.0</v>
      </c>
      <c r="K212" s="33" t="n">
        <f>6940</f>
        <v>6940.0</v>
      </c>
      <c r="L212" s="34" t="s">
        <v>48</v>
      </c>
      <c r="M212" s="33" t="n">
        <f>7700</f>
        <v>7700.0</v>
      </c>
      <c r="N212" s="34" t="s">
        <v>116</v>
      </c>
      <c r="O212" s="33" t="n">
        <f>6940</f>
        <v>6940.0</v>
      </c>
      <c r="P212" s="34" t="s">
        <v>48</v>
      </c>
      <c r="Q212" s="33" t="n">
        <f>7080</f>
        <v>7080.0</v>
      </c>
      <c r="R212" s="34" t="s">
        <v>51</v>
      </c>
      <c r="S212" s="35" t="n">
        <f>7297.78</f>
        <v>7297.78</v>
      </c>
      <c r="T212" s="32" t="n">
        <f>4398</f>
        <v>4398.0</v>
      </c>
      <c r="U212" s="32" t="str">
        <f>"－"</f>
        <v>－</v>
      </c>
      <c r="V212" s="32" t="n">
        <f>32242920</f>
        <v>3.224292E7</v>
      </c>
      <c r="W212" s="32" t="str">
        <f>"－"</f>
        <v>－</v>
      </c>
      <c r="X212" s="36" t="n">
        <f>18</f>
        <v>18.0</v>
      </c>
    </row>
    <row r="213">
      <c r="A213" s="27" t="s">
        <v>42</v>
      </c>
      <c r="B213" s="27" t="s">
        <v>684</v>
      </c>
      <c r="C213" s="27" t="s">
        <v>685</v>
      </c>
      <c r="D213" s="27" t="s">
        <v>686</v>
      </c>
      <c r="E213" s="28" t="s">
        <v>46</v>
      </c>
      <c r="F213" s="29" t="s">
        <v>46</v>
      </c>
      <c r="G213" s="30" t="s">
        <v>46</v>
      </c>
      <c r="H213" s="31"/>
      <c r="I213" s="31" t="s">
        <v>635</v>
      </c>
      <c r="J213" s="32" t="n">
        <v>1.0</v>
      </c>
      <c r="K213" s="33" t="n">
        <f>8000</f>
        <v>8000.0</v>
      </c>
      <c r="L213" s="34" t="s">
        <v>48</v>
      </c>
      <c r="M213" s="33" t="n">
        <f>8820</f>
        <v>8820.0</v>
      </c>
      <c r="N213" s="34" t="s">
        <v>49</v>
      </c>
      <c r="O213" s="33" t="n">
        <f>7800</f>
        <v>7800.0</v>
      </c>
      <c r="P213" s="34" t="s">
        <v>50</v>
      </c>
      <c r="Q213" s="33" t="n">
        <f>8820</f>
        <v>8820.0</v>
      </c>
      <c r="R213" s="34" t="s">
        <v>49</v>
      </c>
      <c r="S213" s="35" t="n">
        <f>8210.83</f>
        <v>8210.83</v>
      </c>
      <c r="T213" s="32" t="n">
        <f>2781</f>
        <v>2781.0</v>
      </c>
      <c r="U213" s="32" t="str">
        <f>"－"</f>
        <v>－</v>
      </c>
      <c r="V213" s="32" t="n">
        <f>23788670</f>
        <v>2.378867E7</v>
      </c>
      <c r="W213" s="32" t="str">
        <f>"－"</f>
        <v>－</v>
      </c>
      <c r="X213" s="36" t="n">
        <f>12</f>
        <v>12.0</v>
      </c>
    </row>
    <row r="214">
      <c r="A214" s="27" t="s">
        <v>42</v>
      </c>
      <c r="B214" s="27" t="s">
        <v>687</v>
      </c>
      <c r="C214" s="27" t="s">
        <v>688</v>
      </c>
      <c r="D214" s="27" t="s">
        <v>689</v>
      </c>
      <c r="E214" s="28" t="s">
        <v>46</v>
      </c>
      <c r="F214" s="29" t="s">
        <v>46</v>
      </c>
      <c r="G214" s="30" t="s">
        <v>46</v>
      </c>
      <c r="H214" s="31"/>
      <c r="I214" s="31" t="s">
        <v>635</v>
      </c>
      <c r="J214" s="32" t="n">
        <v>1.0</v>
      </c>
      <c r="K214" s="33" t="n">
        <f>8760</f>
        <v>8760.0</v>
      </c>
      <c r="L214" s="34" t="s">
        <v>50</v>
      </c>
      <c r="M214" s="33" t="n">
        <f>9840</f>
        <v>9840.0</v>
      </c>
      <c r="N214" s="34" t="s">
        <v>49</v>
      </c>
      <c r="O214" s="33" t="n">
        <f>8740</f>
        <v>8740.0</v>
      </c>
      <c r="P214" s="34" t="s">
        <v>50</v>
      </c>
      <c r="Q214" s="33" t="n">
        <f>9720</f>
        <v>9720.0</v>
      </c>
      <c r="R214" s="34" t="s">
        <v>51</v>
      </c>
      <c r="S214" s="35" t="n">
        <f>9359.17</f>
        <v>9359.17</v>
      </c>
      <c r="T214" s="32" t="n">
        <f>2717</f>
        <v>2717.0</v>
      </c>
      <c r="U214" s="32" t="str">
        <f>"－"</f>
        <v>－</v>
      </c>
      <c r="V214" s="32" t="n">
        <f>25692990</f>
        <v>2.569299E7</v>
      </c>
      <c r="W214" s="32" t="str">
        <f>"－"</f>
        <v>－</v>
      </c>
      <c r="X214" s="36" t="n">
        <f>12</f>
        <v>12.0</v>
      </c>
    </row>
    <row r="215">
      <c r="A215" s="27" t="s">
        <v>42</v>
      </c>
      <c r="B215" s="27" t="s">
        <v>690</v>
      </c>
      <c r="C215" s="27" t="s">
        <v>691</v>
      </c>
      <c r="D215" s="27" t="s">
        <v>692</v>
      </c>
      <c r="E215" s="28" t="s">
        <v>46</v>
      </c>
      <c r="F215" s="29" t="s">
        <v>46</v>
      </c>
      <c r="G215" s="30" t="s">
        <v>46</v>
      </c>
      <c r="H215" s="31"/>
      <c r="I215" s="31" t="s">
        <v>635</v>
      </c>
      <c r="J215" s="32" t="n">
        <v>1.0</v>
      </c>
      <c r="K215" s="33" t="n">
        <f>9360</f>
        <v>9360.0</v>
      </c>
      <c r="L215" s="34" t="s">
        <v>50</v>
      </c>
      <c r="M215" s="33" t="n">
        <f>10520</f>
        <v>10520.0</v>
      </c>
      <c r="N215" s="34" t="s">
        <v>49</v>
      </c>
      <c r="O215" s="33" t="n">
        <f>9360</f>
        <v>9360.0</v>
      </c>
      <c r="P215" s="34" t="s">
        <v>50</v>
      </c>
      <c r="Q215" s="33" t="n">
        <f>10390</f>
        <v>10390.0</v>
      </c>
      <c r="R215" s="34" t="s">
        <v>51</v>
      </c>
      <c r="S215" s="35" t="n">
        <f>9869</f>
        <v>9869.0</v>
      </c>
      <c r="T215" s="32" t="n">
        <f>648</f>
        <v>648.0</v>
      </c>
      <c r="U215" s="32" t="str">
        <f>"－"</f>
        <v>－</v>
      </c>
      <c r="V215" s="32" t="n">
        <f>6436650</f>
        <v>6436650.0</v>
      </c>
      <c r="W215" s="32" t="str">
        <f>"－"</f>
        <v>－</v>
      </c>
      <c r="X215" s="36" t="n">
        <f>10</f>
        <v>10.0</v>
      </c>
    </row>
    <row r="216">
      <c r="A216" s="27" t="s">
        <v>42</v>
      </c>
      <c r="B216" s="27" t="s">
        <v>693</v>
      </c>
      <c r="C216" s="27" t="s">
        <v>694</v>
      </c>
      <c r="D216" s="27" t="s">
        <v>695</v>
      </c>
      <c r="E216" s="28" t="s">
        <v>46</v>
      </c>
      <c r="F216" s="29" t="s">
        <v>46</v>
      </c>
      <c r="G216" s="30" t="s">
        <v>46</v>
      </c>
      <c r="H216" s="31"/>
      <c r="I216" s="31" t="s">
        <v>635</v>
      </c>
      <c r="J216" s="32" t="n">
        <v>1.0</v>
      </c>
      <c r="K216" s="33" t="n">
        <f>9820</f>
        <v>9820.0</v>
      </c>
      <c r="L216" s="34" t="s">
        <v>48</v>
      </c>
      <c r="M216" s="33" t="n">
        <f>10620</f>
        <v>10620.0</v>
      </c>
      <c r="N216" s="34" t="s">
        <v>49</v>
      </c>
      <c r="O216" s="33" t="n">
        <f>9710</f>
        <v>9710.0</v>
      </c>
      <c r="P216" s="34" t="s">
        <v>116</v>
      </c>
      <c r="Q216" s="33" t="n">
        <f>10610</f>
        <v>10610.0</v>
      </c>
      <c r="R216" s="34" t="s">
        <v>51</v>
      </c>
      <c r="S216" s="35" t="n">
        <f>10150</f>
        <v>10150.0</v>
      </c>
      <c r="T216" s="32" t="n">
        <f>1236</f>
        <v>1236.0</v>
      </c>
      <c r="U216" s="32" t="str">
        <f>"－"</f>
        <v>－</v>
      </c>
      <c r="V216" s="32" t="n">
        <f>12725060</f>
        <v>1.272506E7</v>
      </c>
      <c r="W216" s="32" t="str">
        <f>"－"</f>
        <v>－</v>
      </c>
      <c r="X216" s="36" t="n">
        <f>13</f>
        <v>13.0</v>
      </c>
    </row>
    <row r="217">
      <c r="A217" s="27" t="s">
        <v>42</v>
      </c>
      <c r="B217" s="27" t="s">
        <v>696</v>
      </c>
      <c r="C217" s="27" t="s">
        <v>697</v>
      </c>
      <c r="D217" s="27" t="s">
        <v>698</v>
      </c>
      <c r="E217" s="28" t="s">
        <v>46</v>
      </c>
      <c r="F217" s="29" t="s">
        <v>46</v>
      </c>
      <c r="G217" s="30" t="s">
        <v>46</v>
      </c>
      <c r="H217" s="31"/>
      <c r="I217" s="31" t="s">
        <v>635</v>
      </c>
      <c r="J217" s="32" t="n">
        <v>1.0</v>
      </c>
      <c r="K217" s="33" t="n">
        <f>8810</f>
        <v>8810.0</v>
      </c>
      <c r="L217" s="34" t="s">
        <v>48</v>
      </c>
      <c r="M217" s="33" t="n">
        <f>9600</f>
        <v>9600.0</v>
      </c>
      <c r="N217" s="34" t="s">
        <v>49</v>
      </c>
      <c r="O217" s="33" t="n">
        <f>8530</f>
        <v>8530.0</v>
      </c>
      <c r="P217" s="34" t="s">
        <v>50</v>
      </c>
      <c r="Q217" s="33" t="n">
        <f>9500</f>
        <v>9500.0</v>
      </c>
      <c r="R217" s="34" t="s">
        <v>51</v>
      </c>
      <c r="S217" s="35" t="n">
        <f>8995.88</f>
        <v>8995.88</v>
      </c>
      <c r="T217" s="32" t="n">
        <f>6751</f>
        <v>6751.0</v>
      </c>
      <c r="U217" s="32" t="str">
        <f>"－"</f>
        <v>－</v>
      </c>
      <c r="V217" s="32" t="n">
        <f>62782040</f>
        <v>6.278204E7</v>
      </c>
      <c r="W217" s="32" t="str">
        <f>"－"</f>
        <v>－</v>
      </c>
      <c r="X217" s="36" t="n">
        <f>17</f>
        <v>17.0</v>
      </c>
    </row>
    <row r="218">
      <c r="A218" s="27" t="s">
        <v>42</v>
      </c>
      <c r="B218" s="27" t="s">
        <v>699</v>
      </c>
      <c r="C218" s="27" t="s">
        <v>700</v>
      </c>
      <c r="D218" s="27" t="s">
        <v>701</v>
      </c>
      <c r="E218" s="28" t="s">
        <v>46</v>
      </c>
      <c r="F218" s="29" t="s">
        <v>46</v>
      </c>
      <c r="G218" s="30" t="s">
        <v>46</v>
      </c>
      <c r="H218" s="31"/>
      <c r="I218" s="31" t="s">
        <v>635</v>
      </c>
      <c r="J218" s="32" t="n">
        <v>1.0</v>
      </c>
      <c r="K218" s="33" t="n">
        <f>8540</f>
        <v>8540.0</v>
      </c>
      <c r="L218" s="34" t="s">
        <v>61</v>
      </c>
      <c r="M218" s="33" t="n">
        <f>9150</f>
        <v>9150.0</v>
      </c>
      <c r="N218" s="34" t="s">
        <v>49</v>
      </c>
      <c r="O218" s="33" t="n">
        <f>8520</f>
        <v>8520.0</v>
      </c>
      <c r="P218" s="34" t="s">
        <v>555</v>
      </c>
      <c r="Q218" s="33" t="n">
        <f>9150</f>
        <v>9150.0</v>
      </c>
      <c r="R218" s="34" t="s">
        <v>49</v>
      </c>
      <c r="S218" s="35" t="n">
        <f>8786</f>
        <v>8786.0</v>
      </c>
      <c r="T218" s="32" t="n">
        <f>196</f>
        <v>196.0</v>
      </c>
      <c r="U218" s="32" t="str">
        <f>"－"</f>
        <v>－</v>
      </c>
      <c r="V218" s="32" t="n">
        <f>1715570</f>
        <v>1715570.0</v>
      </c>
      <c r="W218" s="32" t="str">
        <f>"－"</f>
        <v>－</v>
      </c>
      <c r="X218" s="36" t="n">
        <f>5</f>
        <v>5.0</v>
      </c>
    </row>
    <row r="219">
      <c r="A219" s="27" t="s">
        <v>42</v>
      </c>
      <c r="B219" s="27" t="s">
        <v>702</v>
      </c>
      <c r="C219" s="27" t="s">
        <v>703</v>
      </c>
      <c r="D219" s="27" t="s">
        <v>704</v>
      </c>
      <c r="E219" s="28" t="s">
        <v>46</v>
      </c>
      <c r="F219" s="29" t="s">
        <v>46</v>
      </c>
      <c r="G219" s="30" t="s">
        <v>46</v>
      </c>
      <c r="H219" s="31"/>
      <c r="I219" s="31" t="s">
        <v>635</v>
      </c>
      <c r="J219" s="32" t="n">
        <v>1.0</v>
      </c>
      <c r="K219" s="33" t="n">
        <f>10970</f>
        <v>10970.0</v>
      </c>
      <c r="L219" s="34" t="s">
        <v>61</v>
      </c>
      <c r="M219" s="33" t="n">
        <f>11520</f>
        <v>11520.0</v>
      </c>
      <c r="N219" s="34" t="s">
        <v>51</v>
      </c>
      <c r="O219" s="33" t="n">
        <f>10970</f>
        <v>10970.0</v>
      </c>
      <c r="P219" s="34" t="s">
        <v>61</v>
      </c>
      <c r="Q219" s="33" t="n">
        <f>11510</f>
        <v>11510.0</v>
      </c>
      <c r="R219" s="34" t="s">
        <v>51</v>
      </c>
      <c r="S219" s="35" t="n">
        <f>11261.67</f>
        <v>11261.67</v>
      </c>
      <c r="T219" s="32" t="n">
        <f>1370</f>
        <v>1370.0</v>
      </c>
      <c r="U219" s="32" t="str">
        <f>"－"</f>
        <v>－</v>
      </c>
      <c r="V219" s="32" t="n">
        <f>15584560</f>
        <v>1.558456E7</v>
      </c>
      <c r="W219" s="32" t="str">
        <f>"－"</f>
        <v>－</v>
      </c>
      <c r="X219" s="36" t="n">
        <f>6</f>
        <v>6.0</v>
      </c>
    </row>
    <row r="220">
      <c r="A220" s="27" t="s">
        <v>42</v>
      </c>
      <c r="B220" s="27" t="s">
        <v>705</v>
      </c>
      <c r="C220" s="27" t="s">
        <v>706</v>
      </c>
      <c r="D220" s="27" t="s">
        <v>707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1012</f>
        <v>1012.0</v>
      </c>
      <c r="L220" s="34" t="s">
        <v>48</v>
      </c>
      <c r="M220" s="33" t="n">
        <f>1012</f>
        <v>1012.0</v>
      </c>
      <c r="N220" s="34" t="s">
        <v>48</v>
      </c>
      <c r="O220" s="33" t="n">
        <f>1002</f>
        <v>1002.0</v>
      </c>
      <c r="P220" s="34" t="s">
        <v>174</v>
      </c>
      <c r="Q220" s="33" t="n">
        <f>1004</f>
        <v>1004.0</v>
      </c>
      <c r="R220" s="34" t="s">
        <v>51</v>
      </c>
      <c r="S220" s="35" t="n">
        <f>1005.78</f>
        <v>1005.78</v>
      </c>
      <c r="T220" s="32" t="n">
        <f>21520</f>
        <v>21520.0</v>
      </c>
      <c r="U220" s="32" t="str">
        <f>"－"</f>
        <v>－</v>
      </c>
      <c r="V220" s="32" t="n">
        <f>21648340</f>
        <v>2.164834E7</v>
      </c>
      <c r="W220" s="32" t="str">
        <f>"－"</f>
        <v>－</v>
      </c>
      <c r="X220" s="36" t="n">
        <f>18</f>
        <v>18.0</v>
      </c>
    </row>
    <row r="221">
      <c r="A221" s="27" t="s">
        <v>42</v>
      </c>
      <c r="B221" s="27" t="s">
        <v>708</v>
      </c>
      <c r="C221" s="27" t="s">
        <v>709</v>
      </c>
      <c r="D221" s="27" t="s">
        <v>710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977</f>
        <v>977.0</v>
      </c>
      <c r="L221" s="34" t="s">
        <v>48</v>
      </c>
      <c r="M221" s="33" t="n">
        <f>999</f>
        <v>999.0</v>
      </c>
      <c r="N221" s="34" t="s">
        <v>464</v>
      </c>
      <c r="O221" s="33" t="n">
        <f>958</f>
        <v>958.0</v>
      </c>
      <c r="P221" s="34" t="s">
        <v>50</v>
      </c>
      <c r="Q221" s="33" t="n">
        <f>985</f>
        <v>985.0</v>
      </c>
      <c r="R221" s="34" t="s">
        <v>51</v>
      </c>
      <c r="S221" s="35" t="n">
        <f>976.22</f>
        <v>976.22</v>
      </c>
      <c r="T221" s="32" t="n">
        <f>709530</f>
        <v>709530.0</v>
      </c>
      <c r="U221" s="32" t="n">
        <f>330000</f>
        <v>330000.0</v>
      </c>
      <c r="V221" s="32" t="n">
        <f>695873740</f>
        <v>6.9587374E8</v>
      </c>
      <c r="W221" s="32" t="n">
        <f>323298000</f>
        <v>3.23298E8</v>
      </c>
      <c r="X221" s="36" t="n">
        <f>18</f>
        <v>18.0</v>
      </c>
    </row>
    <row r="222">
      <c r="A222" s="27" t="s">
        <v>42</v>
      </c>
      <c r="B222" s="27" t="s">
        <v>711</v>
      </c>
      <c r="C222" s="27" t="s">
        <v>712</v>
      </c>
      <c r="D222" s="27" t="s">
        <v>713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1049</f>
        <v>1049.0</v>
      </c>
      <c r="L222" s="34" t="s">
        <v>48</v>
      </c>
      <c r="M222" s="33" t="n">
        <f>1057</f>
        <v>1057.0</v>
      </c>
      <c r="N222" s="34" t="s">
        <v>299</v>
      </c>
      <c r="O222" s="33" t="n">
        <f>1045</f>
        <v>1045.0</v>
      </c>
      <c r="P222" s="34" t="s">
        <v>50</v>
      </c>
      <c r="Q222" s="33" t="n">
        <f>1054</f>
        <v>1054.0</v>
      </c>
      <c r="R222" s="34" t="s">
        <v>51</v>
      </c>
      <c r="S222" s="35" t="n">
        <f>1051.94</f>
        <v>1051.94</v>
      </c>
      <c r="T222" s="32" t="n">
        <f>13890</f>
        <v>13890.0</v>
      </c>
      <c r="U222" s="32" t="str">
        <f>"－"</f>
        <v>－</v>
      </c>
      <c r="V222" s="32" t="n">
        <f>14610440</f>
        <v>1.461044E7</v>
      </c>
      <c r="W222" s="32" t="str">
        <f>"－"</f>
        <v>－</v>
      </c>
      <c r="X222" s="36" t="n">
        <f>18</f>
        <v>18.0</v>
      </c>
    </row>
    <row r="223">
      <c r="A223" s="27" t="s">
        <v>42</v>
      </c>
      <c r="B223" s="27" t="s">
        <v>714</v>
      </c>
      <c r="C223" s="27" t="s">
        <v>715</v>
      </c>
      <c r="D223" s="27" t="s">
        <v>716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976</f>
        <v>976.0</v>
      </c>
      <c r="L223" s="34" t="s">
        <v>48</v>
      </c>
      <c r="M223" s="33" t="n">
        <f>1030</f>
        <v>1030.0</v>
      </c>
      <c r="N223" s="34" t="s">
        <v>49</v>
      </c>
      <c r="O223" s="33" t="n">
        <f>935</f>
        <v>935.0</v>
      </c>
      <c r="P223" s="34" t="s">
        <v>312</v>
      </c>
      <c r="Q223" s="33" t="n">
        <f>1019</f>
        <v>1019.0</v>
      </c>
      <c r="R223" s="34" t="s">
        <v>51</v>
      </c>
      <c r="S223" s="35" t="n">
        <f>982.5</f>
        <v>982.5</v>
      </c>
      <c r="T223" s="32" t="n">
        <f>55310</f>
        <v>55310.0</v>
      </c>
      <c r="U223" s="32" t="str">
        <f>"－"</f>
        <v>－</v>
      </c>
      <c r="V223" s="32" t="n">
        <f>53292220</f>
        <v>5.329222E7</v>
      </c>
      <c r="W223" s="32" t="str">
        <f>"－"</f>
        <v>－</v>
      </c>
      <c r="X223" s="36" t="n">
        <f>18</f>
        <v>18.0</v>
      </c>
    </row>
    <row r="224">
      <c r="A224" s="27" t="s">
        <v>42</v>
      </c>
      <c r="B224" s="27" t="s">
        <v>717</v>
      </c>
      <c r="C224" s="27" t="s">
        <v>718</v>
      </c>
      <c r="D224" s="27" t="s">
        <v>719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1006</f>
        <v>1006.0</v>
      </c>
      <c r="L224" s="34" t="s">
        <v>48</v>
      </c>
      <c r="M224" s="33" t="n">
        <f>1066</f>
        <v>1066.0</v>
      </c>
      <c r="N224" s="34" t="s">
        <v>49</v>
      </c>
      <c r="O224" s="33" t="n">
        <f>984</f>
        <v>984.0</v>
      </c>
      <c r="P224" s="34" t="s">
        <v>312</v>
      </c>
      <c r="Q224" s="33" t="n">
        <f>1062</f>
        <v>1062.0</v>
      </c>
      <c r="R224" s="34" t="s">
        <v>51</v>
      </c>
      <c r="S224" s="35" t="n">
        <f>1022.83</f>
        <v>1022.83</v>
      </c>
      <c r="T224" s="32" t="n">
        <f>26490</f>
        <v>26490.0</v>
      </c>
      <c r="U224" s="32" t="str">
        <f>"－"</f>
        <v>－</v>
      </c>
      <c r="V224" s="32" t="n">
        <f>26742930</f>
        <v>2.674293E7</v>
      </c>
      <c r="W224" s="32" t="str">
        <f>"－"</f>
        <v>－</v>
      </c>
      <c r="X224" s="36" t="n">
        <f>18</f>
        <v>18.0</v>
      </c>
    </row>
    <row r="225">
      <c r="A225" s="27" t="s">
        <v>42</v>
      </c>
      <c r="B225" s="27" t="s">
        <v>720</v>
      </c>
      <c r="C225" s="27" t="s">
        <v>721</v>
      </c>
      <c r="D225" s="27" t="s">
        <v>722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813</f>
        <v>813.0</v>
      </c>
      <c r="L225" s="34" t="s">
        <v>48</v>
      </c>
      <c r="M225" s="33" t="n">
        <f>841</f>
        <v>841.0</v>
      </c>
      <c r="N225" s="34" t="s">
        <v>51</v>
      </c>
      <c r="O225" s="33" t="n">
        <f>727</f>
        <v>727.0</v>
      </c>
      <c r="P225" s="34" t="s">
        <v>312</v>
      </c>
      <c r="Q225" s="33" t="n">
        <f>841</f>
        <v>841.0</v>
      </c>
      <c r="R225" s="34" t="s">
        <v>51</v>
      </c>
      <c r="S225" s="35" t="n">
        <f>780.89</f>
        <v>780.89</v>
      </c>
      <c r="T225" s="32" t="n">
        <f>737410</f>
        <v>737410.0</v>
      </c>
      <c r="U225" s="32" t="n">
        <f>55230</f>
        <v>55230.0</v>
      </c>
      <c r="V225" s="32" t="n">
        <f>569904585</f>
        <v>5.69904585E8</v>
      </c>
      <c r="W225" s="32" t="n">
        <f>43257225</f>
        <v>4.3257225E7</v>
      </c>
      <c r="X225" s="36" t="n">
        <f>18</f>
        <v>18.0</v>
      </c>
    </row>
    <row r="226">
      <c r="A226" s="27" t="s">
        <v>42</v>
      </c>
      <c r="B226" s="27" t="s">
        <v>723</v>
      </c>
      <c r="C226" s="27" t="s">
        <v>724</v>
      </c>
      <c r="D226" s="27" t="s">
        <v>725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589</f>
        <v>589.0</v>
      </c>
      <c r="L226" s="34" t="s">
        <v>48</v>
      </c>
      <c r="M226" s="33" t="n">
        <f>754</f>
        <v>754.0</v>
      </c>
      <c r="N226" s="34" t="s">
        <v>299</v>
      </c>
      <c r="O226" s="33" t="n">
        <f>588</f>
        <v>588.0</v>
      </c>
      <c r="P226" s="34" t="s">
        <v>48</v>
      </c>
      <c r="Q226" s="33" t="n">
        <f>746</f>
        <v>746.0</v>
      </c>
      <c r="R226" s="34" t="s">
        <v>51</v>
      </c>
      <c r="S226" s="35" t="n">
        <f>676.33</f>
        <v>676.33</v>
      </c>
      <c r="T226" s="32" t="n">
        <f>12382600</f>
        <v>1.23826E7</v>
      </c>
      <c r="U226" s="32" t="n">
        <f>6250</f>
        <v>6250.0</v>
      </c>
      <c r="V226" s="32" t="n">
        <f>8361105444</f>
        <v>8.361105444E9</v>
      </c>
      <c r="W226" s="32" t="n">
        <f>4257224</f>
        <v>4257224.0</v>
      </c>
      <c r="X226" s="36" t="n">
        <f>18</f>
        <v>18.0</v>
      </c>
    </row>
    <row r="227">
      <c r="A227" s="27" t="s">
        <v>42</v>
      </c>
      <c r="B227" s="27" t="s">
        <v>726</v>
      </c>
      <c r="C227" s="27" t="s">
        <v>727</v>
      </c>
      <c r="D227" s="27" t="s">
        <v>728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920</f>
        <v>920.0</v>
      </c>
      <c r="L227" s="34" t="s">
        <v>48</v>
      </c>
      <c r="M227" s="33" t="n">
        <f>988</f>
        <v>988.0</v>
      </c>
      <c r="N227" s="34" t="s">
        <v>51</v>
      </c>
      <c r="O227" s="33" t="n">
        <f>890</f>
        <v>890.0</v>
      </c>
      <c r="P227" s="34" t="s">
        <v>116</v>
      </c>
      <c r="Q227" s="33" t="n">
        <f>988</f>
        <v>988.0</v>
      </c>
      <c r="R227" s="34" t="s">
        <v>51</v>
      </c>
      <c r="S227" s="35" t="n">
        <f>940.11</f>
        <v>940.11</v>
      </c>
      <c r="T227" s="32" t="n">
        <f>433890</f>
        <v>433890.0</v>
      </c>
      <c r="U227" s="32" t="n">
        <f>270000</f>
        <v>270000.0</v>
      </c>
      <c r="V227" s="32" t="n">
        <f>398880900</f>
        <v>3.988809E8</v>
      </c>
      <c r="W227" s="32" t="n">
        <f>247250500</f>
        <v>2.472505E8</v>
      </c>
      <c r="X227" s="36" t="n">
        <f>18</f>
        <v>18.0</v>
      </c>
    </row>
    <row r="228">
      <c r="A228" s="27" t="s">
        <v>42</v>
      </c>
      <c r="B228" s="27" t="s">
        <v>729</v>
      </c>
      <c r="C228" s="27" t="s">
        <v>730</v>
      </c>
      <c r="D228" s="27" t="s">
        <v>731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844</f>
        <v>844.0</v>
      </c>
      <c r="L228" s="34" t="s">
        <v>48</v>
      </c>
      <c r="M228" s="33" t="n">
        <f>920</f>
        <v>920.0</v>
      </c>
      <c r="N228" s="34" t="s">
        <v>51</v>
      </c>
      <c r="O228" s="33" t="n">
        <f>838</f>
        <v>838.0</v>
      </c>
      <c r="P228" s="34" t="s">
        <v>50</v>
      </c>
      <c r="Q228" s="33" t="n">
        <f>920</f>
        <v>920.0</v>
      </c>
      <c r="R228" s="34" t="s">
        <v>51</v>
      </c>
      <c r="S228" s="35" t="n">
        <f>873.83</f>
        <v>873.83</v>
      </c>
      <c r="T228" s="32" t="n">
        <f>125631</f>
        <v>125631.0</v>
      </c>
      <c r="U228" s="32" t="n">
        <f>114000</f>
        <v>114000.0</v>
      </c>
      <c r="V228" s="32" t="n">
        <f>110398505</f>
        <v>1.10398505E8</v>
      </c>
      <c r="W228" s="32" t="n">
        <f>100228800</f>
        <v>1.002288E8</v>
      </c>
      <c r="X228" s="36" t="n">
        <f>18</f>
        <v>18.0</v>
      </c>
    </row>
    <row r="229">
      <c r="A229" s="27" t="s">
        <v>42</v>
      </c>
      <c r="B229" s="27" t="s">
        <v>732</v>
      </c>
      <c r="C229" s="27" t="s">
        <v>733</v>
      </c>
      <c r="D229" s="27" t="s">
        <v>734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948</f>
        <v>948.0</v>
      </c>
      <c r="L229" s="34" t="s">
        <v>48</v>
      </c>
      <c r="M229" s="33" t="n">
        <f>1019</f>
        <v>1019.0</v>
      </c>
      <c r="N229" s="34" t="s">
        <v>51</v>
      </c>
      <c r="O229" s="33" t="n">
        <f>935</f>
        <v>935.0</v>
      </c>
      <c r="P229" s="34" t="s">
        <v>50</v>
      </c>
      <c r="Q229" s="33" t="n">
        <f>1003</f>
        <v>1003.0</v>
      </c>
      <c r="R229" s="34" t="s">
        <v>51</v>
      </c>
      <c r="S229" s="35" t="n">
        <f>976.22</f>
        <v>976.22</v>
      </c>
      <c r="T229" s="32" t="n">
        <f>40920</f>
        <v>40920.0</v>
      </c>
      <c r="U229" s="32" t="str">
        <f>"－"</f>
        <v>－</v>
      </c>
      <c r="V229" s="32" t="n">
        <f>40000740</f>
        <v>4.000074E7</v>
      </c>
      <c r="W229" s="32" t="str">
        <f>"－"</f>
        <v>－</v>
      </c>
      <c r="X229" s="36" t="n">
        <f>18</f>
        <v>18.0</v>
      </c>
    </row>
    <row r="230">
      <c r="A230" s="27" t="s">
        <v>42</v>
      </c>
      <c r="B230" s="27" t="s">
        <v>735</v>
      </c>
      <c r="C230" s="27" t="s">
        <v>736</v>
      </c>
      <c r="D230" s="27" t="s">
        <v>737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855</f>
        <v>855.0</v>
      </c>
      <c r="L230" s="34" t="s">
        <v>48</v>
      </c>
      <c r="M230" s="33" t="n">
        <f>900</f>
        <v>900.0</v>
      </c>
      <c r="N230" s="34" t="s">
        <v>464</v>
      </c>
      <c r="O230" s="33" t="n">
        <f>825</f>
        <v>825.0</v>
      </c>
      <c r="P230" s="34" t="s">
        <v>50</v>
      </c>
      <c r="Q230" s="33" t="n">
        <f>892</f>
        <v>892.0</v>
      </c>
      <c r="R230" s="34" t="s">
        <v>51</v>
      </c>
      <c r="S230" s="35" t="n">
        <f>866.61</f>
        <v>866.61</v>
      </c>
      <c r="T230" s="32" t="n">
        <f>19710</f>
        <v>19710.0</v>
      </c>
      <c r="U230" s="32" t="str">
        <f>"－"</f>
        <v>－</v>
      </c>
      <c r="V230" s="32" t="n">
        <f>17154200</f>
        <v>1.71542E7</v>
      </c>
      <c r="W230" s="32" t="str">
        <f>"－"</f>
        <v>－</v>
      </c>
      <c r="X230" s="36" t="n">
        <f>18</f>
        <v>18.0</v>
      </c>
    </row>
    <row r="231">
      <c r="A231" s="27" t="s">
        <v>42</v>
      </c>
      <c r="B231" s="27" t="s">
        <v>738</v>
      </c>
      <c r="C231" s="27" t="s">
        <v>739</v>
      </c>
      <c r="D231" s="27" t="s">
        <v>740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1009</f>
        <v>1009.0</v>
      </c>
      <c r="L231" s="34" t="s">
        <v>48</v>
      </c>
      <c r="M231" s="33" t="n">
        <f>1069</f>
        <v>1069.0</v>
      </c>
      <c r="N231" s="34" t="s">
        <v>49</v>
      </c>
      <c r="O231" s="33" t="n">
        <f>981</f>
        <v>981.0</v>
      </c>
      <c r="P231" s="34" t="s">
        <v>312</v>
      </c>
      <c r="Q231" s="33" t="n">
        <f>1060</f>
        <v>1060.0</v>
      </c>
      <c r="R231" s="34" t="s">
        <v>51</v>
      </c>
      <c r="S231" s="35" t="n">
        <f>1024.72</f>
        <v>1024.72</v>
      </c>
      <c r="T231" s="32" t="n">
        <f>6981890</f>
        <v>6981890.0</v>
      </c>
      <c r="U231" s="32" t="n">
        <f>4125060</f>
        <v>4125060.0</v>
      </c>
      <c r="V231" s="32" t="n">
        <f>7174112865</f>
        <v>7.174112865E9</v>
      </c>
      <c r="W231" s="32" t="n">
        <f>4244310575</f>
        <v>4.244310575E9</v>
      </c>
      <c r="X231" s="36" t="n">
        <f>18</f>
        <v>18.0</v>
      </c>
    </row>
    <row r="232">
      <c r="A232" s="27" t="s">
        <v>42</v>
      </c>
      <c r="B232" s="27" t="s">
        <v>741</v>
      </c>
      <c r="C232" s="27" t="s">
        <v>742</v>
      </c>
      <c r="D232" s="27" t="s">
        <v>743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2166</f>
        <v>2166.0</v>
      </c>
      <c r="L232" s="34" t="s">
        <v>48</v>
      </c>
      <c r="M232" s="33" t="n">
        <f>2410</f>
        <v>2410.0</v>
      </c>
      <c r="N232" s="34" t="s">
        <v>49</v>
      </c>
      <c r="O232" s="33" t="n">
        <f>2125</f>
        <v>2125.0</v>
      </c>
      <c r="P232" s="34" t="s">
        <v>50</v>
      </c>
      <c r="Q232" s="33" t="n">
        <f>2372</f>
        <v>2372.0</v>
      </c>
      <c r="R232" s="34" t="s">
        <v>51</v>
      </c>
      <c r="S232" s="35" t="n">
        <f>2257.33</f>
        <v>2257.33</v>
      </c>
      <c r="T232" s="32" t="n">
        <f>417133</f>
        <v>417133.0</v>
      </c>
      <c r="U232" s="32" t="n">
        <f>377000</f>
        <v>377000.0</v>
      </c>
      <c r="V232" s="32" t="n">
        <f>990597532</f>
        <v>9.90597532E8</v>
      </c>
      <c r="W232" s="32" t="n">
        <f>900049800</f>
        <v>9.000498E8</v>
      </c>
      <c r="X232" s="36" t="n">
        <f>18</f>
        <v>18.0</v>
      </c>
    </row>
    <row r="233">
      <c r="A233" s="27" t="s">
        <v>42</v>
      </c>
      <c r="B233" s="27" t="s">
        <v>744</v>
      </c>
      <c r="C233" s="27" t="s">
        <v>745</v>
      </c>
      <c r="D233" s="27" t="s">
        <v>746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1343</f>
        <v>1343.0</v>
      </c>
      <c r="L233" s="34" t="s">
        <v>48</v>
      </c>
      <c r="M233" s="33" t="n">
        <f>1425</f>
        <v>1425.0</v>
      </c>
      <c r="N233" s="34" t="s">
        <v>49</v>
      </c>
      <c r="O233" s="33" t="n">
        <f>1343</f>
        <v>1343.0</v>
      </c>
      <c r="P233" s="34" t="s">
        <v>48</v>
      </c>
      <c r="Q233" s="33" t="n">
        <f>1425</f>
        <v>1425.0</v>
      </c>
      <c r="R233" s="34" t="s">
        <v>51</v>
      </c>
      <c r="S233" s="35" t="n">
        <f>1376.88</f>
        <v>1376.88</v>
      </c>
      <c r="T233" s="32" t="n">
        <f>240</f>
        <v>240.0</v>
      </c>
      <c r="U233" s="32" t="str">
        <f>"－"</f>
        <v>－</v>
      </c>
      <c r="V233" s="32" t="n">
        <f>333660</f>
        <v>333660.0</v>
      </c>
      <c r="W233" s="32" t="str">
        <f>"－"</f>
        <v>－</v>
      </c>
      <c r="X233" s="36" t="n">
        <f>8</f>
        <v>8.0</v>
      </c>
    </row>
    <row r="234">
      <c r="A234" s="27" t="s">
        <v>42</v>
      </c>
      <c r="B234" s="27" t="s">
        <v>747</v>
      </c>
      <c r="C234" s="27" t="s">
        <v>748</v>
      </c>
      <c r="D234" s="27" t="s">
        <v>749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1498</f>
        <v>1498.0</v>
      </c>
      <c r="L234" s="34" t="s">
        <v>175</v>
      </c>
      <c r="M234" s="33" t="n">
        <f>1597</f>
        <v>1597.0</v>
      </c>
      <c r="N234" s="34" t="s">
        <v>49</v>
      </c>
      <c r="O234" s="33" t="n">
        <f>1467</f>
        <v>1467.0</v>
      </c>
      <c r="P234" s="34" t="s">
        <v>116</v>
      </c>
      <c r="Q234" s="33" t="n">
        <f>1597</f>
        <v>1597.0</v>
      </c>
      <c r="R234" s="34" t="s">
        <v>49</v>
      </c>
      <c r="S234" s="35" t="n">
        <f>1519.82</f>
        <v>1519.82</v>
      </c>
      <c r="T234" s="32" t="n">
        <f>240</f>
        <v>240.0</v>
      </c>
      <c r="U234" s="32" t="str">
        <f>"－"</f>
        <v>－</v>
      </c>
      <c r="V234" s="32" t="n">
        <f>364330</f>
        <v>364330.0</v>
      </c>
      <c r="W234" s="32" t="str">
        <f>"－"</f>
        <v>－</v>
      </c>
      <c r="X234" s="36" t="n">
        <f>11</f>
        <v>11.0</v>
      </c>
    </row>
    <row r="235">
      <c r="A235" s="27" t="s">
        <v>42</v>
      </c>
      <c r="B235" s="27" t="s">
        <v>750</v>
      </c>
      <c r="C235" s="27" t="s">
        <v>751</v>
      </c>
      <c r="D235" s="27" t="s">
        <v>752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20000</f>
        <v>20000.0</v>
      </c>
      <c r="L235" s="34" t="s">
        <v>48</v>
      </c>
      <c r="M235" s="33" t="n">
        <f>22080</f>
        <v>22080.0</v>
      </c>
      <c r="N235" s="34" t="s">
        <v>49</v>
      </c>
      <c r="O235" s="33" t="n">
        <f>19820</f>
        <v>19820.0</v>
      </c>
      <c r="P235" s="34" t="s">
        <v>50</v>
      </c>
      <c r="Q235" s="33" t="n">
        <f>22080</f>
        <v>22080.0</v>
      </c>
      <c r="R235" s="34" t="s">
        <v>49</v>
      </c>
      <c r="S235" s="35" t="n">
        <f>20761.33</f>
        <v>20761.33</v>
      </c>
      <c r="T235" s="32" t="n">
        <f>51852</f>
        <v>51852.0</v>
      </c>
      <c r="U235" s="32" t="n">
        <f>45000</f>
        <v>45000.0</v>
      </c>
      <c r="V235" s="32" t="n">
        <f>1117576480</f>
        <v>1.11757648E9</v>
      </c>
      <c r="W235" s="32" t="n">
        <f>970641000</f>
        <v>9.70641E8</v>
      </c>
      <c r="X235" s="36" t="n">
        <f>15</f>
        <v>15.0</v>
      </c>
    </row>
    <row r="236">
      <c r="A236" s="27" t="s">
        <v>42</v>
      </c>
      <c r="B236" s="27" t="s">
        <v>753</v>
      </c>
      <c r="C236" s="27" t="s">
        <v>754</v>
      </c>
      <c r="D236" s="27" t="s">
        <v>755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13530</f>
        <v>13530.0</v>
      </c>
      <c r="L236" s="34" t="s">
        <v>174</v>
      </c>
      <c r="M236" s="33" t="n">
        <f>13640</f>
        <v>13640.0</v>
      </c>
      <c r="N236" s="34" t="s">
        <v>92</v>
      </c>
      <c r="O236" s="33" t="n">
        <f>13530</f>
        <v>13530.0</v>
      </c>
      <c r="P236" s="34" t="s">
        <v>174</v>
      </c>
      <c r="Q236" s="33" t="n">
        <f>13640</f>
        <v>13640.0</v>
      </c>
      <c r="R236" s="34" t="s">
        <v>92</v>
      </c>
      <c r="S236" s="35" t="n">
        <f>13590</f>
        <v>13590.0</v>
      </c>
      <c r="T236" s="32" t="n">
        <f>3</f>
        <v>3.0</v>
      </c>
      <c r="U236" s="32" t="str">
        <f>"－"</f>
        <v>－</v>
      </c>
      <c r="V236" s="32" t="n">
        <f>40710</f>
        <v>40710.0</v>
      </c>
      <c r="W236" s="32" t="str">
        <f>"－"</f>
        <v>－</v>
      </c>
      <c r="X236" s="36" t="n">
        <f>2</f>
        <v>2.0</v>
      </c>
    </row>
    <row r="237">
      <c r="A237" s="27" t="s">
        <v>42</v>
      </c>
      <c r="B237" s="27" t="s">
        <v>756</v>
      </c>
      <c r="C237" s="27" t="s">
        <v>757</v>
      </c>
      <c r="D237" s="27" t="s">
        <v>758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922</f>
        <v>922.0</v>
      </c>
      <c r="L237" s="34" t="s">
        <v>48</v>
      </c>
      <c r="M237" s="33" t="n">
        <f>1000</f>
        <v>1000.0</v>
      </c>
      <c r="N237" s="34" t="s">
        <v>51</v>
      </c>
      <c r="O237" s="33" t="n">
        <f>909</f>
        <v>909.0</v>
      </c>
      <c r="P237" s="34" t="s">
        <v>48</v>
      </c>
      <c r="Q237" s="33" t="n">
        <f>1000</f>
        <v>1000.0</v>
      </c>
      <c r="R237" s="34" t="s">
        <v>51</v>
      </c>
      <c r="S237" s="35" t="n">
        <f>950.39</f>
        <v>950.39</v>
      </c>
      <c r="T237" s="32" t="n">
        <f>350890</f>
        <v>350890.0</v>
      </c>
      <c r="U237" s="32" t="n">
        <f>300000</f>
        <v>300000.0</v>
      </c>
      <c r="V237" s="32" t="n">
        <f>336928610</f>
        <v>3.3692861E8</v>
      </c>
      <c r="W237" s="32" t="n">
        <f>290128000</f>
        <v>2.90128E8</v>
      </c>
      <c r="X237" s="36" t="n">
        <f>18</f>
        <v>18.0</v>
      </c>
    </row>
    <row r="238">
      <c r="A238" s="27" t="s">
        <v>42</v>
      </c>
      <c r="B238" s="27" t="s">
        <v>759</v>
      </c>
      <c r="C238" s="27" t="s">
        <v>760</v>
      </c>
      <c r="D238" s="27" t="s">
        <v>761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909</f>
        <v>909.0</v>
      </c>
      <c r="L238" s="34" t="s">
        <v>48</v>
      </c>
      <c r="M238" s="33" t="n">
        <f>993</f>
        <v>993.0</v>
      </c>
      <c r="N238" s="34" t="s">
        <v>51</v>
      </c>
      <c r="O238" s="33" t="n">
        <f>891</f>
        <v>891.0</v>
      </c>
      <c r="P238" s="34" t="s">
        <v>116</v>
      </c>
      <c r="Q238" s="33" t="n">
        <f>993</f>
        <v>993.0</v>
      </c>
      <c r="R238" s="34" t="s">
        <v>51</v>
      </c>
      <c r="S238" s="35" t="n">
        <f>939.33</f>
        <v>939.33</v>
      </c>
      <c r="T238" s="32" t="n">
        <f>219500</f>
        <v>219500.0</v>
      </c>
      <c r="U238" s="32" t="n">
        <f>172000</f>
        <v>172000.0</v>
      </c>
      <c r="V238" s="32" t="n">
        <f>201915750</f>
        <v>2.0191575E8</v>
      </c>
      <c r="W238" s="32" t="n">
        <f>157896000</f>
        <v>1.57896E8</v>
      </c>
      <c r="X238" s="36" t="n">
        <f>18</f>
        <v>18.0</v>
      </c>
    </row>
    <row r="239">
      <c r="A239" s="27" t="s">
        <v>42</v>
      </c>
      <c r="B239" s="27" t="s">
        <v>762</v>
      </c>
      <c r="C239" s="27" t="s">
        <v>763</v>
      </c>
      <c r="D239" s="27" t="s">
        <v>764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830</f>
        <v>830.0</v>
      </c>
      <c r="L239" s="34" t="s">
        <v>48</v>
      </c>
      <c r="M239" s="33" t="n">
        <f>904</f>
        <v>904.0</v>
      </c>
      <c r="N239" s="34" t="s">
        <v>48</v>
      </c>
      <c r="O239" s="33" t="n">
        <f>806</f>
        <v>806.0</v>
      </c>
      <c r="P239" s="34" t="s">
        <v>50</v>
      </c>
      <c r="Q239" s="33" t="n">
        <f>883</f>
        <v>883.0</v>
      </c>
      <c r="R239" s="34" t="s">
        <v>51</v>
      </c>
      <c r="S239" s="35" t="n">
        <f>847.5</f>
        <v>847.5</v>
      </c>
      <c r="T239" s="32" t="n">
        <f>25887</f>
        <v>25887.0</v>
      </c>
      <c r="U239" s="32" t="str">
        <f>"－"</f>
        <v>－</v>
      </c>
      <c r="V239" s="32" t="n">
        <f>21912642</f>
        <v>2.1912642E7</v>
      </c>
      <c r="W239" s="32" t="str">
        <f>"－"</f>
        <v>－</v>
      </c>
      <c r="X239" s="36" t="n">
        <f>18</f>
        <v>18.0</v>
      </c>
    </row>
    <row r="240">
      <c r="A240" s="27" t="s">
        <v>42</v>
      </c>
      <c r="B240" s="27" t="s">
        <v>765</v>
      </c>
      <c r="C240" s="27" t="s">
        <v>766</v>
      </c>
      <c r="D240" s="27" t="s">
        <v>767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9830</f>
        <v>9830.0</v>
      </c>
      <c r="L240" s="34" t="s">
        <v>48</v>
      </c>
      <c r="M240" s="33" t="n">
        <f>10040</f>
        <v>10040.0</v>
      </c>
      <c r="N240" s="34" t="s">
        <v>85</v>
      </c>
      <c r="O240" s="33" t="n">
        <f>9250</f>
        <v>9250.0</v>
      </c>
      <c r="P240" s="34" t="s">
        <v>299</v>
      </c>
      <c r="Q240" s="33" t="n">
        <f>9700</f>
        <v>9700.0</v>
      </c>
      <c r="R240" s="34" t="s">
        <v>51</v>
      </c>
      <c r="S240" s="35" t="n">
        <f>9837.78</f>
        <v>9837.78</v>
      </c>
      <c r="T240" s="32" t="n">
        <f>989</f>
        <v>989.0</v>
      </c>
      <c r="U240" s="32" t="str">
        <f>"－"</f>
        <v>－</v>
      </c>
      <c r="V240" s="32" t="n">
        <f>9681290</f>
        <v>9681290.0</v>
      </c>
      <c r="W240" s="32" t="str">
        <f>"－"</f>
        <v>－</v>
      </c>
      <c r="X240" s="36" t="n">
        <f>18</f>
        <v>18.0</v>
      </c>
    </row>
    <row r="241">
      <c r="A241" s="27" t="s">
        <v>42</v>
      </c>
      <c r="B241" s="27" t="s">
        <v>768</v>
      </c>
      <c r="C241" s="27" t="s">
        <v>769</v>
      </c>
      <c r="D241" s="27" t="s">
        <v>770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1671</f>
        <v>1671.0</v>
      </c>
      <c r="L241" s="34" t="s">
        <v>48</v>
      </c>
      <c r="M241" s="33" t="n">
        <f>1943</f>
        <v>1943.0</v>
      </c>
      <c r="N241" s="34" t="s">
        <v>103</v>
      </c>
      <c r="O241" s="33" t="n">
        <f>1652</f>
        <v>1652.0</v>
      </c>
      <c r="P241" s="34" t="s">
        <v>116</v>
      </c>
      <c r="Q241" s="33" t="n">
        <f>1838</f>
        <v>1838.0</v>
      </c>
      <c r="R241" s="34" t="s">
        <v>51</v>
      </c>
      <c r="S241" s="35" t="n">
        <f>1741.67</f>
        <v>1741.67</v>
      </c>
      <c r="T241" s="32" t="n">
        <f>8353</f>
        <v>8353.0</v>
      </c>
      <c r="U241" s="32" t="str">
        <f>"－"</f>
        <v>－</v>
      </c>
      <c r="V241" s="32" t="n">
        <f>14658667</f>
        <v>1.4658667E7</v>
      </c>
      <c r="W241" s="32" t="str">
        <f>"－"</f>
        <v>－</v>
      </c>
      <c r="X241" s="36" t="n">
        <f>18</f>
        <v>18.0</v>
      </c>
    </row>
    <row r="242">
      <c r="A242" s="27" t="s">
        <v>42</v>
      </c>
      <c r="B242" s="27" t="s">
        <v>771</v>
      </c>
      <c r="C242" s="27" t="s">
        <v>772</v>
      </c>
      <c r="D242" s="27" t="s">
        <v>773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1046</f>
        <v>1046.0</v>
      </c>
      <c r="L242" s="34" t="s">
        <v>48</v>
      </c>
      <c r="M242" s="33" t="n">
        <f>1083</f>
        <v>1083.0</v>
      </c>
      <c r="N242" s="34" t="s">
        <v>92</v>
      </c>
      <c r="O242" s="33" t="n">
        <f>1016</f>
        <v>1016.0</v>
      </c>
      <c r="P242" s="34" t="s">
        <v>175</v>
      </c>
      <c r="Q242" s="33" t="n">
        <f>1082</f>
        <v>1082.0</v>
      </c>
      <c r="R242" s="34" t="s">
        <v>299</v>
      </c>
      <c r="S242" s="35" t="n">
        <f>1050.83</f>
        <v>1050.83</v>
      </c>
      <c r="T242" s="32" t="n">
        <f>160</f>
        <v>160.0</v>
      </c>
      <c r="U242" s="32" t="str">
        <f>"－"</f>
        <v>－</v>
      </c>
      <c r="V242" s="32" t="n">
        <f>170680</f>
        <v>170680.0</v>
      </c>
      <c r="W242" s="32" t="str">
        <f>"－"</f>
        <v>－</v>
      </c>
      <c r="X242" s="36" t="n">
        <f>6</f>
        <v>6.0</v>
      </c>
    </row>
    <row r="243">
      <c r="A243" s="27" t="s">
        <v>42</v>
      </c>
      <c r="B243" s="27" t="s">
        <v>774</v>
      </c>
      <c r="C243" s="27" t="s">
        <v>775</v>
      </c>
      <c r="D243" s="27" t="s">
        <v>776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1000</f>
        <v>1000.0</v>
      </c>
      <c r="L243" s="34" t="s">
        <v>48</v>
      </c>
      <c r="M243" s="33" t="n">
        <f>1035</f>
        <v>1035.0</v>
      </c>
      <c r="N243" s="34" t="s">
        <v>50</v>
      </c>
      <c r="O243" s="33" t="n">
        <f>993</f>
        <v>993.0</v>
      </c>
      <c r="P243" s="34" t="s">
        <v>96</v>
      </c>
      <c r="Q243" s="33" t="n">
        <f>1009</f>
        <v>1009.0</v>
      </c>
      <c r="R243" s="34" t="s">
        <v>51</v>
      </c>
      <c r="S243" s="35" t="n">
        <f>1003.13</f>
        <v>1003.13</v>
      </c>
      <c r="T243" s="32" t="n">
        <f>6940</f>
        <v>6940.0</v>
      </c>
      <c r="U243" s="32" t="str">
        <f>"－"</f>
        <v>－</v>
      </c>
      <c r="V243" s="32" t="n">
        <f>6991220</f>
        <v>6991220.0</v>
      </c>
      <c r="W243" s="32" t="str">
        <f>"－"</f>
        <v>－</v>
      </c>
      <c r="X243" s="36" t="n">
        <f>16</f>
        <v>16.0</v>
      </c>
    </row>
    <row r="244">
      <c r="A244" s="27" t="s">
        <v>42</v>
      </c>
      <c r="B244" s="27" t="s">
        <v>777</v>
      </c>
      <c r="C244" s="27" t="s">
        <v>778</v>
      </c>
      <c r="D244" s="27" t="s">
        <v>779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1590</f>
        <v>1590.0</v>
      </c>
      <c r="L244" s="34" t="s">
        <v>48</v>
      </c>
      <c r="M244" s="33" t="n">
        <f>1749</f>
        <v>1749.0</v>
      </c>
      <c r="N244" s="34" t="s">
        <v>51</v>
      </c>
      <c r="O244" s="33" t="n">
        <f>1579</f>
        <v>1579.0</v>
      </c>
      <c r="P244" s="34" t="s">
        <v>116</v>
      </c>
      <c r="Q244" s="33" t="n">
        <f>1749</f>
        <v>1749.0</v>
      </c>
      <c r="R244" s="34" t="s">
        <v>51</v>
      </c>
      <c r="S244" s="35" t="n">
        <f>1640.11</f>
        <v>1640.11</v>
      </c>
      <c r="T244" s="32" t="n">
        <f>25110</f>
        <v>25110.0</v>
      </c>
      <c r="U244" s="32" t="str">
        <f>"－"</f>
        <v>－</v>
      </c>
      <c r="V244" s="32" t="n">
        <f>41509940</f>
        <v>4.150994E7</v>
      </c>
      <c r="W244" s="32" t="str">
        <f>"－"</f>
        <v>－</v>
      </c>
      <c r="X244" s="36" t="n">
        <f>18</f>
        <v>18.0</v>
      </c>
    </row>
    <row r="245">
      <c r="A245" s="27" t="s">
        <v>42</v>
      </c>
      <c r="B245" s="27" t="s">
        <v>780</v>
      </c>
      <c r="C245" s="27" t="s">
        <v>781</v>
      </c>
      <c r="D245" s="27" t="s">
        <v>782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1595</f>
        <v>1595.0</v>
      </c>
      <c r="L245" s="34" t="s">
        <v>48</v>
      </c>
      <c r="M245" s="33" t="n">
        <f>1725</f>
        <v>1725.0</v>
      </c>
      <c r="N245" s="34" t="s">
        <v>51</v>
      </c>
      <c r="O245" s="33" t="n">
        <f>1563</f>
        <v>1563.0</v>
      </c>
      <c r="P245" s="34" t="s">
        <v>116</v>
      </c>
      <c r="Q245" s="33" t="n">
        <f>1725</f>
        <v>1725.0</v>
      </c>
      <c r="R245" s="34" t="s">
        <v>51</v>
      </c>
      <c r="S245" s="35" t="n">
        <f>1635.65</f>
        <v>1635.65</v>
      </c>
      <c r="T245" s="32" t="n">
        <f>4190</f>
        <v>4190.0</v>
      </c>
      <c r="U245" s="32" t="str">
        <f>"－"</f>
        <v>－</v>
      </c>
      <c r="V245" s="32" t="n">
        <f>6921150</f>
        <v>6921150.0</v>
      </c>
      <c r="W245" s="32" t="str">
        <f>"－"</f>
        <v>－</v>
      </c>
      <c r="X245" s="36" t="n">
        <f>17</f>
        <v>17.0</v>
      </c>
    </row>
    <row r="246">
      <c r="A246" s="27" t="s">
        <v>42</v>
      </c>
      <c r="B246" s="27" t="s">
        <v>783</v>
      </c>
      <c r="C246" s="27" t="s">
        <v>784</v>
      </c>
      <c r="D246" s="27" t="s">
        <v>785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1430</f>
        <v>1430.0</v>
      </c>
      <c r="L246" s="34" t="s">
        <v>48</v>
      </c>
      <c r="M246" s="33" t="n">
        <f>1577</f>
        <v>1577.0</v>
      </c>
      <c r="N246" s="34" t="s">
        <v>49</v>
      </c>
      <c r="O246" s="33" t="n">
        <f>1425</f>
        <v>1425.0</v>
      </c>
      <c r="P246" s="34" t="s">
        <v>50</v>
      </c>
      <c r="Q246" s="33" t="n">
        <f>1577</f>
        <v>1577.0</v>
      </c>
      <c r="R246" s="34" t="s">
        <v>49</v>
      </c>
      <c r="S246" s="35" t="n">
        <f>1490.56</f>
        <v>1490.56</v>
      </c>
      <c r="T246" s="32" t="n">
        <f>720</f>
        <v>720.0</v>
      </c>
      <c r="U246" s="32" t="str">
        <f>"－"</f>
        <v>－</v>
      </c>
      <c r="V246" s="32" t="n">
        <f>1057920</f>
        <v>1057920.0</v>
      </c>
      <c r="W246" s="32" t="str">
        <f>"－"</f>
        <v>－</v>
      </c>
      <c r="X246" s="36" t="n">
        <f>9</f>
        <v>9.0</v>
      </c>
    </row>
    <row r="247">
      <c r="A247" s="27" t="s">
        <v>42</v>
      </c>
      <c r="B247" s="27" t="s">
        <v>786</v>
      </c>
      <c r="C247" s="27" t="s">
        <v>787</v>
      </c>
      <c r="D247" s="27" t="s">
        <v>788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8850</f>
        <v>8850.0</v>
      </c>
      <c r="L247" s="34" t="s">
        <v>48</v>
      </c>
      <c r="M247" s="33" t="n">
        <f>9420</f>
        <v>9420.0</v>
      </c>
      <c r="N247" s="34" t="s">
        <v>49</v>
      </c>
      <c r="O247" s="33" t="n">
        <f>8560</f>
        <v>8560.0</v>
      </c>
      <c r="P247" s="34" t="s">
        <v>312</v>
      </c>
      <c r="Q247" s="33" t="n">
        <f>9280</f>
        <v>9280.0</v>
      </c>
      <c r="R247" s="34" t="s">
        <v>51</v>
      </c>
      <c r="S247" s="35" t="n">
        <f>8984.44</f>
        <v>8984.44</v>
      </c>
      <c r="T247" s="32" t="n">
        <f>150780</f>
        <v>150780.0</v>
      </c>
      <c r="U247" s="32" t="n">
        <f>66524</f>
        <v>66524.0</v>
      </c>
      <c r="V247" s="32" t="n">
        <f>1370393090</f>
        <v>1.37039309E9</v>
      </c>
      <c r="W247" s="32" t="n">
        <f>612007860</f>
        <v>6.1200786E8</v>
      </c>
      <c r="X247" s="36" t="n">
        <f>18</f>
        <v>18.0</v>
      </c>
    </row>
    <row r="248">
      <c r="A248" s="27" t="s">
        <v>42</v>
      </c>
      <c r="B248" s="27" t="s">
        <v>789</v>
      </c>
      <c r="C248" s="27" t="s">
        <v>790</v>
      </c>
      <c r="D248" s="27" t="s">
        <v>791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8530</f>
        <v>8530.0</v>
      </c>
      <c r="L248" s="34" t="s">
        <v>48</v>
      </c>
      <c r="M248" s="33" t="n">
        <f>9150</f>
        <v>9150.0</v>
      </c>
      <c r="N248" s="34" t="s">
        <v>51</v>
      </c>
      <c r="O248" s="33" t="n">
        <f>8320</f>
        <v>8320.0</v>
      </c>
      <c r="P248" s="34" t="s">
        <v>50</v>
      </c>
      <c r="Q248" s="33" t="n">
        <f>8950</f>
        <v>8950.0</v>
      </c>
      <c r="R248" s="34" t="s">
        <v>51</v>
      </c>
      <c r="S248" s="35" t="n">
        <f>8705.56</f>
        <v>8705.56</v>
      </c>
      <c r="T248" s="32" t="n">
        <f>45227</f>
        <v>45227.0</v>
      </c>
      <c r="U248" s="32" t="n">
        <f>11227</f>
        <v>11227.0</v>
      </c>
      <c r="V248" s="32" t="n">
        <f>397060310</f>
        <v>3.9706031E8</v>
      </c>
      <c r="W248" s="32" t="n">
        <f>101490340</f>
        <v>1.0149034E8</v>
      </c>
      <c r="X248" s="36" t="n">
        <f>18</f>
        <v>18.0</v>
      </c>
    </row>
    <row r="249">
      <c r="A249" s="27" t="s">
        <v>42</v>
      </c>
      <c r="B249" s="27" t="s">
        <v>792</v>
      </c>
      <c r="C249" s="27" t="s">
        <v>793</v>
      </c>
      <c r="D249" s="27" t="s">
        <v>794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19350</f>
        <v>19350.0</v>
      </c>
      <c r="L249" s="34" t="s">
        <v>68</v>
      </c>
      <c r="M249" s="33" t="n">
        <f>20800</f>
        <v>20800.0</v>
      </c>
      <c r="N249" s="34" t="s">
        <v>49</v>
      </c>
      <c r="O249" s="33" t="n">
        <f>19350</f>
        <v>19350.0</v>
      </c>
      <c r="P249" s="34" t="s">
        <v>68</v>
      </c>
      <c r="Q249" s="33" t="n">
        <f>20630</f>
        <v>20630.0</v>
      </c>
      <c r="R249" s="34" t="s">
        <v>49</v>
      </c>
      <c r="S249" s="35" t="n">
        <f>19990</f>
        <v>19990.0</v>
      </c>
      <c r="T249" s="32" t="n">
        <f>16</f>
        <v>16.0</v>
      </c>
      <c r="U249" s="32" t="str">
        <f>"－"</f>
        <v>－</v>
      </c>
      <c r="V249" s="32" t="n">
        <f>328330</f>
        <v>328330.0</v>
      </c>
      <c r="W249" s="32" t="str">
        <f>"－"</f>
        <v>－</v>
      </c>
      <c r="X249" s="36" t="n">
        <f>2</f>
        <v>2.0</v>
      </c>
    </row>
    <row r="250">
      <c r="A250" s="27" t="s">
        <v>42</v>
      </c>
      <c r="B250" s="27" t="s">
        <v>795</v>
      </c>
      <c r="C250" s="27" t="s">
        <v>796</v>
      </c>
      <c r="D250" s="27" t="s">
        <v>797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2776</f>
        <v>2776.0</v>
      </c>
      <c r="L250" s="34" t="s">
        <v>48</v>
      </c>
      <c r="M250" s="33" t="n">
        <f>2777</f>
        <v>2777.0</v>
      </c>
      <c r="N250" s="34" t="s">
        <v>48</v>
      </c>
      <c r="O250" s="33" t="n">
        <f>2744</f>
        <v>2744.0</v>
      </c>
      <c r="P250" s="34" t="s">
        <v>174</v>
      </c>
      <c r="Q250" s="33" t="n">
        <f>2758</f>
        <v>2758.0</v>
      </c>
      <c r="R250" s="34" t="s">
        <v>51</v>
      </c>
      <c r="S250" s="35" t="n">
        <f>2761.72</f>
        <v>2761.72</v>
      </c>
      <c r="T250" s="32" t="n">
        <f>47686</f>
        <v>47686.0</v>
      </c>
      <c r="U250" s="32" t="str">
        <f>"－"</f>
        <v>－</v>
      </c>
      <c r="V250" s="32" t="n">
        <f>131759052</f>
        <v>1.31759052E8</v>
      </c>
      <c r="W250" s="32" t="str">
        <f>"－"</f>
        <v>－</v>
      </c>
      <c r="X250" s="36" t="n">
        <f>18</f>
        <v>18.0</v>
      </c>
    </row>
    <row r="251">
      <c r="A251" s="27" t="s">
        <v>42</v>
      </c>
      <c r="B251" s="27" t="s">
        <v>798</v>
      </c>
      <c r="C251" s="27" t="s">
        <v>799</v>
      </c>
      <c r="D251" s="27" t="s">
        <v>800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2085</f>
        <v>2085.0</v>
      </c>
      <c r="L251" s="34" t="s">
        <v>48</v>
      </c>
      <c r="M251" s="33" t="n">
        <f>2225</f>
        <v>2225.0</v>
      </c>
      <c r="N251" s="34" t="s">
        <v>49</v>
      </c>
      <c r="O251" s="33" t="n">
        <f>1999</f>
        <v>1999.0</v>
      </c>
      <c r="P251" s="34" t="s">
        <v>312</v>
      </c>
      <c r="Q251" s="33" t="n">
        <f>2191</f>
        <v>2191.0</v>
      </c>
      <c r="R251" s="34" t="s">
        <v>51</v>
      </c>
      <c r="S251" s="35" t="n">
        <f>2101.22</f>
        <v>2101.22</v>
      </c>
      <c r="T251" s="32" t="n">
        <f>12400</f>
        <v>12400.0</v>
      </c>
      <c r="U251" s="32" t="str">
        <f>"－"</f>
        <v>－</v>
      </c>
      <c r="V251" s="32" t="n">
        <f>26000260</f>
        <v>2.600026E7</v>
      </c>
      <c r="W251" s="32" t="str">
        <f>"－"</f>
        <v>－</v>
      </c>
      <c r="X251" s="36" t="n">
        <f>18</f>
        <v>18.0</v>
      </c>
    </row>
    <row r="252">
      <c r="A252" s="27" t="s">
        <v>42</v>
      </c>
      <c r="B252" s="27" t="s">
        <v>801</v>
      </c>
      <c r="C252" s="27" t="s">
        <v>802</v>
      </c>
      <c r="D252" s="27" t="s">
        <v>803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97200</f>
        <v>97200.0</v>
      </c>
      <c r="L252" s="34" t="s">
        <v>48</v>
      </c>
      <c r="M252" s="33" t="n">
        <f>109700</f>
        <v>109700.0</v>
      </c>
      <c r="N252" s="34" t="s">
        <v>61</v>
      </c>
      <c r="O252" s="33" t="n">
        <f>94000</f>
        <v>94000.0</v>
      </c>
      <c r="P252" s="34" t="s">
        <v>50</v>
      </c>
      <c r="Q252" s="33" t="n">
        <f>105500</f>
        <v>105500.0</v>
      </c>
      <c r="R252" s="34" t="s">
        <v>51</v>
      </c>
      <c r="S252" s="35" t="n">
        <f>101550</f>
        <v>101550.0</v>
      </c>
      <c r="T252" s="32" t="n">
        <f>20865</f>
        <v>20865.0</v>
      </c>
      <c r="U252" s="32" t="n">
        <f>2598</f>
        <v>2598.0</v>
      </c>
      <c r="V252" s="32" t="n">
        <f>2123452257</f>
        <v>2.123452257E9</v>
      </c>
      <c r="W252" s="32" t="n">
        <f>263399857</f>
        <v>2.63399857E8</v>
      </c>
      <c r="X252" s="36" t="n">
        <f>18</f>
        <v>18.0</v>
      </c>
    </row>
    <row r="253">
      <c r="A253" s="27" t="s">
        <v>42</v>
      </c>
      <c r="B253" s="27" t="s">
        <v>804</v>
      </c>
      <c r="C253" s="27" t="s">
        <v>805</v>
      </c>
      <c r="D253" s="27" t="s">
        <v>806</v>
      </c>
      <c r="E253" s="28" t="s">
        <v>46</v>
      </c>
      <c r="F253" s="29" t="s">
        <v>46</v>
      </c>
      <c r="G253" s="30" t="s">
        <v>46</v>
      </c>
      <c r="H253" s="31"/>
      <c r="I253" s="31" t="s">
        <v>635</v>
      </c>
      <c r="J253" s="32" t="n">
        <v>1.0</v>
      </c>
      <c r="K253" s="33" t="n">
        <f>92700</f>
        <v>92700.0</v>
      </c>
      <c r="L253" s="34" t="s">
        <v>48</v>
      </c>
      <c r="M253" s="33" t="n">
        <f>105400</f>
        <v>105400.0</v>
      </c>
      <c r="N253" s="34" t="s">
        <v>61</v>
      </c>
      <c r="O253" s="33" t="n">
        <f>91200</f>
        <v>91200.0</v>
      </c>
      <c r="P253" s="34" t="s">
        <v>48</v>
      </c>
      <c r="Q253" s="33" t="n">
        <f>103000</f>
        <v>103000.0</v>
      </c>
      <c r="R253" s="34" t="s">
        <v>51</v>
      </c>
      <c r="S253" s="35" t="n">
        <f>100316.67</f>
        <v>100316.67</v>
      </c>
      <c r="T253" s="32" t="n">
        <f>26675</f>
        <v>26675.0</v>
      </c>
      <c r="U253" s="32" t="n">
        <f>5603</f>
        <v>5603.0</v>
      </c>
      <c r="V253" s="32" t="n">
        <f>2672163595</f>
        <v>2.672163595E9</v>
      </c>
      <c r="W253" s="32" t="n">
        <f>561920595</f>
        <v>5.61920595E8</v>
      </c>
      <c r="X253" s="36" t="n">
        <f>18</f>
        <v>18.0</v>
      </c>
    </row>
    <row r="254">
      <c r="A254" s="27" t="s">
        <v>42</v>
      </c>
      <c r="B254" s="27" t="s">
        <v>807</v>
      </c>
      <c r="C254" s="27" t="s">
        <v>808</v>
      </c>
      <c r="D254" s="27" t="s">
        <v>809</v>
      </c>
      <c r="E254" s="28" t="s">
        <v>46</v>
      </c>
      <c r="F254" s="29" t="s">
        <v>46</v>
      </c>
      <c r="G254" s="30" t="s">
        <v>46</v>
      </c>
      <c r="H254" s="31"/>
      <c r="I254" s="31" t="s">
        <v>635</v>
      </c>
      <c r="J254" s="32" t="n">
        <v>1.0</v>
      </c>
      <c r="K254" s="33" t="n">
        <f>121600</f>
        <v>121600.0</v>
      </c>
      <c r="L254" s="34" t="s">
        <v>48</v>
      </c>
      <c r="M254" s="33" t="n">
        <f>134300</f>
        <v>134300.0</v>
      </c>
      <c r="N254" s="34" t="s">
        <v>175</v>
      </c>
      <c r="O254" s="33" t="n">
        <f>119300</f>
        <v>119300.0</v>
      </c>
      <c r="P254" s="34" t="s">
        <v>48</v>
      </c>
      <c r="Q254" s="33" t="n">
        <f>131100</f>
        <v>131100.0</v>
      </c>
      <c r="R254" s="34" t="s">
        <v>51</v>
      </c>
      <c r="S254" s="35" t="n">
        <f>127494.44</f>
        <v>127494.44</v>
      </c>
      <c r="T254" s="32" t="n">
        <f>66332</f>
        <v>66332.0</v>
      </c>
      <c r="U254" s="32" t="n">
        <f>13277</f>
        <v>13277.0</v>
      </c>
      <c r="V254" s="32" t="n">
        <f>8476258088</f>
        <v>8.476258088E9</v>
      </c>
      <c r="W254" s="32" t="n">
        <f>1680611288</f>
        <v>1.680611288E9</v>
      </c>
      <c r="X254" s="36" t="n">
        <f>18</f>
        <v>18.0</v>
      </c>
    </row>
    <row r="255">
      <c r="A255" s="27" t="s">
        <v>42</v>
      </c>
      <c r="B255" s="27" t="s">
        <v>810</v>
      </c>
      <c r="C255" s="27" t="s">
        <v>811</v>
      </c>
      <c r="D255" s="27" t="s">
        <v>812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642000</f>
        <v>642000.0</v>
      </c>
      <c r="L255" s="34" t="s">
        <v>48</v>
      </c>
      <c r="M255" s="33" t="n">
        <f>665000</f>
        <v>665000.0</v>
      </c>
      <c r="N255" s="34" t="s">
        <v>61</v>
      </c>
      <c r="O255" s="33" t="n">
        <f>594000</f>
        <v>594000.0</v>
      </c>
      <c r="P255" s="34" t="s">
        <v>116</v>
      </c>
      <c r="Q255" s="33" t="n">
        <f>653000</f>
        <v>653000.0</v>
      </c>
      <c r="R255" s="34" t="s">
        <v>51</v>
      </c>
      <c r="S255" s="35" t="n">
        <f>630111.11</f>
        <v>630111.11</v>
      </c>
      <c r="T255" s="32" t="n">
        <f>43203</f>
        <v>43203.0</v>
      </c>
      <c r="U255" s="32" t="n">
        <f>6084</f>
        <v>6084.0</v>
      </c>
      <c r="V255" s="32" t="n">
        <f>27318905010</f>
        <v>2.731890501E10</v>
      </c>
      <c r="W255" s="32" t="n">
        <f>3859078010</f>
        <v>3.85907801E9</v>
      </c>
      <c r="X255" s="36" t="n">
        <f>18</f>
        <v>18.0</v>
      </c>
    </row>
    <row r="256">
      <c r="A256" s="27" t="s">
        <v>42</v>
      </c>
      <c r="B256" s="27" t="s">
        <v>813</v>
      </c>
      <c r="C256" s="27" t="s">
        <v>814</v>
      </c>
      <c r="D256" s="27" t="s">
        <v>815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74900</f>
        <v>74900.0</v>
      </c>
      <c r="L256" s="34" t="s">
        <v>48</v>
      </c>
      <c r="M256" s="33" t="n">
        <f>86700</f>
        <v>86700.0</v>
      </c>
      <c r="N256" s="34" t="s">
        <v>61</v>
      </c>
      <c r="O256" s="33" t="n">
        <f>73200</f>
        <v>73200.0</v>
      </c>
      <c r="P256" s="34" t="s">
        <v>116</v>
      </c>
      <c r="Q256" s="33" t="n">
        <f>84700</f>
        <v>84700.0</v>
      </c>
      <c r="R256" s="34" t="s">
        <v>51</v>
      </c>
      <c r="S256" s="35" t="n">
        <f>79488.89</f>
        <v>79488.89</v>
      </c>
      <c r="T256" s="32" t="n">
        <f>237531</f>
        <v>237531.0</v>
      </c>
      <c r="U256" s="32" t="n">
        <f>35233</f>
        <v>35233.0</v>
      </c>
      <c r="V256" s="32" t="n">
        <f>18932749793</f>
        <v>1.8932749793E10</v>
      </c>
      <c r="W256" s="32" t="n">
        <f>2826125993</f>
        <v>2.826125993E9</v>
      </c>
      <c r="X256" s="36" t="n">
        <f>18</f>
        <v>18.0</v>
      </c>
    </row>
    <row r="257">
      <c r="A257" s="27" t="s">
        <v>42</v>
      </c>
      <c r="B257" s="27" t="s">
        <v>816</v>
      </c>
      <c r="C257" s="27" t="s">
        <v>817</v>
      </c>
      <c r="D257" s="27" t="s">
        <v>818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138300</f>
        <v>138300.0</v>
      </c>
      <c r="L257" s="34" t="s">
        <v>48</v>
      </c>
      <c r="M257" s="33" t="n">
        <f>147200</f>
        <v>147200.0</v>
      </c>
      <c r="N257" s="34" t="s">
        <v>51</v>
      </c>
      <c r="O257" s="33" t="n">
        <f>130100</f>
        <v>130100.0</v>
      </c>
      <c r="P257" s="34" t="s">
        <v>312</v>
      </c>
      <c r="Q257" s="33" t="n">
        <f>145500</f>
        <v>145500.0</v>
      </c>
      <c r="R257" s="34" t="s">
        <v>51</v>
      </c>
      <c r="S257" s="35" t="n">
        <f>140116.67</f>
        <v>140116.67</v>
      </c>
      <c r="T257" s="32" t="n">
        <f>134005</f>
        <v>134005.0</v>
      </c>
      <c r="U257" s="32" t="n">
        <f>23082</f>
        <v>23082.0</v>
      </c>
      <c r="V257" s="32" t="n">
        <f>18729844638</f>
        <v>1.8729844638E10</v>
      </c>
      <c r="W257" s="32" t="n">
        <f>3217425638</f>
        <v>3.217425638E9</v>
      </c>
      <c r="X257" s="36" t="n">
        <f>18</f>
        <v>18.0</v>
      </c>
    </row>
    <row r="258">
      <c r="A258" s="27" t="s">
        <v>42</v>
      </c>
      <c r="B258" s="27" t="s">
        <v>819</v>
      </c>
      <c r="C258" s="27" t="s">
        <v>820</v>
      </c>
      <c r="D258" s="27" t="s">
        <v>821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149200</f>
        <v>149200.0</v>
      </c>
      <c r="L258" s="34" t="s">
        <v>48</v>
      </c>
      <c r="M258" s="33" t="n">
        <f>177200</f>
        <v>177200.0</v>
      </c>
      <c r="N258" s="34" t="s">
        <v>103</v>
      </c>
      <c r="O258" s="33" t="n">
        <f>146000</f>
        <v>146000.0</v>
      </c>
      <c r="P258" s="34" t="s">
        <v>48</v>
      </c>
      <c r="Q258" s="33" t="n">
        <f>176700</f>
        <v>176700.0</v>
      </c>
      <c r="R258" s="34" t="s">
        <v>51</v>
      </c>
      <c r="S258" s="35" t="n">
        <f>163350</f>
        <v>163350.0</v>
      </c>
      <c r="T258" s="32" t="n">
        <f>157303</f>
        <v>157303.0</v>
      </c>
      <c r="U258" s="32" t="n">
        <f>28904</f>
        <v>28904.0</v>
      </c>
      <c r="V258" s="32" t="n">
        <f>25763120391</f>
        <v>2.5763120391E10</v>
      </c>
      <c r="W258" s="32" t="n">
        <f>4765416791</f>
        <v>4.765416791E9</v>
      </c>
      <c r="X258" s="36" t="n">
        <f>18</f>
        <v>18.0</v>
      </c>
    </row>
    <row r="259">
      <c r="A259" s="27" t="s">
        <v>42</v>
      </c>
      <c r="B259" s="27" t="s">
        <v>822</v>
      </c>
      <c r="C259" s="27" t="s">
        <v>823</v>
      </c>
      <c r="D259" s="27" t="s">
        <v>824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330000</f>
        <v>330000.0</v>
      </c>
      <c r="L259" s="34" t="s">
        <v>48</v>
      </c>
      <c r="M259" s="33" t="n">
        <f>354000</f>
        <v>354000.0</v>
      </c>
      <c r="N259" s="34" t="s">
        <v>464</v>
      </c>
      <c r="O259" s="33" t="n">
        <f>315500</f>
        <v>315500.0</v>
      </c>
      <c r="P259" s="34" t="s">
        <v>85</v>
      </c>
      <c r="Q259" s="33" t="n">
        <f>335500</f>
        <v>335500.0</v>
      </c>
      <c r="R259" s="34" t="s">
        <v>51</v>
      </c>
      <c r="S259" s="35" t="n">
        <f>333527.78</f>
        <v>333527.78</v>
      </c>
      <c r="T259" s="32" t="n">
        <f>123999</f>
        <v>123999.0</v>
      </c>
      <c r="U259" s="32" t="n">
        <f>27223</f>
        <v>27223.0</v>
      </c>
      <c r="V259" s="32" t="n">
        <f>41331878174</f>
        <v>4.1331878174E10</v>
      </c>
      <c r="W259" s="32" t="n">
        <f>9137737674</f>
        <v>9.137737674E9</v>
      </c>
      <c r="X259" s="36" t="n">
        <f>18</f>
        <v>18.0</v>
      </c>
    </row>
    <row r="260">
      <c r="A260" s="27" t="s">
        <v>42</v>
      </c>
      <c r="B260" s="27" t="s">
        <v>825</v>
      </c>
      <c r="C260" s="27" t="s">
        <v>826</v>
      </c>
      <c r="D260" s="27" t="s">
        <v>827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170400</f>
        <v>170400.0</v>
      </c>
      <c r="L260" s="34" t="s">
        <v>48</v>
      </c>
      <c r="M260" s="33" t="n">
        <f>181400</f>
        <v>181400.0</v>
      </c>
      <c r="N260" s="34" t="s">
        <v>51</v>
      </c>
      <c r="O260" s="33" t="n">
        <f>160600</f>
        <v>160600.0</v>
      </c>
      <c r="P260" s="34" t="s">
        <v>116</v>
      </c>
      <c r="Q260" s="33" t="n">
        <f>181300</f>
        <v>181300.0</v>
      </c>
      <c r="R260" s="34" t="s">
        <v>51</v>
      </c>
      <c r="S260" s="35" t="n">
        <f>172161.11</f>
        <v>172161.11</v>
      </c>
      <c r="T260" s="32" t="n">
        <f>65441</f>
        <v>65441.0</v>
      </c>
      <c r="U260" s="32" t="n">
        <f>8748</f>
        <v>8748.0</v>
      </c>
      <c r="V260" s="32" t="n">
        <f>11250656689</f>
        <v>1.1250656689E10</v>
      </c>
      <c r="W260" s="32" t="n">
        <f>1511627389</f>
        <v>1.511627389E9</v>
      </c>
      <c r="X260" s="36" t="n">
        <f>18</f>
        <v>18.0</v>
      </c>
    </row>
    <row r="261">
      <c r="A261" s="27" t="s">
        <v>42</v>
      </c>
      <c r="B261" s="27" t="s">
        <v>828</v>
      </c>
      <c r="C261" s="27" t="s">
        <v>829</v>
      </c>
      <c r="D261" s="27" t="s">
        <v>830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313500</f>
        <v>313500.0</v>
      </c>
      <c r="L261" s="34" t="s">
        <v>48</v>
      </c>
      <c r="M261" s="33" t="n">
        <f>392000</f>
        <v>392000.0</v>
      </c>
      <c r="N261" s="34" t="s">
        <v>464</v>
      </c>
      <c r="O261" s="33" t="n">
        <f>310500</f>
        <v>310500.0</v>
      </c>
      <c r="P261" s="34" t="s">
        <v>48</v>
      </c>
      <c r="Q261" s="33" t="n">
        <f>366500</f>
        <v>366500.0</v>
      </c>
      <c r="R261" s="34" t="s">
        <v>51</v>
      </c>
      <c r="S261" s="35" t="n">
        <f>354638.89</f>
        <v>354638.89</v>
      </c>
      <c r="T261" s="32" t="n">
        <f>110332</f>
        <v>110332.0</v>
      </c>
      <c r="U261" s="32" t="n">
        <f>24566</f>
        <v>24566.0</v>
      </c>
      <c r="V261" s="32" t="n">
        <f>39371697271</f>
        <v>3.9371697271E10</v>
      </c>
      <c r="W261" s="32" t="n">
        <f>8796177771</f>
        <v>8.796177771E9</v>
      </c>
      <c r="X261" s="36" t="n">
        <f>18</f>
        <v>18.0</v>
      </c>
    </row>
    <row r="262">
      <c r="A262" s="27" t="s">
        <v>42</v>
      </c>
      <c r="B262" s="27" t="s">
        <v>831</v>
      </c>
      <c r="C262" s="27" t="s">
        <v>832</v>
      </c>
      <c r="D262" s="27" t="s">
        <v>833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137500</f>
        <v>137500.0</v>
      </c>
      <c r="L262" s="34" t="s">
        <v>48</v>
      </c>
      <c r="M262" s="33" t="n">
        <f>149100</f>
        <v>149100.0</v>
      </c>
      <c r="N262" s="34" t="s">
        <v>51</v>
      </c>
      <c r="O262" s="33" t="n">
        <f>132800</f>
        <v>132800.0</v>
      </c>
      <c r="P262" s="34" t="s">
        <v>68</v>
      </c>
      <c r="Q262" s="33" t="n">
        <f>143700</f>
        <v>143700.0</v>
      </c>
      <c r="R262" s="34" t="s">
        <v>51</v>
      </c>
      <c r="S262" s="35" t="n">
        <f>139450</f>
        <v>139450.0</v>
      </c>
      <c r="T262" s="32" t="n">
        <f>888543</f>
        <v>888543.0</v>
      </c>
      <c r="U262" s="32" t="n">
        <f>275473</f>
        <v>275473.0</v>
      </c>
      <c r="V262" s="32" t="n">
        <f>124980256422</f>
        <v>1.24980256422E11</v>
      </c>
      <c r="W262" s="32" t="n">
        <f>38907813022</f>
        <v>3.8907813022E10</v>
      </c>
      <c r="X262" s="36" t="n">
        <f>18</f>
        <v>18.0</v>
      </c>
    </row>
    <row r="263">
      <c r="A263" s="27" t="s">
        <v>42</v>
      </c>
      <c r="B263" s="27" t="s">
        <v>834</v>
      </c>
      <c r="C263" s="27" t="s">
        <v>835</v>
      </c>
      <c r="D263" s="27" t="s">
        <v>836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321500</f>
        <v>321500.0</v>
      </c>
      <c r="L263" s="34" t="s">
        <v>48</v>
      </c>
      <c r="M263" s="33" t="n">
        <f>338000</f>
        <v>338000.0</v>
      </c>
      <c r="N263" s="34" t="s">
        <v>61</v>
      </c>
      <c r="O263" s="33" t="n">
        <f>295100</f>
        <v>295100.0</v>
      </c>
      <c r="P263" s="34" t="s">
        <v>116</v>
      </c>
      <c r="Q263" s="33" t="n">
        <f>326000</f>
        <v>326000.0</v>
      </c>
      <c r="R263" s="34" t="s">
        <v>51</v>
      </c>
      <c r="S263" s="35" t="n">
        <f>316361.11</f>
        <v>316361.11</v>
      </c>
      <c r="T263" s="32" t="n">
        <f>57562</f>
        <v>57562.0</v>
      </c>
      <c r="U263" s="32" t="n">
        <f>10040</f>
        <v>10040.0</v>
      </c>
      <c r="V263" s="32" t="n">
        <f>18249611868</f>
        <v>1.8249611868E10</v>
      </c>
      <c r="W263" s="32" t="n">
        <f>3191046068</f>
        <v>3.191046068E9</v>
      </c>
      <c r="X263" s="36" t="n">
        <f>18</f>
        <v>18.0</v>
      </c>
    </row>
    <row r="264">
      <c r="A264" s="27" t="s">
        <v>42</v>
      </c>
      <c r="B264" s="27" t="s">
        <v>837</v>
      </c>
      <c r="C264" s="27" t="s">
        <v>838</v>
      </c>
      <c r="D264" s="27" t="s">
        <v>839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293300</f>
        <v>293300.0</v>
      </c>
      <c r="L264" s="34" t="s">
        <v>48</v>
      </c>
      <c r="M264" s="33" t="n">
        <f>321000</f>
        <v>321000.0</v>
      </c>
      <c r="N264" s="34" t="s">
        <v>92</v>
      </c>
      <c r="O264" s="33" t="n">
        <f>285400</f>
        <v>285400.0</v>
      </c>
      <c r="P264" s="34" t="s">
        <v>50</v>
      </c>
      <c r="Q264" s="33" t="n">
        <f>304000</f>
        <v>304000.0</v>
      </c>
      <c r="R264" s="34" t="s">
        <v>51</v>
      </c>
      <c r="S264" s="35" t="n">
        <f>303255.56</f>
        <v>303255.56</v>
      </c>
      <c r="T264" s="32" t="n">
        <f>235311</f>
        <v>235311.0</v>
      </c>
      <c r="U264" s="32" t="n">
        <f>45054</f>
        <v>45054.0</v>
      </c>
      <c r="V264" s="32" t="n">
        <f>70982818671</f>
        <v>7.0982818671E10</v>
      </c>
      <c r="W264" s="32" t="n">
        <f>13586479371</f>
        <v>1.3586479371E10</v>
      </c>
      <c r="X264" s="36" t="n">
        <f>18</f>
        <v>18.0</v>
      </c>
    </row>
    <row r="265">
      <c r="A265" s="27" t="s">
        <v>42</v>
      </c>
      <c r="B265" s="27" t="s">
        <v>840</v>
      </c>
      <c r="C265" s="27" t="s">
        <v>841</v>
      </c>
      <c r="D265" s="27" t="s">
        <v>842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368000</f>
        <v>368000.0</v>
      </c>
      <c r="L265" s="34" t="s">
        <v>48</v>
      </c>
      <c r="M265" s="33" t="n">
        <f>468000</f>
        <v>468000.0</v>
      </c>
      <c r="N265" s="34" t="s">
        <v>299</v>
      </c>
      <c r="O265" s="33" t="n">
        <f>341000</f>
        <v>341000.0</v>
      </c>
      <c r="P265" s="34" t="s">
        <v>50</v>
      </c>
      <c r="Q265" s="33" t="n">
        <f>441500</f>
        <v>441500.0</v>
      </c>
      <c r="R265" s="34" t="s">
        <v>51</v>
      </c>
      <c r="S265" s="35" t="n">
        <f>400861.11</f>
        <v>400861.11</v>
      </c>
      <c r="T265" s="32" t="n">
        <f>73993</f>
        <v>73993.0</v>
      </c>
      <c r="U265" s="32" t="n">
        <f>4450</f>
        <v>4450.0</v>
      </c>
      <c r="V265" s="32" t="n">
        <f>29654025548</f>
        <v>2.9654025548E10</v>
      </c>
      <c r="W265" s="32" t="n">
        <f>1745124048</f>
        <v>1.745124048E9</v>
      </c>
      <c r="X265" s="36" t="n">
        <f>18</f>
        <v>18.0</v>
      </c>
    </row>
    <row r="266">
      <c r="A266" s="27" t="s">
        <v>42</v>
      </c>
      <c r="B266" s="27" t="s">
        <v>843</v>
      </c>
      <c r="C266" s="27" t="s">
        <v>844</v>
      </c>
      <c r="D266" s="27" t="s">
        <v>845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236700</f>
        <v>236700.0</v>
      </c>
      <c r="L266" s="34" t="s">
        <v>48</v>
      </c>
      <c r="M266" s="33" t="n">
        <f>268100</f>
        <v>268100.0</v>
      </c>
      <c r="N266" s="34" t="s">
        <v>51</v>
      </c>
      <c r="O266" s="33" t="n">
        <f>233000</f>
        <v>233000.0</v>
      </c>
      <c r="P266" s="34" t="s">
        <v>116</v>
      </c>
      <c r="Q266" s="33" t="n">
        <f>266700</f>
        <v>266700.0</v>
      </c>
      <c r="R266" s="34" t="s">
        <v>51</v>
      </c>
      <c r="S266" s="35" t="n">
        <f>248416.67</f>
        <v>248416.67</v>
      </c>
      <c r="T266" s="32" t="n">
        <f>15955</f>
        <v>15955.0</v>
      </c>
      <c r="U266" s="32" t="n">
        <f>2270</f>
        <v>2270.0</v>
      </c>
      <c r="V266" s="32" t="n">
        <f>3966852410</f>
        <v>3.96685241E9</v>
      </c>
      <c r="W266" s="32" t="n">
        <f>565686310</f>
        <v>5.6568631E8</v>
      </c>
      <c r="X266" s="36" t="n">
        <f>18</f>
        <v>18.0</v>
      </c>
    </row>
    <row r="267">
      <c r="A267" s="27" t="s">
        <v>42</v>
      </c>
      <c r="B267" s="27" t="s">
        <v>846</v>
      </c>
      <c r="C267" s="27" t="s">
        <v>847</v>
      </c>
      <c r="D267" s="27" t="s">
        <v>848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107000</f>
        <v>107000.0</v>
      </c>
      <c r="L267" s="34" t="s">
        <v>48</v>
      </c>
      <c r="M267" s="33" t="n">
        <f>119600</f>
        <v>119600.0</v>
      </c>
      <c r="N267" s="34" t="s">
        <v>61</v>
      </c>
      <c r="O267" s="33" t="n">
        <f>105600</f>
        <v>105600.0</v>
      </c>
      <c r="P267" s="34" t="s">
        <v>48</v>
      </c>
      <c r="Q267" s="33" t="n">
        <f>114000</f>
        <v>114000.0</v>
      </c>
      <c r="R267" s="34" t="s">
        <v>51</v>
      </c>
      <c r="S267" s="35" t="n">
        <f>111794.44</f>
        <v>111794.44</v>
      </c>
      <c r="T267" s="32" t="n">
        <f>179282</f>
        <v>179282.0</v>
      </c>
      <c r="U267" s="32" t="n">
        <f>32899</f>
        <v>32899.0</v>
      </c>
      <c r="V267" s="32" t="n">
        <f>20046668203</f>
        <v>2.0046668203E10</v>
      </c>
      <c r="W267" s="32" t="n">
        <f>3686058103</f>
        <v>3.686058103E9</v>
      </c>
      <c r="X267" s="36" t="n">
        <f>18</f>
        <v>18.0</v>
      </c>
    </row>
    <row r="268">
      <c r="A268" s="27" t="s">
        <v>42</v>
      </c>
      <c r="B268" s="27" t="s">
        <v>849</v>
      </c>
      <c r="C268" s="27" t="s">
        <v>850</v>
      </c>
      <c r="D268" s="27" t="s">
        <v>851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119000</f>
        <v>119000.0</v>
      </c>
      <c r="L268" s="34" t="s">
        <v>48</v>
      </c>
      <c r="M268" s="33" t="n">
        <f>139200</f>
        <v>139200.0</v>
      </c>
      <c r="N268" s="34" t="s">
        <v>51</v>
      </c>
      <c r="O268" s="33" t="n">
        <f>116400</f>
        <v>116400.0</v>
      </c>
      <c r="P268" s="34" t="s">
        <v>116</v>
      </c>
      <c r="Q268" s="33" t="n">
        <f>138600</f>
        <v>138600.0</v>
      </c>
      <c r="R268" s="34" t="s">
        <v>51</v>
      </c>
      <c r="S268" s="35" t="n">
        <f>126066.67</f>
        <v>126066.67</v>
      </c>
      <c r="T268" s="32" t="n">
        <f>141838</f>
        <v>141838.0</v>
      </c>
      <c r="U268" s="32" t="n">
        <f>25034</f>
        <v>25034.0</v>
      </c>
      <c r="V268" s="32" t="n">
        <f>17883925486</f>
        <v>1.7883925486E10</v>
      </c>
      <c r="W268" s="32" t="n">
        <f>3144447986</f>
        <v>3.144447986E9</v>
      </c>
      <c r="X268" s="36" t="n">
        <f>18</f>
        <v>18.0</v>
      </c>
    </row>
    <row r="269">
      <c r="A269" s="27" t="s">
        <v>42</v>
      </c>
      <c r="B269" s="27" t="s">
        <v>852</v>
      </c>
      <c r="C269" s="27" t="s">
        <v>853</v>
      </c>
      <c r="D269" s="27" t="s">
        <v>854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323500</f>
        <v>323500.0</v>
      </c>
      <c r="L269" s="34" t="s">
        <v>48</v>
      </c>
      <c r="M269" s="33" t="n">
        <f>383500</f>
        <v>383500.0</v>
      </c>
      <c r="N269" s="34" t="s">
        <v>51</v>
      </c>
      <c r="O269" s="33" t="n">
        <f>315000</f>
        <v>315000.0</v>
      </c>
      <c r="P269" s="34" t="s">
        <v>48</v>
      </c>
      <c r="Q269" s="33" t="n">
        <f>378500</f>
        <v>378500.0</v>
      </c>
      <c r="R269" s="34" t="s">
        <v>51</v>
      </c>
      <c r="S269" s="35" t="n">
        <f>346194.44</f>
        <v>346194.44</v>
      </c>
      <c r="T269" s="32" t="n">
        <f>44063</f>
        <v>44063.0</v>
      </c>
      <c r="U269" s="32" t="n">
        <f>8890</f>
        <v>8890.0</v>
      </c>
      <c r="V269" s="32" t="n">
        <f>15205064523</f>
        <v>1.5205064523E10</v>
      </c>
      <c r="W269" s="32" t="n">
        <f>3089467523</f>
        <v>3.089467523E9</v>
      </c>
      <c r="X269" s="36" t="n">
        <f>18</f>
        <v>18.0</v>
      </c>
    </row>
    <row r="270">
      <c r="A270" s="27" t="s">
        <v>42</v>
      </c>
      <c r="B270" s="27" t="s">
        <v>855</v>
      </c>
      <c r="C270" s="27" t="s">
        <v>856</v>
      </c>
      <c r="D270" s="27" t="s">
        <v>857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14170</f>
        <v>14170.0</v>
      </c>
      <c r="L270" s="34" t="s">
        <v>48</v>
      </c>
      <c r="M270" s="33" t="n">
        <f>15990</f>
        <v>15990.0</v>
      </c>
      <c r="N270" s="34" t="s">
        <v>61</v>
      </c>
      <c r="O270" s="33" t="n">
        <f>13810</f>
        <v>13810.0</v>
      </c>
      <c r="P270" s="34" t="s">
        <v>116</v>
      </c>
      <c r="Q270" s="33" t="n">
        <f>15650</f>
        <v>15650.0</v>
      </c>
      <c r="R270" s="34" t="s">
        <v>51</v>
      </c>
      <c r="S270" s="35" t="n">
        <f>14940</f>
        <v>14940.0</v>
      </c>
      <c r="T270" s="32" t="n">
        <f>940226</f>
        <v>940226.0</v>
      </c>
      <c r="U270" s="32" t="n">
        <f>170872</f>
        <v>170872.0</v>
      </c>
      <c r="V270" s="32" t="n">
        <f>14068628610</f>
        <v>1.406862861E10</v>
      </c>
      <c r="W270" s="32" t="n">
        <f>2584425130</f>
        <v>2.58442513E9</v>
      </c>
      <c r="X270" s="36" t="n">
        <f>18</f>
        <v>18.0</v>
      </c>
    </row>
    <row r="271">
      <c r="A271" s="27" t="s">
        <v>42</v>
      </c>
      <c r="B271" s="27" t="s">
        <v>858</v>
      </c>
      <c r="C271" s="27" t="s">
        <v>859</v>
      </c>
      <c r="D271" s="27" t="s">
        <v>860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65600</f>
        <v>65600.0</v>
      </c>
      <c r="L271" s="34" t="s">
        <v>48</v>
      </c>
      <c r="M271" s="33" t="n">
        <f>70500</f>
        <v>70500.0</v>
      </c>
      <c r="N271" s="34" t="s">
        <v>61</v>
      </c>
      <c r="O271" s="33" t="n">
        <f>61900</f>
        <v>61900.0</v>
      </c>
      <c r="P271" s="34" t="s">
        <v>116</v>
      </c>
      <c r="Q271" s="33" t="n">
        <f>67100</f>
        <v>67100.0</v>
      </c>
      <c r="R271" s="34" t="s">
        <v>51</v>
      </c>
      <c r="S271" s="35" t="n">
        <f>65400</f>
        <v>65400.0</v>
      </c>
      <c r="T271" s="32" t="n">
        <f>340438</f>
        <v>340438.0</v>
      </c>
      <c r="U271" s="32" t="n">
        <f>63891</f>
        <v>63891.0</v>
      </c>
      <c r="V271" s="32" t="n">
        <f>22345024458</f>
        <v>2.2345024458E10</v>
      </c>
      <c r="W271" s="32" t="n">
        <f>4190250158</f>
        <v>4.190250158E9</v>
      </c>
      <c r="X271" s="36" t="n">
        <f>18</f>
        <v>18.0</v>
      </c>
    </row>
    <row r="272">
      <c r="A272" s="27" t="s">
        <v>42</v>
      </c>
      <c r="B272" s="27" t="s">
        <v>861</v>
      </c>
      <c r="C272" s="27" t="s">
        <v>862</v>
      </c>
      <c r="D272" s="27" t="s">
        <v>863</v>
      </c>
      <c r="E272" s="28" t="s">
        <v>46</v>
      </c>
      <c r="F272" s="29" t="s">
        <v>46</v>
      </c>
      <c r="G272" s="30" t="s">
        <v>46</v>
      </c>
      <c r="H272" s="31"/>
      <c r="I272" s="31" t="s">
        <v>635</v>
      </c>
      <c r="J272" s="32" t="n">
        <v>1.0</v>
      </c>
      <c r="K272" s="33" t="n">
        <f>96400</f>
        <v>96400.0</v>
      </c>
      <c r="L272" s="34" t="s">
        <v>48</v>
      </c>
      <c r="M272" s="33" t="n">
        <f>106800</f>
        <v>106800.0</v>
      </c>
      <c r="N272" s="34" t="s">
        <v>61</v>
      </c>
      <c r="O272" s="33" t="n">
        <f>95600</f>
        <v>95600.0</v>
      </c>
      <c r="P272" s="34" t="s">
        <v>116</v>
      </c>
      <c r="Q272" s="33" t="n">
        <f>106500</f>
        <v>106500.0</v>
      </c>
      <c r="R272" s="34" t="s">
        <v>51</v>
      </c>
      <c r="S272" s="35" t="n">
        <f>100644.44</f>
        <v>100644.44</v>
      </c>
      <c r="T272" s="32" t="n">
        <f>28107</f>
        <v>28107.0</v>
      </c>
      <c r="U272" s="32" t="n">
        <f>2554</f>
        <v>2554.0</v>
      </c>
      <c r="V272" s="32" t="n">
        <f>2834115779</f>
        <v>2.834115779E9</v>
      </c>
      <c r="W272" s="32" t="n">
        <f>257181579</f>
        <v>2.57181579E8</v>
      </c>
      <c r="X272" s="36" t="n">
        <f>18</f>
        <v>18.0</v>
      </c>
    </row>
    <row r="273">
      <c r="A273" s="27" t="s">
        <v>42</v>
      </c>
      <c r="B273" s="27" t="s">
        <v>864</v>
      </c>
      <c r="C273" s="27" t="s">
        <v>865</v>
      </c>
      <c r="D273" s="27" t="s">
        <v>866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167700</f>
        <v>167700.0</v>
      </c>
      <c r="L273" s="34" t="s">
        <v>48</v>
      </c>
      <c r="M273" s="33" t="n">
        <f>201900</f>
        <v>201900.0</v>
      </c>
      <c r="N273" s="34" t="s">
        <v>299</v>
      </c>
      <c r="O273" s="33" t="n">
        <f>165100</f>
        <v>165100.0</v>
      </c>
      <c r="P273" s="34" t="s">
        <v>48</v>
      </c>
      <c r="Q273" s="33" t="n">
        <f>200400</f>
        <v>200400.0</v>
      </c>
      <c r="R273" s="34" t="s">
        <v>51</v>
      </c>
      <c r="S273" s="35" t="n">
        <f>190572.22</f>
        <v>190572.22</v>
      </c>
      <c r="T273" s="32" t="n">
        <f>117285</f>
        <v>117285.0</v>
      </c>
      <c r="U273" s="32" t="n">
        <f>8907</f>
        <v>8907.0</v>
      </c>
      <c r="V273" s="32" t="n">
        <f>22182411464</f>
        <v>2.2182411464E10</v>
      </c>
      <c r="W273" s="32" t="n">
        <f>1683238264</f>
        <v>1.683238264E9</v>
      </c>
      <c r="X273" s="36" t="n">
        <f>18</f>
        <v>18.0</v>
      </c>
    </row>
    <row r="274">
      <c r="A274" s="27" t="s">
        <v>42</v>
      </c>
      <c r="B274" s="27" t="s">
        <v>867</v>
      </c>
      <c r="C274" s="27" t="s">
        <v>868</v>
      </c>
      <c r="D274" s="27" t="s">
        <v>869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114700</f>
        <v>114700.0</v>
      </c>
      <c r="L274" s="34" t="s">
        <v>48</v>
      </c>
      <c r="M274" s="33" t="n">
        <f>125200</f>
        <v>125200.0</v>
      </c>
      <c r="N274" s="34" t="s">
        <v>51</v>
      </c>
      <c r="O274" s="33" t="n">
        <f>113700</f>
        <v>113700.0</v>
      </c>
      <c r="P274" s="34" t="s">
        <v>48</v>
      </c>
      <c r="Q274" s="33" t="n">
        <f>124900</f>
        <v>124900.0</v>
      </c>
      <c r="R274" s="34" t="s">
        <v>51</v>
      </c>
      <c r="S274" s="35" t="n">
        <f>119650</f>
        <v>119650.0</v>
      </c>
      <c r="T274" s="32" t="n">
        <f>19339</f>
        <v>19339.0</v>
      </c>
      <c r="U274" s="32" t="n">
        <f>2001</f>
        <v>2001.0</v>
      </c>
      <c r="V274" s="32" t="n">
        <f>2307291795</f>
        <v>2.307291795E9</v>
      </c>
      <c r="W274" s="32" t="n">
        <f>237914195</f>
        <v>2.37914195E8</v>
      </c>
      <c r="X274" s="36" t="n">
        <f>18</f>
        <v>18.0</v>
      </c>
    </row>
    <row r="275">
      <c r="A275" s="27" t="s">
        <v>42</v>
      </c>
      <c r="B275" s="27" t="s">
        <v>870</v>
      </c>
      <c r="C275" s="27" t="s">
        <v>871</v>
      </c>
      <c r="D275" s="27" t="s">
        <v>872</v>
      </c>
      <c r="E275" s="28" t="s">
        <v>46</v>
      </c>
      <c r="F275" s="29" t="s">
        <v>46</v>
      </c>
      <c r="G275" s="30" t="s">
        <v>46</v>
      </c>
      <c r="H275" s="31"/>
      <c r="I275" s="31" t="s">
        <v>635</v>
      </c>
      <c r="J275" s="32" t="n">
        <v>1.0</v>
      </c>
      <c r="K275" s="33" t="n">
        <f>92400</f>
        <v>92400.0</v>
      </c>
      <c r="L275" s="34" t="s">
        <v>48</v>
      </c>
      <c r="M275" s="33" t="n">
        <f>101900</f>
        <v>101900.0</v>
      </c>
      <c r="N275" s="34" t="s">
        <v>61</v>
      </c>
      <c r="O275" s="33" t="n">
        <f>92200</f>
        <v>92200.0</v>
      </c>
      <c r="P275" s="34" t="s">
        <v>48</v>
      </c>
      <c r="Q275" s="33" t="n">
        <f>101300</f>
        <v>101300.0</v>
      </c>
      <c r="R275" s="34" t="s">
        <v>51</v>
      </c>
      <c r="S275" s="35" t="n">
        <f>97766.67</f>
        <v>97766.67</v>
      </c>
      <c r="T275" s="32" t="n">
        <f>28391</f>
        <v>28391.0</v>
      </c>
      <c r="U275" s="32" t="n">
        <f>4568</f>
        <v>4568.0</v>
      </c>
      <c r="V275" s="32" t="n">
        <f>2774188411</f>
        <v>2.774188411E9</v>
      </c>
      <c r="W275" s="32" t="n">
        <f>444898411</f>
        <v>4.44898411E8</v>
      </c>
      <c r="X275" s="36" t="n">
        <f>18</f>
        <v>18.0</v>
      </c>
    </row>
    <row r="276">
      <c r="A276" s="27" t="s">
        <v>42</v>
      </c>
      <c r="B276" s="27" t="s">
        <v>873</v>
      </c>
      <c r="C276" s="27" t="s">
        <v>874</v>
      </c>
      <c r="D276" s="27" t="s">
        <v>875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123000</f>
        <v>123000.0</v>
      </c>
      <c r="L276" s="34" t="s">
        <v>48</v>
      </c>
      <c r="M276" s="33" t="n">
        <f>137200</f>
        <v>137200.0</v>
      </c>
      <c r="N276" s="34" t="s">
        <v>51</v>
      </c>
      <c r="O276" s="33" t="n">
        <f>115600</f>
        <v>115600.0</v>
      </c>
      <c r="P276" s="34" t="s">
        <v>68</v>
      </c>
      <c r="Q276" s="33" t="n">
        <f>132500</f>
        <v>132500.0</v>
      </c>
      <c r="R276" s="34" t="s">
        <v>51</v>
      </c>
      <c r="S276" s="35" t="n">
        <f>123177.78</f>
        <v>123177.78</v>
      </c>
      <c r="T276" s="32" t="n">
        <f>634014</f>
        <v>634014.0</v>
      </c>
      <c r="U276" s="32" t="n">
        <f>98952</f>
        <v>98952.0</v>
      </c>
      <c r="V276" s="32" t="n">
        <f>79777709112</f>
        <v>7.9777709112E10</v>
      </c>
      <c r="W276" s="32" t="n">
        <f>12471948912</f>
        <v>1.2471948912E10</v>
      </c>
      <c r="X276" s="36" t="n">
        <f>18</f>
        <v>18.0</v>
      </c>
    </row>
    <row r="277">
      <c r="A277" s="27" t="s">
        <v>42</v>
      </c>
      <c r="B277" s="27" t="s">
        <v>876</v>
      </c>
      <c r="C277" s="27" t="s">
        <v>877</v>
      </c>
      <c r="D277" s="27" t="s">
        <v>878</v>
      </c>
      <c r="E277" s="28" t="s">
        <v>46</v>
      </c>
      <c r="F277" s="29" t="s">
        <v>46</v>
      </c>
      <c r="G277" s="30" t="s">
        <v>46</v>
      </c>
      <c r="H277" s="31"/>
      <c r="I277" s="31" t="s">
        <v>635</v>
      </c>
      <c r="J277" s="32" t="n">
        <v>1.0</v>
      </c>
      <c r="K277" s="33" t="n">
        <f>59600</f>
        <v>59600.0</v>
      </c>
      <c r="L277" s="34" t="s">
        <v>48</v>
      </c>
      <c r="M277" s="33" t="n">
        <f>71000</f>
        <v>71000.0</v>
      </c>
      <c r="N277" s="34" t="s">
        <v>49</v>
      </c>
      <c r="O277" s="33" t="n">
        <f>53000</f>
        <v>53000.0</v>
      </c>
      <c r="P277" s="34" t="s">
        <v>116</v>
      </c>
      <c r="Q277" s="33" t="n">
        <f>66700</f>
        <v>66700.0</v>
      </c>
      <c r="R277" s="34" t="s">
        <v>51</v>
      </c>
      <c r="S277" s="35" t="n">
        <f>60016.67</f>
        <v>60016.67</v>
      </c>
      <c r="T277" s="32" t="n">
        <f>68231</f>
        <v>68231.0</v>
      </c>
      <c r="U277" s="32" t="n">
        <f>4368</f>
        <v>4368.0</v>
      </c>
      <c r="V277" s="32" t="n">
        <f>4158278018</f>
        <v>4.158278018E9</v>
      </c>
      <c r="W277" s="32" t="n">
        <f>264228518</f>
        <v>2.64228518E8</v>
      </c>
      <c r="X277" s="36" t="n">
        <f>18</f>
        <v>18.0</v>
      </c>
    </row>
    <row r="278">
      <c r="A278" s="27" t="s">
        <v>42</v>
      </c>
      <c r="B278" s="27" t="s">
        <v>879</v>
      </c>
      <c r="C278" s="27" t="s">
        <v>880</v>
      </c>
      <c r="D278" s="27" t="s">
        <v>881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151300</f>
        <v>151300.0</v>
      </c>
      <c r="L278" s="34" t="s">
        <v>48</v>
      </c>
      <c r="M278" s="33" t="n">
        <f>163000</f>
        <v>163000.0</v>
      </c>
      <c r="N278" s="34" t="s">
        <v>61</v>
      </c>
      <c r="O278" s="33" t="n">
        <f>147700</f>
        <v>147700.0</v>
      </c>
      <c r="P278" s="34" t="s">
        <v>68</v>
      </c>
      <c r="Q278" s="33" t="n">
        <f>160700</f>
        <v>160700.0</v>
      </c>
      <c r="R278" s="34" t="s">
        <v>51</v>
      </c>
      <c r="S278" s="35" t="n">
        <f>154800</f>
        <v>154800.0</v>
      </c>
      <c r="T278" s="32" t="n">
        <f>117178</f>
        <v>117178.0</v>
      </c>
      <c r="U278" s="32" t="n">
        <f>26173</f>
        <v>26173.0</v>
      </c>
      <c r="V278" s="32" t="n">
        <f>18098413436</f>
        <v>1.8098413436E10</v>
      </c>
      <c r="W278" s="32" t="n">
        <f>4041252536</f>
        <v>4.041252536E9</v>
      </c>
      <c r="X278" s="36" t="n">
        <f>18</f>
        <v>18.0</v>
      </c>
    </row>
    <row r="279">
      <c r="A279" s="27" t="s">
        <v>42</v>
      </c>
      <c r="B279" s="27" t="s">
        <v>882</v>
      </c>
      <c r="C279" s="27" t="s">
        <v>883</v>
      </c>
      <c r="D279" s="27" t="s">
        <v>884</v>
      </c>
      <c r="E279" s="28" t="s">
        <v>46</v>
      </c>
      <c r="F279" s="29" t="s">
        <v>46</v>
      </c>
      <c r="G279" s="30" t="s">
        <v>46</v>
      </c>
      <c r="H279" s="31"/>
      <c r="I279" s="31" t="s">
        <v>635</v>
      </c>
      <c r="J279" s="32" t="n">
        <v>1.0</v>
      </c>
      <c r="K279" s="33" t="n">
        <f>85700</f>
        <v>85700.0</v>
      </c>
      <c r="L279" s="34" t="s">
        <v>48</v>
      </c>
      <c r="M279" s="33" t="n">
        <f>92200</f>
        <v>92200.0</v>
      </c>
      <c r="N279" s="34" t="s">
        <v>51</v>
      </c>
      <c r="O279" s="33" t="n">
        <f>79900</f>
        <v>79900.0</v>
      </c>
      <c r="P279" s="34" t="s">
        <v>116</v>
      </c>
      <c r="Q279" s="33" t="n">
        <f>90400</f>
        <v>90400.0</v>
      </c>
      <c r="R279" s="34" t="s">
        <v>51</v>
      </c>
      <c r="S279" s="35" t="n">
        <f>85750</f>
        <v>85750.0</v>
      </c>
      <c r="T279" s="32" t="n">
        <f>57258</f>
        <v>57258.0</v>
      </c>
      <c r="U279" s="32" t="n">
        <f>4039</f>
        <v>4039.0</v>
      </c>
      <c r="V279" s="32" t="n">
        <f>4936654072</f>
        <v>4.936654072E9</v>
      </c>
      <c r="W279" s="32" t="n">
        <f>350607372</f>
        <v>3.50607372E8</v>
      </c>
      <c r="X279" s="36" t="n">
        <f>18</f>
        <v>18.0</v>
      </c>
    </row>
    <row r="280">
      <c r="A280" s="27" t="s">
        <v>42</v>
      </c>
      <c r="B280" s="27" t="s">
        <v>885</v>
      </c>
      <c r="C280" s="27" t="s">
        <v>886</v>
      </c>
      <c r="D280" s="27" t="s">
        <v>887</v>
      </c>
      <c r="E280" s="28" t="s">
        <v>46</v>
      </c>
      <c r="F280" s="29" t="s">
        <v>46</v>
      </c>
      <c r="G280" s="30" t="s">
        <v>46</v>
      </c>
      <c r="H280" s="31"/>
      <c r="I280" s="31" t="s">
        <v>635</v>
      </c>
      <c r="J280" s="32" t="n">
        <v>1.0</v>
      </c>
      <c r="K280" s="33" t="n">
        <f>94300</f>
        <v>94300.0</v>
      </c>
      <c r="L280" s="34" t="s">
        <v>48</v>
      </c>
      <c r="M280" s="33" t="n">
        <f>108600</f>
        <v>108600.0</v>
      </c>
      <c r="N280" s="34" t="s">
        <v>51</v>
      </c>
      <c r="O280" s="33" t="n">
        <f>93300</f>
        <v>93300.0</v>
      </c>
      <c r="P280" s="34" t="s">
        <v>48</v>
      </c>
      <c r="Q280" s="33" t="n">
        <f>108200</f>
        <v>108200.0</v>
      </c>
      <c r="R280" s="34" t="s">
        <v>51</v>
      </c>
      <c r="S280" s="35" t="n">
        <f>101600</f>
        <v>101600.0</v>
      </c>
      <c r="T280" s="32" t="n">
        <f>12198</f>
        <v>12198.0</v>
      </c>
      <c r="U280" s="32" t="n">
        <f>1163</f>
        <v>1163.0</v>
      </c>
      <c r="V280" s="32" t="n">
        <f>1240459734</f>
        <v>1.240459734E9</v>
      </c>
      <c r="W280" s="32" t="n">
        <f>118639634</f>
        <v>1.18639634E8</v>
      </c>
      <c r="X280" s="36" t="n">
        <f>18</f>
        <v>18.0</v>
      </c>
    </row>
    <row r="281">
      <c r="A281" s="27" t="s">
        <v>42</v>
      </c>
      <c r="B281" s="27" t="s">
        <v>888</v>
      </c>
      <c r="C281" s="27" t="s">
        <v>889</v>
      </c>
      <c r="D281" s="27" t="s">
        <v>890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426000</f>
        <v>426000.0</v>
      </c>
      <c r="L281" s="34" t="s">
        <v>48</v>
      </c>
      <c r="M281" s="33" t="n">
        <f>481000</f>
        <v>481000.0</v>
      </c>
      <c r="N281" s="34" t="s">
        <v>61</v>
      </c>
      <c r="O281" s="33" t="n">
        <f>426000</f>
        <v>426000.0</v>
      </c>
      <c r="P281" s="34" t="s">
        <v>48</v>
      </c>
      <c r="Q281" s="33" t="n">
        <f>469000</f>
        <v>469000.0</v>
      </c>
      <c r="R281" s="34" t="s">
        <v>51</v>
      </c>
      <c r="S281" s="35" t="n">
        <f>454416.67</f>
        <v>454416.67</v>
      </c>
      <c r="T281" s="32" t="n">
        <f>50379</f>
        <v>50379.0</v>
      </c>
      <c r="U281" s="32" t="n">
        <f>11769</f>
        <v>11769.0</v>
      </c>
      <c r="V281" s="32" t="n">
        <f>22831765288</f>
        <v>2.2831765288E10</v>
      </c>
      <c r="W281" s="32" t="n">
        <f>5336378788</f>
        <v>5.336378788E9</v>
      </c>
      <c r="X281" s="36" t="n">
        <f>18</f>
        <v>18.0</v>
      </c>
    </row>
    <row r="282">
      <c r="A282" s="27" t="s">
        <v>42</v>
      </c>
      <c r="B282" s="27" t="s">
        <v>891</v>
      </c>
      <c r="C282" s="27" t="s">
        <v>892</v>
      </c>
      <c r="D282" s="27" t="s">
        <v>893</v>
      </c>
      <c r="E282" s="28" t="s">
        <v>46</v>
      </c>
      <c r="F282" s="29" t="s">
        <v>46</v>
      </c>
      <c r="G282" s="30" t="s">
        <v>46</v>
      </c>
      <c r="H282" s="31"/>
      <c r="I282" s="31" t="s">
        <v>635</v>
      </c>
      <c r="J282" s="32" t="n">
        <v>1.0</v>
      </c>
      <c r="K282" s="33" t="n">
        <f>59400</f>
        <v>59400.0</v>
      </c>
      <c r="L282" s="34" t="s">
        <v>48</v>
      </c>
      <c r="M282" s="33" t="n">
        <f>77500</f>
        <v>77500.0</v>
      </c>
      <c r="N282" s="34" t="s">
        <v>299</v>
      </c>
      <c r="O282" s="33" t="n">
        <f>58100</f>
        <v>58100.0</v>
      </c>
      <c r="P282" s="34" t="s">
        <v>50</v>
      </c>
      <c r="Q282" s="33" t="n">
        <f>71800</f>
        <v>71800.0</v>
      </c>
      <c r="R282" s="34" t="s">
        <v>51</v>
      </c>
      <c r="S282" s="35" t="n">
        <f>67333.33</f>
        <v>67333.33</v>
      </c>
      <c r="T282" s="32" t="n">
        <f>50681</f>
        <v>50681.0</v>
      </c>
      <c r="U282" s="32" t="n">
        <f>3534</f>
        <v>3534.0</v>
      </c>
      <c r="V282" s="32" t="n">
        <f>3461332580</f>
        <v>3.46133258E9</v>
      </c>
      <c r="W282" s="32" t="n">
        <f>238423280</f>
        <v>2.3842328E8</v>
      </c>
      <c r="X282" s="36" t="n">
        <f>18</f>
        <v>18.0</v>
      </c>
    </row>
    <row r="283">
      <c r="A283" s="27" t="s">
        <v>42</v>
      </c>
      <c r="B283" s="27" t="s">
        <v>894</v>
      </c>
      <c r="C283" s="27" t="s">
        <v>895</v>
      </c>
      <c r="D283" s="27" t="s">
        <v>896</v>
      </c>
      <c r="E283" s="28" t="s">
        <v>46</v>
      </c>
      <c r="F283" s="29" t="s">
        <v>46</v>
      </c>
      <c r="G283" s="30" t="s">
        <v>46</v>
      </c>
      <c r="H283" s="31"/>
      <c r="I283" s="31" t="s">
        <v>635</v>
      </c>
      <c r="J283" s="32" t="n">
        <v>1.0</v>
      </c>
      <c r="K283" s="33" t="n">
        <f>74000</f>
        <v>74000.0</v>
      </c>
      <c r="L283" s="34" t="s">
        <v>48</v>
      </c>
      <c r="M283" s="33" t="n">
        <f>79800</f>
        <v>79800.0</v>
      </c>
      <c r="N283" s="34" t="s">
        <v>51</v>
      </c>
      <c r="O283" s="33" t="n">
        <f>70000</f>
        <v>70000.0</v>
      </c>
      <c r="P283" s="34" t="s">
        <v>68</v>
      </c>
      <c r="Q283" s="33" t="n">
        <f>78800</f>
        <v>78800.0</v>
      </c>
      <c r="R283" s="34" t="s">
        <v>51</v>
      </c>
      <c r="S283" s="35" t="n">
        <f>74600</f>
        <v>74600.0</v>
      </c>
      <c r="T283" s="32" t="n">
        <f>21031</f>
        <v>21031.0</v>
      </c>
      <c r="U283" s="32" t="n">
        <f>4109</f>
        <v>4109.0</v>
      </c>
      <c r="V283" s="32" t="n">
        <f>1578856179</f>
        <v>1.578856179E9</v>
      </c>
      <c r="W283" s="32" t="n">
        <f>307463279</f>
        <v>3.07463279E8</v>
      </c>
      <c r="X283" s="36" t="n">
        <f>18</f>
        <v>18.0</v>
      </c>
    </row>
    <row r="284">
      <c r="A284" s="27" t="s">
        <v>42</v>
      </c>
      <c r="B284" s="27" t="s">
        <v>897</v>
      </c>
      <c r="C284" s="27" t="s">
        <v>898</v>
      </c>
      <c r="D284" s="27" t="s">
        <v>899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36700</f>
        <v>36700.0</v>
      </c>
      <c r="L284" s="34" t="s">
        <v>48</v>
      </c>
      <c r="M284" s="33" t="n">
        <f>40300</f>
        <v>40300.0</v>
      </c>
      <c r="N284" s="34" t="s">
        <v>61</v>
      </c>
      <c r="O284" s="33" t="n">
        <f>35250</f>
        <v>35250.0</v>
      </c>
      <c r="P284" s="34" t="s">
        <v>50</v>
      </c>
      <c r="Q284" s="33" t="n">
        <f>39650</f>
        <v>39650.0</v>
      </c>
      <c r="R284" s="34" t="s">
        <v>51</v>
      </c>
      <c r="S284" s="35" t="n">
        <f>37791.67</f>
        <v>37791.67</v>
      </c>
      <c r="T284" s="32" t="n">
        <f>306741</f>
        <v>306741.0</v>
      </c>
      <c r="U284" s="32" t="n">
        <f>21442</f>
        <v>21442.0</v>
      </c>
      <c r="V284" s="32" t="n">
        <f>11562351626</f>
        <v>1.1562351626E10</v>
      </c>
      <c r="W284" s="32" t="n">
        <f>811684326</f>
        <v>8.11684326E8</v>
      </c>
      <c r="X284" s="36" t="n">
        <f>18</f>
        <v>18.0</v>
      </c>
    </row>
    <row r="285">
      <c r="A285" s="27" t="s">
        <v>42</v>
      </c>
      <c r="B285" s="27" t="s">
        <v>900</v>
      </c>
      <c r="C285" s="27" t="s">
        <v>901</v>
      </c>
      <c r="D285" s="27" t="s">
        <v>902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83700</f>
        <v>83700.0</v>
      </c>
      <c r="L285" s="34" t="s">
        <v>48</v>
      </c>
      <c r="M285" s="33" t="n">
        <f>105700</f>
        <v>105700.0</v>
      </c>
      <c r="N285" s="34" t="s">
        <v>299</v>
      </c>
      <c r="O285" s="33" t="n">
        <f>81500</f>
        <v>81500.0</v>
      </c>
      <c r="P285" s="34" t="s">
        <v>50</v>
      </c>
      <c r="Q285" s="33" t="n">
        <f>102100</f>
        <v>102100.0</v>
      </c>
      <c r="R285" s="34" t="s">
        <v>51</v>
      </c>
      <c r="S285" s="35" t="n">
        <f>92816.67</f>
        <v>92816.67</v>
      </c>
      <c r="T285" s="32" t="n">
        <f>55635</f>
        <v>55635.0</v>
      </c>
      <c r="U285" s="32" t="n">
        <f>3666</f>
        <v>3666.0</v>
      </c>
      <c r="V285" s="32" t="n">
        <f>5167883993</f>
        <v>5.167883993E9</v>
      </c>
      <c r="W285" s="32" t="n">
        <f>335998293</f>
        <v>3.35998293E8</v>
      </c>
      <c r="X285" s="36" t="n">
        <f>18</f>
        <v>18.0</v>
      </c>
    </row>
    <row r="286">
      <c r="A286" s="27" t="s">
        <v>42</v>
      </c>
      <c r="B286" s="27" t="s">
        <v>903</v>
      </c>
      <c r="C286" s="27" t="s">
        <v>904</v>
      </c>
      <c r="D286" s="27" t="s">
        <v>905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347500</f>
        <v>347500.0</v>
      </c>
      <c r="L286" s="34" t="s">
        <v>48</v>
      </c>
      <c r="M286" s="33" t="n">
        <f>398000</f>
        <v>398000.0</v>
      </c>
      <c r="N286" s="34" t="s">
        <v>51</v>
      </c>
      <c r="O286" s="33" t="n">
        <f>340500</f>
        <v>340500.0</v>
      </c>
      <c r="P286" s="34" t="s">
        <v>48</v>
      </c>
      <c r="Q286" s="33" t="n">
        <f>397000</f>
        <v>397000.0</v>
      </c>
      <c r="R286" s="34" t="s">
        <v>51</v>
      </c>
      <c r="S286" s="35" t="n">
        <f>371611.11</f>
        <v>371611.11</v>
      </c>
      <c r="T286" s="32" t="n">
        <f>34637</f>
        <v>34637.0</v>
      </c>
      <c r="U286" s="32" t="n">
        <f>5002</f>
        <v>5002.0</v>
      </c>
      <c r="V286" s="32" t="n">
        <f>12865866166</f>
        <v>1.2865866166E10</v>
      </c>
      <c r="W286" s="32" t="n">
        <f>1859597666</f>
        <v>1.859597666E9</v>
      </c>
      <c r="X286" s="36" t="n">
        <f>18</f>
        <v>18.0</v>
      </c>
    </row>
    <row r="287">
      <c r="A287" s="27" t="s">
        <v>42</v>
      </c>
      <c r="B287" s="27" t="s">
        <v>906</v>
      </c>
      <c r="C287" s="27" t="s">
        <v>907</v>
      </c>
      <c r="D287" s="27" t="s">
        <v>908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142600</f>
        <v>142600.0</v>
      </c>
      <c r="L287" s="34" t="s">
        <v>48</v>
      </c>
      <c r="M287" s="33" t="n">
        <f>155000</f>
        <v>155000.0</v>
      </c>
      <c r="N287" s="34" t="s">
        <v>51</v>
      </c>
      <c r="O287" s="33" t="n">
        <f>141500</f>
        <v>141500.0</v>
      </c>
      <c r="P287" s="34" t="s">
        <v>48</v>
      </c>
      <c r="Q287" s="33" t="n">
        <f>155000</f>
        <v>155000.0</v>
      </c>
      <c r="R287" s="34" t="s">
        <v>51</v>
      </c>
      <c r="S287" s="35" t="n">
        <f>148838.89</f>
        <v>148838.89</v>
      </c>
      <c r="T287" s="32" t="n">
        <f>47416</f>
        <v>47416.0</v>
      </c>
      <c r="U287" s="32" t="n">
        <f>5329</f>
        <v>5329.0</v>
      </c>
      <c r="V287" s="32" t="n">
        <f>7097213074</f>
        <v>7.097213074E9</v>
      </c>
      <c r="W287" s="32" t="n">
        <f>790182874</f>
        <v>7.90182874E8</v>
      </c>
      <c r="X287" s="36" t="n">
        <f>18</f>
        <v>18.0</v>
      </c>
    </row>
    <row r="288">
      <c r="A288" s="27" t="s">
        <v>42</v>
      </c>
      <c r="B288" s="27" t="s">
        <v>909</v>
      </c>
      <c r="C288" s="27" t="s">
        <v>910</v>
      </c>
      <c r="D288" s="27" t="s">
        <v>911</v>
      </c>
      <c r="E288" s="28" t="s">
        <v>46</v>
      </c>
      <c r="F288" s="29" t="s">
        <v>46</v>
      </c>
      <c r="G288" s="30" t="s">
        <v>46</v>
      </c>
      <c r="H288" s="31"/>
      <c r="I288" s="31" t="s">
        <v>635</v>
      </c>
      <c r="J288" s="32" t="n">
        <v>1.0</v>
      </c>
      <c r="K288" s="33" t="n">
        <f>92000</f>
        <v>92000.0</v>
      </c>
      <c r="L288" s="34" t="s">
        <v>48</v>
      </c>
      <c r="M288" s="33" t="n">
        <f>102600</f>
        <v>102600.0</v>
      </c>
      <c r="N288" s="34" t="s">
        <v>51</v>
      </c>
      <c r="O288" s="33" t="n">
        <f>86600</f>
        <v>86600.0</v>
      </c>
      <c r="P288" s="34" t="s">
        <v>68</v>
      </c>
      <c r="Q288" s="33" t="n">
        <f>101200</f>
        <v>101200.0</v>
      </c>
      <c r="R288" s="34" t="s">
        <v>51</v>
      </c>
      <c r="S288" s="35" t="n">
        <f>94627.78</f>
        <v>94627.78</v>
      </c>
      <c r="T288" s="32" t="n">
        <f>23654</f>
        <v>23654.0</v>
      </c>
      <c r="U288" s="32" t="n">
        <f>2623</f>
        <v>2623.0</v>
      </c>
      <c r="V288" s="32" t="n">
        <f>2230136340</f>
        <v>2.23013634E9</v>
      </c>
      <c r="W288" s="32" t="n">
        <f>249725840</f>
        <v>2.4972584E8</v>
      </c>
      <c r="X288" s="36" t="n">
        <f>18</f>
        <v>18.0</v>
      </c>
    </row>
    <row r="289">
      <c r="A289" s="27" t="s">
        <v>42</v>
      </c>
      <c r="B289" s="27" t="s">
        <v>912</v>
      </c>
      <c r="C289" s="27" t="s">
        <v>913</v>
      </c>
      <c r="D289" s="27" t="s">
        <v>914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83800</f>
        <v>83800.0</v>
      </c>
      <c r="L289" s="34" t="s">
        <v>48</v>
      </c>
      <c r="M289" s="33" t="n">
        <f>91800</f>
        <v>91800.0</v>
      </c>
      <c r="N289" s="34" t="s">
        <v>51</v>
      </c>
      <c r="O289" s="33" t="n">
        <f>80300</f>
        <v>80300.0</v>
      </c>
      <c r="P289" s="34" t="s">
        <v>116</v>
      </c>
      <c r="Q289" s="33" t="n">
        <f>91000</f>
        <v>91000.0</v>
      </c>
      <c r="R289" s="34" t="s">
        <v>51</v>
      </c>
      <c r="S289" s="35" t="n">
        <f>85755.56</f>
        <v>85755.56</v>
      </c>
      <c r="T289" s="32" t="n">
        <f>44194</f>
        <v>44194.0</v>
      </c>
      <c r="U289" s="32" t="n">
        <f>5267</f>
        <v>5267.0</v>
      </c>
      <c r="V289" s="32" t="n">
        <f>3796479609</f>
        <v>3.796479609E9</v>
      </c>
      <c r="W289" s="32" t="n">
        <f>451609109</f>
        <v>4.51609109E8</v>
      </c>
      <c r="X289" s="36" t="n">
        <f>18</f>
        <v>18.0</v>
      </c>
    </row>
    <row r="290">
      <c r="A290" s="27" t="s">
        <v>42</v>
      </c>
      <c r="B290" s="27" t="s">
        <v>915</v>
      </c>
      <c r="C290" s="27" t="s">
        <v>916</v>
      </c>
      <c r="D290" s="27" t="s">
        <v>917</v>
      </c>
      <c r="E290" s="28" t="s">
        <v>46</v>
      </c>
      <c r="F290" s="29" t="s">
        <v>46</v>
      </c>
      <c r="G290" s="30" t="s">
        <v>46</v>
      </c>
      <c r="H290" s="31"/>
      <c r="I290" s="31" t="s">
        <v>635</v>
      </c>
      <c r="J290" s="32" t="n">
        <v>1.0</v>
      </c>
      <c r="K290" s="33" t="n">
        <f>126200</f>
        <v>126200.0</v>
      </c>
      <c r="L290" s="34" t="s">
        <v>48</v>
      </c>
      <c r="M290" s="33" t="n">
        <f>135000</f>
        <v>135000.0</v>
      </c>
      <c r="N290" s="34" t="s">
        <v>51</v>
      </c>
      <c r="O290" s="33" t="n">
        <f>124000</f>
        <v>124000.0</v>
      </c>
      <c r="P290" s="34" t="s">
        <v>312</v>
      </c>
      <c r="Q290" s="33" t="n">
        <f>134500</f>
        <v>134500.0</v>
      </c>
      <c r="R290" s="34" t="s">
        <v>51</v>
      </c>
      <c r="S290" s="35" t="n">
        <f>128972.22</f>
        <v>128972.22</v>
      </c>
      <c r="T290" s="32" t="n">
        <f>69680</f>
        <v>69680.0</v>
      </c>
      <c r="U290" s="32" t="n">
        <f>9172</f>
        <v>9172.0</v>
      </c>
      <c r="V290" s="32" t="n">
        <f>9042141002</f>
        <v>9.042141002E9</v>
      </c>
      <c r="W290" s="32" t="n">
        <f>1189667602</f>
        <v>1.189667602E9</v>
      </c>
      <c r="X290" s="36" t="n">
        <f>18</f>
        <v>18.0</v>
      </c>
    </row>
    <row r="291">
      <c r="A291" s="27" t="s">
        <v>42</v>
      </c>
      <c r="B291" s="27" t="s">
        <v>918</v>
      </c>
      <c r="C291" s="27" t="s">
        <v>919</v>
      </c>
      <c r="D291" s="27" t="s">
        <v>920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636000</f>
        <v>636000.0</v>
      </c>
      <c r="L291" s="34" t="s">
        <v>48</v>
      </c>
      <c r="M291" s="33" t="n">
        <f>686000</f>
        <v>686000.0</v>
      </c>
      <c r="N291" s="34" t="s">
        <v>61</v>
      </c>
      <c r="O291" s="33" t="n">
        <f>589000</f>
        <v>589000.0</v>
      </c>
      <c r="P291" s="34" t="s">
        <v>555</v>
      </c>
      <c r="Q291" s="33" t="n">
        <f>676000</f>
        <v>676000.0</v>
      </c>
      <c r="R291" s="34" t="s">
        <v>51</v>
      </c>
      <c r="S291" s="35" t="n">
        <f>634611.11</f>
        <v>634611.11</v>
      </c>
      <c r="T291" s="32" t="n">
        <f>152518</f>
        <v>152518.0</v>
      </c>
      <c r="U291" s="32" t="n">
        <f>28247</f>
        <v>28247.0</v>
      </c>
      <c r="V291" s="32" t="n">
        <f>97425301668</f>
        <v>9.7425301668E10</v>
      </c>
      <c r="W291" s="32" t="n">
        <f>18162691668</f>
        <v>1.8162691668E10</v>
      </c>
      <c r="X291" s="36" t="n">
        <f>18</f>
        <v>18.0</v>
      </c>
    </row>
    <row r="292">
      <c r="A292" s="27" t="s">
        <v>42</v>
      </c>
      <c r="B292" s="27" t="s">
        <v>921</v>
      </c>
      <c r="C292" s="27" t="s">
        <v>922</v>
      </c>
      <c r="D292" s="27" t="s">
        <v>923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580000</f>
        <v>580000.0</v>
      </c>
      <c r="L292" s="34" t="s">
        <v>48</v>
      </c>
      <c r="M292" s="33" t="n">
        <f>627000</f>
        <v>627000.0</v>
      </c>
      <c r="N292" s="34" t="s">
        <v>61</v>
      </c>
      <c r="O292" s="33" t="n">
        <f>531000</f>
        <v>531000.0</v>
      </c>
      <c r="P292" s="34" t="s">
        <v>555</v>
      </c>
      <c r="Q292" s="33" t="n">
        <f>588000</f>
        <v>588000.0</v>
      </c>
      <c r="R292" s="34" t="s">
        <v>51</v>
      </c>
      <c r="S292" s="35" t="n">
        <f>570444.44</f>
        <v>570444.44</v>
      </c>
      <c r="T292" s="32" t="n">
        <f>180224</f>
        <v>180224.0</v>
      </c>
      <c r="U292" s="32" t="n">
        <f>29494</f>
        <v>29494.0</v>
      </c>
      <c r="V292" s="32" t="n">
        <f>103117194068</f>
        <v>1.03117194068E11</v>
      </c>
      <c r="W292" s="32" t="n">
        <f>16887009068</f>
        <v>1.6887009068E10</v>
      </c>
      <c r="X292" s="36" t="n">
        <f>18</f>
        <v>18.0</v>
      </c>
    </row>
    <row r="293">
      <c r="A293" s="27" t="s">
        <v>42</v>
      </c>
      <c r="B293" s="27" t="s">
        <v>924</v>
      </c>
      <c r="C293" s="27" t="s">
        <v>925</v>
      </c>
      <c r="D293" s="27" t="s">
        <v>926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117000</f>
        <v>117000.0</v>
      </c>
      <c r="L293" s="34" t="s">
        <v>48</v>
      </c>
      <c r="M293" s="33" t="n">
        <f>148700</f>
        <v>148700.0</v>
      </c>
      <c r="N293" s="34" t="s">
        <v>61</v>
      </c>
      <c r="O293" s="33" t="n">
        <f>115200</f>
        <v>115200.0</v>
      </c>
      <c r="P293" s="34" t="s">
        <v>48</v>
      </c>
      <c r="Q293" s="33" t="n">
        <f>142200</f>
        <v>142200.0</v>
      </c>
      <c r="R293" s="34" t="s">
        <v>51</v>
      </c>
      <c r="S293" s="35" t="n">
        <f>136205.56</f>
        <v>136205.56</v>
      </c>
      <c r="T293" s="32" t="n">
        <f>662318</f>
        <v>662318.0</v>
      </c>
      <c r="U293" s="32" t="n">
        <f>66679</f>
        <v>66679.0</v>
      </c>
      <c r="V293" s="32" t="n">
        <f>91682013075</f>
        <v>9.1682013075E10</v>
      </c>
      <c r="W293" s="32" t="n">
        <f>9253221975</f>
        <v>9.253221975E9</v>
      </c>
      <c r="X293" s="36" t="n">
        <f>18</f>
        <v>18.0</v>
      </c>
    </row>
    <row r="294">
      <c r="A294" s="27" t="s">
        <v>42</v>
      </c>
      <c r="B294" s="27" t="s">
        <v>927</v>
      </c>
      <c r="C294" s="27" t="s">
        <v>928</v>
      </c>
      <c r="D294" s="27" t="s">
        <v>929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129600</f>
        <v>129600.0</v>
      </c>
      <c r="L294" s="34" t="s">
        <v>48</v>
      </c>
      <c r="M294" s="33" t="n">
        <f>159700</f>
        <v>159700.0</v>
      </c>
      <c r="N294" s="34" t="s">
        <v>51</v>
      </c>
      <c r="O294" s="33" t="n">
        <f>125100</f>
        <v>125100.0</v>
      </c>
      <c r="P294" s="34" t="s">
        <v>68</v>
      </c>
      <c r="Q294" s="33" t="n">
        <f>155800</f>
        <v>155800.0</v>
      </c>
      <c r="R294" s="34" t="s">
        <v>51</v>
      </c>
      <c r="S294" s="35" t="n">
        <f>139666.67</f>
        <v>139666.67</v>
      </c>
      <c r="T294" s="32" t="n">
        <f>511182</f>
        <v>511182.0</v>
      </c>
      <c r="U294" s="32" t="n">
        <f>87774</f>
        <v>87774.0</v>
      </c>
      <c r="V294" s="32" t="n">
        <f>73144370635</f>
        <v>7.3144370635E10</v>
      </c>
      <c r="W294" s="32" t="n">
        <f>12396481235</f>
        <v>1.2396481235E10</v>
      </c>
      <c r="X294" s="36" t="n">
        <f>18</f>
        <v>18.0</v>
      </c>
    </row>
    <row r="295">
      <c r="A295" s="27" t="s">
        <v>42</v>
      </c>
      <c r="B295" s="27" t="s">
        <v>930</v>
      </c>
      <c r="C295" s="27" t="s">
        <v>931</v>
      </c>
      <c r="D295" s="27" t="s">
        <v>932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295800</f>
        <v>295800.0</v>
      </c>
      <c r="L295" s="34" t="s">
        <v>48</v>
      </c>
      <c r="M295" s="33" t="n">
        <f>338000</f>
        <v>338000.0</v>
      </c>
      <c r="N295" s="34" t="s">
        <v>61</v>
      </c>
      <c r="O295" s="33" t="n">
        <f>282800</f>
        <v>282800.0</v>
      </c>
      <c r="P295" s="34" t="s">
        <v>68</v>
      </c>
      <c r="Q295" s="33" t="n">
        <f>329000</f>
        <v>329000.0</v>
      </c>
      <c r="R295" s="34" t="s">
        <v>51</v>
      </c>
      <c r="S295" s="35" t="n">
        <f>308250</f>
        <v>308250.0</v>
      </c>
      <c r="T295" s="32" t="n">
        <f>183421</f>
        <v>183421.0</v>
      </c>
      <c r="U295" s="32" t="n">
        <f>24870</f>
        <v>24870.0</v>
      </c>
      <c r="V295" s="32" t="n">
        <f>57291692378</f>
        <v>5.7291692378E10</v>
      </c>
      <c r="W295" s="32" t="n">
        <f>7752567878</f>
        <v>7.752567878E9</v>
      </c>
      <c r="X295" s="36" t="n">
        <f>18</f>
        <v>18.0</v>
      </c>
    </row>
    <row r="296">
      <c r="A296" s="27" t="s">
        <v>42</v>
      </c>
      <c r="B296" s="27" t="s">
        <v>933</v>
      </c>
      <c r="C296" s="27" t="s">
        <v>934</v>
      </c>
      <c r="D296" s="27" t="s">
        <v>935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108300</f>
        <v>108300.0</v>
      </c>
      <c r="L296" s="34" t="s">
        <v>48</v>
      </c>
      <c r="M296" s="33" t="n">
        <f>122900</f>
        <v>122900.0</v>
      </c>
      <c r="N296" s="34" t="s">
        <v>51</v>
      </c>
      <c r="O296" s="33" t="n">
        <f>104500</f>
        <v>104500.0</v>
      </c>
      <c r="P296" s="34" t="s">
        <v>116</v>
      </c>
      <c r="Q296" s="33" t="n">
        <f>122100</f>
        <v>122100.0</v>
      </c>
      <c r="R296" s="34" t="s">
        <v>51</v>
      </c>
      <c r="S296" s="35" t="n">
        <f>112855.56</f>
        <v>112855.56</v>
      </c>
      <c r="T296" s="32" t="n">
        <f>121621</f>
        <v>121621.0</v>
      </c>
      <c r="U296" s="32" t="n">
        <f>20850</f>
        <v>20850.0</v>
      </c>
      <c r="V296" s="32" t="n">
        <f>13701426745</f>
        <v>1.3701426745E10</v>
      </c>
      <c r="W296" s="32" t="n">
        <f>2354595345</f>
        <v>2.354595345E9</v>
      </c>
      <c r="X296" s="36" t="n">
        <f>18</f>
        <v>18.0</v>
      </c>
    </row>
    <row r="297">
      <c r="A297" s="27" t="s">
        <v>42</v>
      </c>
      <c r="B297" s="27" t="s">
        <v>936</v>
      </c>
      <c r="C297" s="27" t="s">
        <v>937</v>
      </c>
      <c r="D297" s="27" t="s">
        <v>938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142600</f>
        <v>142600.0</v>
      </c>
      <c r="L297" s="34" t="s">
        <v>48</v>
      </c>
      <c r="M297" s="33" t="n">
        <f>158400</f>
        <v>158400.0</v>
      </c>
      <c r="N297" s="34" t="s">
        <v>96</v>
      </c>
      <c r="O297" s="33" t="n">
        <f>132000</f>
        <v>132000.0</v>
      </c>
      <c r="P297" s="34" t="s">
        <v>68</v>
      </c>
      <c r="Q297" s="33" t="n">
        <f>148800</f>
        <v>148800.0</v>
      </c>
      <c r="R297" s="34" t="s">
        <v>51</v>
      </c>
      <c r="S297" s="35" t="n">
        <f>142022.22</f>
        <v>142022.22</v>
      </c>
      <c r="T297" s="32" t="n">
        <f>90450</f>
        <v>90450.0</v>
      </c>
      <c r="U297" s="32" t="n">
        <f>18679</f>
        <v>18679.0</v>
      </c>
      <c r="V297" s="32" t="n">
        <f>12844141102</f>
        <v>1.2844141102E10</v>
      </c>
      <c r="W297" s="32" t="n">
        <f>2645383702</f>
        <v>2.645383702E9</v>
      </c>
      <c r="X297" s="36" t="n">
        <f>18</f>
        <v>18.0</v>
      </c>
    </row>
    <row r="298">
      <c r="A298" s="27" t="s">
        <v>42</v>
      </c>
      <c r="B298" s="27" t="s">
        <v>939</v>
      </c>
      <c r="C298" s="27" t="s">
        <v>940</v>
      </c>
      <c r="D298" s="27" t="s">
        <v>941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91800</f>
        <v>91800.0</v>
      </c>
      <c r="L298" s="34" t="s">
        <v>48</v>
      </c>
      <c r="M298" s="33" t="n">
        <f>102400</f>
        <v>102400.0</v>
      </c>
      <c r="N298" s="34" t="s">
        <v>51</v>
      </c>
      <c r="O298" s="33" t="n">
        <f>85900</f>
        <v>85900.0</v>
      </c>
      <c r="P298" s="34" t="s">
        <v>116</v>
      </c>
      <c r="Q298" s="33" t="n">
        <f>101400</f>
        <v>101400.0</v>
      </c>
      <c r="R298" s="34" t="s">
        <v>51</v>
      </c>
      <c r="S298" s="35" t="n">
        <f>93572.22</f>
        <v>93572.22</v>
      </c>
      <c r="T298" s="32" t="n">
        <f>98059</f>
        <v>98059.0</v>
      </c>
      <c r="U298" s="32" t="n">
        <f>15460</f>
        <v>15460.0</v>
      </c>
      <c r="V298" s="32" t="n">
        <f>9166382272</f>
        <v>9.166382272E9</v>
      </c>
      <c r="W298" s="32" t="n">
        <f>1450677472</f>
        <v>1.450677472E9</v>
      </c>
      <c r="X298" s="36" t="n">
        <f>18</f>
        <v>18.0</v>
      </c>
    </row>
    <row r="299">
      <c r="A299" s="27" t="s">
        <v>42</v>
      </c>
      <c r="B299" s="27" t="s">
        <v>942</v>
      </c>
      <c r="C299" s="27" t="s">
        <v>943</v>
      </c>
      <c r="D299" s="27" t="s">
        <v>944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107400</f>
        <v>107400.0</v>
      </c>
      <c r="L299" s="34" t="s">
        <v>48</v>
      </c>
      <c r="M299" s="33" t="n">
        <f>125500</f>
        <v>125500.0</v>
      </c>
      <c r="N299" s="34" t="s">
        <v>61</v>
      </c>
      <c r="O299" s="33" t="n">
        <f>106700</f>
        <v>106700.0</v>
      </c>
      <c r="P299" s="34" t="s">
        <v>48</v>
      </c>
      <c r="Q299" s="33" t="n">
        <f>114200</f>
        <v>114200.0</v>
      </c>
      <c r="R299" s="34" t="s">
        <v>51</v>
      </c>
      <c r="S299" s="35" t="n">
        <f>115238.89</f>
        <v>115238.89</v>
      </c>
      <c r="T299" s="32" t="n">
        <f>650988</f>
        <v>650988.0</v>
      </c>
      <c r="U299" s="32" t="n">
        <f>98494</f>
        <v>98494.0</v>
      </c>
      <c r="V299" s="32" t="n">
        <f>75154839111</f>
        <v>7.5154839111E10</v>
      </c>
      <c r="W299" s="32" t="n">
        <f>11329857211</f>
        <v>1.1329857211E10</v>
      </c>
      <c r="X299" s="36" t="n">
        <f>18</f>
        <v>18.0</v>
      </c>
    </row>
    <row r="300">
      <c r="A300" s="27" t="s">
        <v>42</v>
      </c>
      <c r="B300" s="27" t="s">
        <v>945</v>
      </c>
      <c r="C300" s="27" t="s">
        <v>946</v>
      </c>
      <c r="D300" s="27" t="s">
        <v>947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119500</f>
        <v>119500.0</v>
      </c>
      <c r="L300" s="34" t="s">
        <v>48</v>
      </c>
      <c r="M300" s="33" t="n">
        <f>135800</f>
        <v>135800.0</v>
      </c>
      <c r="N300" s="34" t="s">
        <v>464</v>
      </c>
      <c r="O300" s="33" t="n">
        <f>118200</f>
        <v>118200.0</v>
      </c>
      <c r="P300" s="34" t="s">
        <v>116</v>
      </c>
      <c r="Q300" s="33" t="n">
        <f>134900</f>
        <v>134900.0</v>
      </c>
      <c r="R300" s="34" t="s">
        <v>51</v>
      </c>
      <c r="S300" s="35" t="n">
        <f>126438.89</f>
        <v>126438.89</v>
      </c>
      <c r="T300" s="32" t="n">
        <f>101122</f>
        <v>101122.0</v>
      </c>
      <c r="U300" s="32" t="n">
        <f>15453</f>
        <v>15453.0</v>
      </c>
      <c r="V300" s="32" t="n">
        <f>12802562225</f>
        <v>1.2802562225E10</v>
      </c>
      <c r="W300" s="32" t="n">
        <f>1953827425</f>
        <v>1.953827425E9</v>
      </c>
      <c r="X300" s="36" t="n">
        <f>18</f>
        <v>18.0</v>
      </c>
    </row>
    <row r="301">
      <c r="A301" s="27" t="s">
        <v>42</v>
      </c>
      <c r="B301" s="27" t="s">
        <v>948</v>
      </c>
      <c r="C301" s="27" t="s">
        <v>949</v>
      </c>
      <c r="D301" s="27" t="s">
        <v>950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27470</f>
        <v>27470.0</v>
      </c>
      <c r="L301" s="34" t="s">
        <v>48</v>
      </c>
      <c r="M301" s="33" t="n">
        <f>31050</f>
        <v>31050.0</v>
      </c>
      <c r="N301" s="34" t="s">
        <v>61</v>
      </c>
      <c r="O301" s="33" t="n">
        <f>21800</f>
        <v>21800.0</v>
      </c>
      <c r="P301" s="34" t="s">
        <v>175</v>
      </c>
      <c r="Q301" s="33" t="n">
        <f>27280</f>
        <v>27280.0</v>
      </c>
      <c r="R301" s="34" t="s">
        <v>51</v>
      </c>
      <c r="S301" s="35" t="n">
        <f>25562.22</f>
        <v>25562.22</v>
      </c>
      <c r="T301" s="32" t="n">
        <f>2365801</f>
        <v>2365801.0</v>
      </c>
      <c r="U301" s="32" t="n">
        <f>189947</f>
        <v>189947.0</v>
      </c>
      <c r="V301" s="32" t="n">
        <f>59949482582</f>
        <v>5.9949482582E10</v>
      </c>
      <c r="W301" s="32" t="n">
        <f>4818446752</f>
        <v>4.818446752E9</v>
      </c>
      <c r="X301" s="36" t="n">
        <f>18</f>
        <v>18.0</v>
      </c>
    </row>
    <row r="302">
      <c r="A302" s="27" t="s">
        <v>42</v>
      </c>
      <c r="B302" s="27" t="s">
        <v>951</v>
      </c>
      <c r="C302" s="27" t="s">
        <v>952</v>
      </c>
      <c r="D302" s="27" t="s">
        <v>953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300500</f>
        <v>300500.0</v>
      </c>
      <c r="L302" s="34" t="s">
        <v>48</v>
      </c>
      <c r="M302" s="33" t="n">
        <f>351500</f>
        <v>351500.0</v>
      </c>
      <c r="N302" s="34" t="s">
        <v>51</v>
      </c>
      <c r="O302" s="33" t="n">
        <f>296600</f>
        <v>296600.0</v>
      </c>
      <c r="P302" s="34" t="s">
        <v>48</v>
      </c>
      <c r="Q302" s="33" t="n">
        <f>350000</f>
        <v>350000.0</v>
      </c>
      <c r="R302" s="34" t="s">
        <v>51</v>
      </c>
      <c r="S302" s="35" t="n">
        <f>327761.11</f>
        <v>327761.11</v>
      </c>
      <c r="T302" s="32" t="n">
        <f>60188</f>
        <v>60188.0</v>
      </c>
      <c r="U302" s="32" t="n">
        <f>8202</f>
        <v>8202.0</v>
      </c>
      <c r="V302" s="32" t="n">
        <f>19655736419</f>
        <v>1.9655736419E10</v>
      </c>
      <c r="W302" s="32" t="n">
        <f>2685954919</f>
        <v>2.685954919E9</v>
      </c>
      <c r="X302" s="36" t="n">
        <f>18</f>
        <v>18.0</v>
      </c>
    </row>
    <row r="303">
      <c r="A303" s="27" t="s">
        <v>42</v>
      </c>
      <c r="B303" s="27" t="s">
        <v>954</v>
      </c>
      <c r="C303" s="27" t="s">
        <v>955</v>
      </c>
      <c r="D303" s="27" t="s">
        <v>956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95200</f>
        <v>95200.0</v>
      </c>
      <c r="L303" s="34" t="s">
        <v>48</v>
      </c>
      <c r="M303" s="33" t="n">
        <f>107000</f>
        <v>107000.0</v>
      </c>
      <c r="N303" s="34" t="s">
        <v>464</v>
      </c>
      <c r="O303" s="33" t="n">
        <f>94200</f>
        <v>94200.0</v>
      </c>
      <c r="P303" s="34" t="s">
        <v>48</v>
      </c>
      <c r="Q303" s="33" t="n">
        <f>103800</f>
        <v>103800.0</v>
      </c>
      <c r="R303" s="34" t="s">
        <v>51</v>
      </c>
      <c r="S303" s="35" t="n">
        <f>100755.56</f>
        <v>100755.56</v>
      </c>
      <c r="T303" s="32" t="n">
        <f>77275</f>
        <v>77275.0</v>
      </c>
      <c r="U303" s="32" t="n">
        <f>10225</f>
        <v>10225.0</v>
      </c>
      <c r="V303" s="32" t="n">
        <f>7794258121</f>
        <v>7.794258121E9</v>
      </c>
      <c r="W303" s="32" t="n">
        <f>1026122321</f>
        <v>1.026122321E9</v>
      </c>
      <c r="X303" s="36" t="n">
        <f>18</f>
        <v>18.0</v>
      </c>
    </row>
    <row r="304">
      <c r="A304" s="27" t="s">
        <v>42</v>
      </c>
      <c r="B304" s="27" t="s">
        <v>957</v>
      </c>
      <c r="C304" s="27" t="s">
        <v>958</v>
      </c>
      <c r="D304" s="27" t="s">
        <v>959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252300</f>
        <v>252300.0</v>
      </c>
      <c r="L304" s="34" t="s">
        <v>48</v>
      </c>
      <c r="M304" s="33" t="n">
        <f>295900</f>
        <v>295900.0</v>
      </c>
      <c r="N304" s="34" t="s">
        <v>61</v>
      </c>
      <c r="O304" s="33" t="n">
        <f>248700</f>
        <v>248700.0</v>
      </c>
      <c r="P304" s="34" t="s">
        <v>48</v>
      </c>
      <c r="Q304" s="33" t="n">
        <f>286500</f>
        <v>286500.0</v>
      </c>
      <c r="R304" s="34" t="s">
        <v>51</v>
      </c>
      <c r="S304" s="35" t="n">
        <f>280344.44</f>
        <v>280344.44</v>
      </c>
      <c r="T304" s="32" t="n">
        <f>94630</f>
        <v>94630.0</v>
      </c>
      <c r="U304" s="32" t="n">
        <f>16849</f>
        <v>16849.0</v>
      </c>
      <c r="V304" s="32" t="n">
        <f>26471249668</f>
        <v>2.6471249668E10</v>
      </c>
      <c r="W304" s="32" t="n">
        <f>4724967668</f>
        <v>4.724967668E9</v>
      </c>
      <c r="X304" s="36" t="n">
        <f>18</f>
        <v>18.0</v>
      </c>
    </row>
    <row r="305">
      <c r="A305" s="27" t="s">
        <v>42</v>
      </c>
      <c r="B305" s="27" t="s">
        <v>960</v>
      </c>
      <c r="C305" s="27" t="s">
        <v>961</v>
      </c>
      <c r="D305" s="27" t="s">
        <v>962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108000</f>
        <v>108000.0</v>
      </c>
      <c r="L305" s="34" t="s">
        <v>48</v>
      </c>
      <c r="M305" s="33" t="n">
        <f>129000</f>
        <v>129000.0</v>
      </c>
      <c r="N305" s="34" t="s">
        <v>61</v>
      </c>
      <c r="O305" s="33" t="n">
        <f>106500</f>
        <v>106500.0</v>
      </c>
      <c r="P305" s="34" t="s">
        <v>48</v>
      </c>
      <c r="Q305" s="33" t="n">
        <f>126700</f>
        <v>126700.0</v>
      </c>
      <c r="R305" s="34" t="s">
        <v>51</v>
      </c>
      <c r="S305" s="35" t="n">
        <f>121550</f>
        <v>121550.0</v>
      </c>
      <c r="T305" s="32" t="n">
        <f>82951</f>
        <v>82951.0</v>
      </c>
      <c r="U305" s="32" t="n">
        <f>9818</f>
        <v>9818.0</v>
      </c>
      <c r="V305" s="32" t="n">
        <f>10041149429</f>
        <v>1.0041149429E10</v>
      </c>
      <c r="W305" s="32" t="n">
        <f>1188838329</f>
        <v>1.188838329E9</v>
      </c>
      <c r="X305" s="36" t="n">
        <f>18</f>
        <v>18.0</v>
      </c>
    </row>
    <row r="306">
      <c r="A306" s="27" t="s">
        <v>42</v>
      </c>
      <c r="B306" s="27" t="s">
        <v>963</v>
      </c>
      <c r="C306" s="27" t="s">
        <v>964</v>
      </c>
      <c r="D306" s="27" t="s">
        <v>965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532000</f>
        <v>532000.0</v>
      </c>
      <c r="L306" s="34" t="s">
        <v>48</v>
      </c>
      <c r="M306" s="33" t="n">
        <f>618000</f>
        <v>618000.0</v>
      </c>
      <c r="N306" s="34" t="s">
        <v>464</v>
      </c>
      <c r="O306" s="33" t="n">
        <f>522000</f>
        <v>522000.0</v>
      </c>
      <c r="P306" s="34" t="s">
        <v>48</v>
      </c>
      <c r="Q306" s="33" t="n">
        <f>598000</f>
        <v>598000.0</v>
      </c>
      <c r="R306" s="34" t="s">
        <v>51</v>
      </c>
      <c r="S306" s="35" t="n">
        <f>578277.78</f>
        <v>578277.78</v>
      </c>
      <c r="T306" s="32" t="n">
        <f>49481</f>
        <v>49481.0</v>
      </c>
      <c r="U306" s="32" t="n">
        <f>7766</f>
        <v>7766.0</v>
      </c>
      <c r="V306" s="32" t="n">
        <f>28550069257</f>
        <v>2.8550069257E10</v>
      </c>
      <c r="W306" s="32" t="n">
        <f>4468612257</f>
        <v>4.468612257E9</v>
      </c>
      <c r="X306" s="36" t="n">
        <f>18</f>
        <v>18.0</v>
      </c>
    </row>
    <row r="307">
      <c r="A307" s="27" t="s">
        <v>42</v>
      </c>
      <c r="B307" s="27" t="s">
        <v>966</v>
      </c>
      <c r="C307" s="27" t="s">
        <v>967</v>
      </c>
      <c r="D307" s="27" t="s">
        <v>968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68200</f>
        <v>68200.0</v>
      </c>
      <c r="L307" s="34" t="s">
        <v>48</v>
      </c>
      <c r="M307" s="33" t="n">
        <f>76000</f>
        <v>76000.0</v>
      </c>
      <c r="N307" s="34" t="s">
        <v>51</v>
      </c>
      <c r="O307" s="33" t="n">
        <f>65400</f>
        <v>65400.0</v>
      </c>
      <c r="P307" s="34" t="s">
        <v>116</v>
      </c>
      <c r="Q307" s="33" t="n">
        <f>75800</f>
        <v>75800.0</v>
      </c>
      <c r="R307" s="34" t="s">
        <v>51</v>
      </c>
      <c r="S307" s="35" t="n">
        <f>70772.22</f>
        <v>70772.22</v>
      </c>
      <c r="T307" s="32" t="n">
        <f>139571</f>
        <v>139571.0</v>
      </c>
      <c r="U307" s="32" t="n">
        <f>34440</f>
        <v>34440.0</v>
      </c>
      <c r="V307" s="32" t="n">
        <f>9849137414</f>
        <v>9.849137414E9</v>
      </c>
      <c r="W307" s="32" t="n">
        <f>2438304014</f>
        <v>2.438304014E9</v>
      </c>
      <c r="X307" s="36" t="n">
        <f>18</f>
        <v>18.0</v>
      </c>
    </row>
    <row r="308">
      <c r="A308" s="27" t="s">
        <v>42</v>
      </c>
      <c r="B308" s="27" t="s">
        <v>969</v>
      </c>
      <c r="C308" s="27" t="s">
        <v>970</v>
      </c>
      <c r="D308" s="27" t="s">
        <v>971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593000</f>
        <v>593000.0</v>
      </c>
      <c r="L308" s="34" t="s">
        <v>48</v>
      </c>
      <c r="M308" s="33" t="n">
        <f>652000</f>
        <v>652000.0</v>
      </c>
      <c r="N308" s="34" t="s">
        <v>464</v>
      </c>
      <c r="O308" s="33" t="n">
        <f>575000</f>
        <v>575000.0</v>
      </c>
      <c r="P308" s="34" t="s">
        <v>50</v>
      </c>
      <c r="Q308" s="33" t="n">
        <f>629000</f>
        <v>629000.0</v>
      </c>
      <c r="R308" s="34" t="s">
        <v>51</v>
      </c>
      <c r="S308" s="35" t="n">
        <f>618111.11</f>
        <v>618111.11</v>
      </c>
      <c r="T308" s="32" t="n">
        <f>33475</f>
        <v>33475.0</v>
      </c>
      <c r="U308" s="32" t="n">
        <f>6371</f>
        <v>6371.0</v>
      </c>
      <c r="V308" s="32" t="n">
        <f>20601820198</f>
        <v>2.0601820198E10</v>
      </c>
      <c r="W308" s="32" t="n">
        <f>3910834198</f>
        <v>3.910834198E9</v>
      </c>
      <c r="X308" s="36" t="n">
        <f>18</f>
        <v>18.0</v>
      </c>
    </row>
    <row r="309">
      <c r="A309" s="27" t="s">
        <v>42</v>
      </c>
      <c r="B309" s="27" t="s">
        <v>972</v>
      </c>
      <c r="C309" s="27" t="s">
        <v>973</v>
      </c>
      <c r="D309" s="27" t="s">
        <v>974</v>
      </c>
      <c r="E309" s="28" t="s">
        <v>46</v>
      </c>
      <c r="F309" s="29" t="s">
        <v>46</v>
      </c>
      <c r="G309" s="30" t="s">
        <v>46</v>
      </c>
      <c r="H309" s="31"/>
      <c r="I309" s="31" t="s">
        <v>635</v>
      </c>
      <c r="J309" s="32" t="n">
        <v>1.0</v>
      </c>
      <c r="K309" s="33" t="n">
        <f>116000</f>
        <v>116000.0</v>
      </c>
      <c r="L309" s="34" t="s">
        <v>48</v>
      </c>
      <c r="M309" s="33" t="n">
        <f>138800</f>
        <v>138800.0</v>
      </c>
      <c r="N309" s="34" t="s">
        <v>464</v>
      </c>
      <c r="O309" s="33" t="n">
        <f>114300</f>
        <v>114300.0</v>
      </c>
      <c r="P309" s="34" t="s">
        <v>48</v>
      </c>
      <c r="Q309" s="33" t="n">
        <f>136100</f>
        <v>136100.0</v>
      </c>
      <c r="R309" s="34" t="s">
        <v>51</v>
      </c>
      <c r="S309" s="35" t="n">
        <f>131000</f>
        <v>131000.0</v>
      </c>
      <c r="T309" s="32" t="n">
        <f>77868</f>
        <v>77868.0</v>
      </c>
      <c r="U309" s="32" t="n">
        <f>16085</f>
        <v>16085.0</v>
      </c>
      <c r="V309" s="32" t="n">
        <f>10179309965</f>
        <v>1.0179309965E10</v>
      </c>
      <c r="W309" s="32" t="n">
        <f>2119841465</f>
        <v>2.119841465E9</v>
      </c>
      <c r="X309" s="36" t="n">
        <f>18</f>
        <v>18.0</v>
      </c>
    </row>
    <row r="310">
      <c r="A310" s="27" t="s">
        <v>42</v>
      </c>
      <c r="B310" s="27" t="s">
        <v>975</v>
      </c>
      <c r="C310" s="27" t="s">
        <v>976</v>
      </c>
      <c r="D310" s="27" t="s">
        <v>977</v>
      </c>
      <c r="E310" s="28" t="s">
        <v>46</v>
      </c>
      <c r="F310" s="29" t="s">
        <v>46</v>
      </c>
      <c r="G310" s="30" t="s">
        <v>46</v>
      </c>
      <c r="H310" s="31"/>
      <c r="I310" s="31" t="s">
        <v>635</v>
      </c>
      <c r="J310" s="32" t="n">
        <v>1.0</v>
      </c>
      <c r="K310" s="33" t="n">
        <f>183200</f>
        <v>183200.0</v>
      </c>
      <c r="L310" s="34" t="s">
        <v>48</v>
      </c>
      <c r="M310" s="33" t="n">
        <f>201300</f>
        <v>201300.0</v>
      </c>
      <c r="N310" s="34" t="s">
        <v>51</v>
      </c>
      <c r="O310" s="33" t="n">
        <f>183200</f>
        <v>183200.0</v>
      </c>
      <c r="P310" s="34" t="s">
        <v>48</v>
      </c>
      <c r="Q310" s="33" t="n">
        <f>198700</f>
        <v>198700.0</v>
      </c>
      <c r="R310" s="34" t="s">
        <v>51</v>
      </c>
      <c r="S310" s="35" t="n">
        <f>190983.33</f>
        <v>190983.33</v>
      </c>
      <c r="T310" s="32" t="n">
        <f>11769</f>
        <v>11769.0</v>
      </c>
      <c r="U310" s="32" t="n">
        <f>1612</f>
        <v>1612.0</v>
      </c>
      <c r="V310" s="32" t="n">
        <f>2251381451</f>
        <v>2.251381451E9</v>
      </c>
      <c r="W310" s="32" t="n">
        <f>307179351</f>
        <v>3.07179351E8</v>
      </c>
      <c r="X310" s="36" t="n">
        <f>18</f>
        <v>18.0</v>
      </c>
    </row>
    <row r="311">
      <c r="A311" s="27" t="s">
        <v>42</v>
      </c>
      <c r="B311" s="27" t="s">
        <v>978</v>
      </c>
      <c r="C311" s="27" t="s">
        <v>979</v>
      </c>
      <c r="D311" s="27" t="s">
        <v>980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260500</f>
        <v>260500.0</v>
      </c>
      <c r="L311" s="34" t="s">
        <v>48</v>
      </c>
      <c r="M311" s="33" t="n">
        <f>272300</f>
        <v>272300.0</v>
      </c>
      <c r="N311" s="34" t="s">
        <v>50</v>
      </c>
      <c r="O311" s="33" t="n">
        <f>242700</f>
        <v>242700.0</v>
      </c>
      <c r="P311" s="34" t="s">
        <v>116</v>
      </c>
      <c r="Q311" s="33" t="n">
        <f>266400</f>
        <v>266400.0</v>
      </c>
      <c r="R311" s="34" t="s">
        <v>51</v>
      </c>
      <c r="S311" s="35" t="n">
        <f>258872.22</f>
        <v>258872.22</v>
      </c>
      <c r="T311" s="32" t="n">
        <f>155457</f>
        <v>155457.0</v>
      </c>
      <c r="U311" s="32" t="n">
        <f>26102</f>
        <v>26102.0</v>
      </c>
      <c r="V311" s="32" t="n">
        <f>40266157927</f>
        <v>4.0266157927E10</v>
      </c>
      <c r="W311" s="32" t="n">
        <f>6732787427</f>
        <v>6.732787427E9</v>
      </c>
      <c r="X311" s="36" t="n">
        <f>18</f>
        <v>18.0</v>
      </c>
    </row>
    <row r="312">
      <c r="A312" s="27" t="s">
        <v>42</v>
      </c>
      <c r="B312" s="27" t="s">
        <v>981</v>
      </c>
      <c r="C312" s="27" t="s">
        <v>982</v>
      </c>
      <c r="D312" s="27" t="s">
        <v>983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35650</f>
        <v>35650.0</v>
      </c>
      <c r="L312" s="34" t="s">
        <v>48</v>
      </c>
      <c r="M312" s="33" t="n">
        <f>46700</f>
        <v>46700.0</v>
      </c>
      <c r="N312" s="34" t="s">
        <v>51</v>
      </c>
      <c r="O312" s="33" t="n">
        <f>34300</f>
        <v>34300.0</v>
      </c>
      <c r="P312" s="34" t="s">
        <v>50</v>
      </c>
      <c r="Q312" s="33" t="n">
        <f>44850</f>
        <v>44850.0</v>
      </c>
      <c r="R312" s="34" t="s">
        <v>51</v>
      </c>
      <c r="S312" s="35" t="n">
        <f>39544.44</f>
        <v>39544.44</v>
      </c>
      <c r="T312" s="32" t="n">
        <f>1103596</f>
        <v>1103596.0</v>
      </c>
      <c r="U312" s="32" t="n">
        <f>83231</f>
        <v>83231.0</v>
      </c>
      <c r="V312" s="32" t="n">
        <f>44490701218</f>
        <v>4.4490701218E10</v>
      </c>
      <c r="W312" s="32" t="n">
        <f>3380211568</f>
        <v>3.380211568E9</v>
      </c>
      <c r="X312" s="36" t="n">
        <f>18</f>
        <v>18.0</v>
      </c>
    </row>
    <row r="313">
      <c r="A313" s="27" t="s">
        <v>42</v>
      </c>
      <c r="B313" s="27" t="s">
        <v>984</v>
      </c>
      <c r="C313" s="27" t="s">
        <v>985</v>
      </c>
      <c r="D313" s="27" t="s">
        <v>986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89600</f>
        <v>89600.0</v>
      </c>
      <c r="L313" s="34" t="s">
        <v>48</v>
      </c>
      <c r="M313" s="33" t="n">
        <f>99100</f>
        <v>99100.0</v>
      </c>
      <c r="N313" s="34" t="s">
        <v>51</v>
      </c>
      <c r="O313" s="33" t="n">
        <f>88800</f>
        <v>88800.0</v>
      </c>
      <c r="P313" s="34" t="s">
        <v>68</v>
      </c>
      <c r="Q313" s="33" t="n">
        <f>98900</f>
        <v>98900.0</v>
      </c>
      <c r="R313" s="34" t="s">
        <v>51</v>
      </c>
      <c r="S313" s="35" t="n">
        <f>93211.11</f>
        <v>93211.11</v>
      </c>
      <c r="T313" s="32" t="n">
        <f>197974</f>
        <v>197974.0</v>
      </c>
      <c r="U313" s="32" t="n">
        <f>60923</f>
        <v>60923.0</v>
      </c>
      <c r="V313" s="32" t="n">
        <f>18421957570</f>
        <v>1.842195757E10</v>
      </c>
      <c r="W313" s="32" t="n">
        <f>5656311570</f>
        <v>5.65631157E9</v>
      </c>
      <c r="X313" s="36" t="n">
        <f>18</f>
        <v>18.0</v>
      </c>
    </row>
    <row r="314">
      <c r="A314" s="27" t="s">
        <v>42</v>
      </c>
      <c r="B314" s="27" t="s">
        <v>987</v>
      </c>
      <c r="C314" s="27" t="s">
        <v>988</v>
      </c>
      <c r="D314" s="27" t="s">
        <v>989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116000</f>
        <v>116000.0</v>
      </c>
      <c r="L314" s="34" t="s">
        <v>48</v>
      </c>
      <c r="M314" s="33" t="n">
        <f>133700</f>
        <v>133700.0</v>
      </c>
      <c r="N314" s="34" t="s">
        <v>51</v>
      </c>
      <c r="O314" s="33" t="n">
        <f>109900</f>
        <v>109900.0</v>
      </c>
      <c r="P314" s="34" t="s">
        <v>116</v>
      </c>
      <c r="Q314" s="33" t="n">
        <f>133300</f>
        <v>133300.0</v>
      </c>
      <c r="R314" s="34" t="s">
        <v>51</v>
      </c>
      <c r="S314" s="35" t="n">
        <f>121622.22</f>
        <v>121622.22</v>
      </c>
      <c r="T314" s="32" t="n">
        <f>130098</f>
        <v>130098.0</v>
      </c>
      <c r="U314" s="32" t="n">
        <f>28972</f>
        <v>28972.0</v>
      </c>
      <c r="V314" s="32" t="n">
        <f>15752001637</f>
        <v>1.5752001637E10</v>
      </c>
      <c r="W314" s="32" t="n">
        <f>3489725537</f>
        <v>3.489725537E9</v>
      </c>
      <c r="X314" s="36" t="n">
        <f>18</f>
        <v>18.0</v>
      </c>
    </row>
    <row r="315">
      <c r="A315" s="27" t="s">
        <v>42</v>
      </c>
      <c r="B315" s="27" t="s">
        <v>990</v>
      </c>
      <c r="C315" s="27" t="s">
        <v>991</v>
      </c>
      <c r="D315" s="27" t="s">
        <v>992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113800</f>
        <v>113800.0</v>
      </c>
      <c r="L315" s="34" t="s">
        <v>48</v>
      </c>
      <c r="M315" s="33" t="n">
        <f>119000</f>
        <v>119000.0</v>
      </c>
      <c r="N315" s="34" t="s">
        <v>61</v>
      </c>
      <c r="O315" s="33" t="n">
        <f>113800</f>
        <v>113800.0</v>
      </c>
      <c r="P315" s="34" t="s">
        <v>48</v>
      </c>
      <c r="Q315" s="33" t="n">
        <f>115000</f>
        <v>115000.0</v>
      </c>
      <c r="R315" s="34" t="s">
        <v>51</v>
      </c>
      <c r="S315" s="35" t="n">
        <f>116677.78</f>
        <v>116677.78</v>
      </c>
      <c r="T315" s="32" t="n">
        <f>12125</f>
        <v>12125.0</v>
      </c>
      <c r="U315" s="32" t="n">
        <f>434</f>
        <v>434.0</v>
      </c>
      <c r="V315" s="32" t="n">
        <f>1414968991</f>
        <v>1.414968991E9</v>
      </c>
      <c r="W315" s="32" t="n">
        <f>50431591</f>
        <v>5.0431591E7</v>
      </c>
      <c r="X315" s="36" t="n">
        <f>18</f>
        <v>18.0</v>
      </c>
    </row>
    <row r="316">
      <c r="A316" s="27" t="s">
        <v>42</v>
      </c>
      <c r="B316" s="27" t="s">
        <v>993</v>
      </c>
      <c r="C316" s="27" t="s">
        <v>994</v>
      </c>
      <c r="D316" s="27" t="s">
        <v>995</v>
      </c>
      <c r="E316" s="28" t="s">
        <v>46</v>
      </c>
      <c r="F316" s="29" t="s">
        <v>46</v>
      </c>
      <c r="G316" s="30" t="s">
        <v>46</v>
      </c>
      <c r="H316" s="31"/>
      <c r="I316" s="31" t="s">
        <v>635</v>
      </c>
      <c r="J316" s="32" t="n">
        <v>1.0</v>
      </c>
      <c r="K316" s="33" t="n">
        <f>59000</f>
        <v>59000.0</v>
      </c>
      <c r="L316" s="34" t="s">
        <v>48</v>
      </c>
      <c r="M316" s="33" t="n">
        <f>62000</f>
        <v>62000.0</v>
      </c>
      <c r="N316" s="34" t="s">
        <v>49</v>
      </c>
      <c r="O316" s="33" t="n">
        <f>58800</f>
        <v>58800.0</v>
      </c>
      <c r="P316" s="34" t="s">
        <v>48</v>
      </c>
      <c r="Q316" s="33" t="n">
        <f>61600</f>
        <v>61600.0</v>
      </c>
      <c r="R316" s="34" t="s">
        <v>51</v>
      </c>
      <c r="S316" s="35" t="n">
        <f>60438.89</f>
        <v>60438.89</v>
      </c>
      <c r="T316" s="32" t="n">
        <f>8695</f>
        <v>8695.0</v>
      </c>
      <c r="U316" s="32" t="n">
        <f>593</f>
        <v>593.0</v>
      </c>
      <c r="V316" s="32" t="n">
        <f>526559800</f>
        <v>5.265598E8</v>
      </c>
      <c r="W316" s="32" t="n">
        <f>35902900</f>
        <v>3.59029E7</v>
      </c>
      <c r="X316" s="36" t="n">
        <f>18</f>
        <v>18.0</v>
      </c>
    </row>
    <row r="317">
      <c r="A317" s="27" t="s">
        <v>42</v>
      </c>
      <c r="B317" s="27" t="s">
        <v>996</v>
      </c>
      <c r="C317" s="27" t="s">
        <v>997</v>
      </c>
      <c r="D317" s="27" t="s">
        <v>998</v>
      </c>
      <c r="E317" s="28" t="s">
        <v>46</v>
      </c>
      <c r="F317" s="29" t="s">
        <v>46</v>
      </c>
      <c r="G317" s="30" t="s">
        <v>46</v>
      </c>
      <c r="H317" s="31"/>
      <c r="I317" s="31" t="s">
        <v>635</v>
      </c>
      <c r="J317" s="32" t="n">
        <v>1.0</v>
      </c>
      <c r="K317" s="33" t="n">
        <f>92300</f>
        <v>92300.0</v>
      </c>
      <c r="L317" s="34" t="s">
        <v>48</v>
      </c>
      <c r="M317" s="33" t="n">
        <f>100200</f>
        <v>100200.0</v>
      </c>
      <c r="N317" s="34" t="s">
        <v>51</v>
      </c>
      <c r="O317" s="33" t="n">
        <f>92300</f>
        <v>92300.0</v>
      </c>
      <c r="P317" s="34" t="s">
        <v>48</v>
      </c>
      <c r="Q317" s="33" t="n">
        <f>100100</f>
        <v>100100.0</v>
      </c>
      <c r="R317" s="34" t="s">
        <v>51</v>
      </c>
      <c r="S317" s="35" t="n">
        <f>97600</f>
        <v>97600.0</v>
      </c>
      <c r="T317" s="32" t="n">
        <f>5797</f>
        <v>5797.0</v>
      </c>
      <c r="U317" s="32" t="n">
        <f>149</f>
        <v>149.0</v>
      </c>
      <c r="V317" s="32" t="n">
        <f>565176540</f>
        <v>5.6517654E8</v>
      </c>
      <c r="W317" s="32" t="n">
        <f>14714240</f>
        <v>1.471424E7</v>
      </c>
      <c r="X317" s="36" t="n">
        <f>18</f>
        <v>18.0</v>
      </c>
    </row>
    <row r="318">
      <c r="A318" s="27" t="s">
        <v>42</v>
      </c>
      <c r="B318" s="27" t="s">
        <v>999</v>
      </c>
      <c r="C318" s="27" t="s">
        <v>1000</v>
      </c>
      <c r="D318" s="27" t="s">
        <v>1001</v>
      </c>
      <c r="E318" s="28" t="s">
        <v>46</v>
      </c>
      <c r="F318" s="29" t="s">
        <v>46</v>
      </c>
      <c r="G318" s="30" t="s">
        <v>46</v>
      </c>
      <c r="H318" s="31"/>
      <c r="I318" s="31" t="s">
        <v>635</v>
      </c>
      <c r="J318" s="32" t="n">
        <v>1.0</v>
      </c>
      <c r="K318" s="33" t="n">
        <f>106800</f>
        <v>106800.0</v>
      </c>
      <c r="L318" s="34" t="s">
        <v>48</v>
      </c>
      <c r="M318" s="33" t="n">
        <f>116000</f>
        <v>116000.0</v>
      </c>
      <c r="N318" s="34" t="s">
        <v>72</v>
      </c>
      <c r="O318" s="33" t="n">
        <f>106300</f>
        <v>106300.0</v>
      </c>
      <c r="P318" s="34" t="s">
        <v>48</v>
      </c>
      <c r="Q318" s="33" t="n">
        <f>115100</f>
        <v>115100.0</v>
      </c>
      <c r="R318" s="34" t="s">
        <v>51</v>
      </c>
      <c r="S318" s="35" t="n">
        <f>113561.11</f>
        <v>113561.11</v>
      </c>
      <c r="T318" s="32" t="n">
        <f>7103</f>
        <v>7103.0</v>
      </c>
      <c r="U318" s="32" t="n">
        <f>162</f>
        <v>162.0</v>
      </c>
      <c r="V318" s="32" t="n">
        <f>805807360</f>
        <v>8.0580736E8</v>
      </c>
      <c r="W318" s="32" t="n">
        <f>18511560</f>
        <v>1.851156E7</v>
      </c>
      <c r="X318" s="36" t="n">
        <f>18</f>
        <v>18.0</v>
      </c>
    </row>
    <row r="319">
      <c r="A319" s="27" t="s">
        <v>42</v>
      </c>
      <c r="B319" s="27" t="s">
        <v>1002</v>
      </c>
      <c r="C319" s="27" t="s">
        <v>1003</v>
      </c>
      <c r="D319" s="27" t="s">
        <v>1004</v>
      </c>
      <c r="E319" s="28" t="s">
        <v>46</v>
      </c>
      <c r="F319" s="29" t="s">
        <v>46</v>
      </c>
      <c r="G319" s="30" t="s">
        <v>46</v>
      </c>
      <c r="H319" s="31"/>
      <c r="I319" s="31" t="s">
        <v>635</v>
      </c>
      <c r="J319" s="32" t="n">
        <v>1.0</v>
      </c>
      <c r="K319" s="33" t="n">
        <f>93100</f>
        <v>93100.0</v>
      </c>
      <c r="L319" s="34" t="s">
        <v>48</v>
      </c>
      <c r="M319" s="33" t="n">
        <f>102100</f>
        <v>102100.0</v>
      </c>
      <c r="N319" s="34" t="s">
        <v>51</v>
      </c>
      <c r="O319" s="33" t="n">
        <f>92200</f>
        <v>92200.0</v>
      </c>
      <c r="P319" s="34" t="s">
        <v>48</v>
      </c>
      <c r="Q319" s="33" t="n">
        <f>101900</f>
        <v>101900.0</v>
      </c>
      <c r="R319" s="34" t="s">
        <v>51</v>
      </c>
      <c r="S319" s="35" t="n">
        <f>99477.78</f>
        <v>99477.78</v>
      </c>
      <c r="T319" s="32" t="n">
        <f>2016</f>
        <v>2016.0</v>
      </c>
      <c r="U319" s="32" t="str">
        <f>"－"</f>
        <v>－</v>
      </c>
      <c r="V319" s="32" t="n">
        <f>200184200</f>
        <v>2.001842E8</v>
      </c>
      <c r="W319" s="32" t="str">
        <f>"－"</f>
        <v>－</v>
      </c>
      <c r="X319" s="36" t="n">
        <f>18</f>
        <v>18.0</v>
      </c>
    </row>
    <row r="320">
      <c r="A320" s="27" t="s">
        <v>42</v>
      </c>
      <c r="B320" s="27" t="s">
        <v>1005</v>
      </c>
      <c r="C320" s="27" t="s">
        <v>1006</v>
      </c>
      <c r="D320" s="27" t="s">
        <v>1007</v>
      </c>
      <c r="E320" s="28" t="s">
        <v>46</v>
      </c>
      <c r="F320" s="29" t="s">
        <v>46</v>
      </c>
      <c r="G320" s="30" t="s">
        <v>46</v>
      </c>
      <c r="H320" s="31"/>
      <c r="I320" s="31" t="s">
        <v>635</v>
      </c>
      <c r="J320" s="32" t="n">
        <v>1.0</v>
      </c>
      <c r="K320" s="33" t="n">
        <f>85000</f>
        <v>85000.0</v>
      </c>
      <c r="L320" s="34" t="s">
        <v>48</v>
      </c>
      <c r="M320" s="33" t="n">
        <f>93200</f>
        <v>93200.0</v>
      </c>
      <c r="N320" s="34" t="s">
        <v>51</v>
      </c>
      <c r="O320" s="33" t="n">
        <f>84700</f>
        <v>84700.0</v>
      </c>
      <c r="P320" s="34" t="s">
        <v>48</v>
      </c>
      <c r="Q320" s="33" t="n">
        <f>92300</f>
        <v>92300.0</v>
      </c>
      <c r="R320" s="34" t="s">
        <v>51</v>
      </c>
      <c r="S320" s="35" t="n">
        <f>89172.22</f>
        <v>89172.22</v>
      </c>
      <c r="T320" s="32" t="n">
        <f>3596</f>
        <v>3596.0</v>
      </c>
      <c r="U320" s="32" t="n">
        <f>57</f>
        <v>57.0</v>
      </c>
      <c r="V320" s="32" t="n">
        <f>320568900</f>
        <v>3.205689E8</v>
      </c>
      <c r="W320" s="32" t="n">
        <f>5259000</f>
        <v>5259000.0</v>
      </c>
      <c r="X320" s="36" t="n">
        <f>18</f>
        <v>18.0</v>
      </c>
    </row>
    <row r="321">
      <c r="A321" s="27" t="s">
        <v>42</v>
      </c>
      <c r="B321" s="27" t="s">
        <v>1008</v>
      </c>
      <c r="C321" s="27" t="s">
        <v>1009</v>
      </c>
      <c r="D321" s="27" t="s">
        <v>1010</v>
      </c>
      <c r="E321" s="28" t="s">
        <v>46</v>
      </c>
      <c r="F321" s="29" t="s">
        <v>46</v>
      </c>
      <c r="G321" s="30" t="s">
        <v>46</v>
      </c>
      <c r="H321" s="31"/>
      <c r="I321" s="31" t="s">
        <v>635</v>
      </c>
      <c r="J321" s="32" t="n">
        <v>1.0</v>
      </c>
      <c r="K321" s="33" t="n">
        <f>92500</f>
        <v>92500.0</v>
      </c>
      <c r="L321" s="34" t="s">
        <v>48</v>
      </c>
      <c r="M321" s="33" t="n">
        <f>97900</f>
        <v>97900.0</v>
      </c>
      <c r="N321" s="34" t="s">
        <v>85</v>
      </c>
      <c r="O321" s="33" t="n">
        <f>91900</f>
        <v>91900.0</v>
      </c>
      <c r="P321" s="34" t="s">
        <v>48</v>
      </c>
      <c r="Q321" s="33" t="n">
        <f>94300</f>
        <v>94300.0</v>
      </c>
      <c r="R321" s="34" t="s">
        <v>51</v>
      </c>
      <c r="S321" s="35" t="n">
        <f>94655.56</f>
        <v>94655.56</v>
      </c>
      <c r="T321" s="32" t="n">
        <f>3547</f>
        <v>3547.0</v>
      </c>
      <c r="U321" s="32" t="str">
        <f>"－"</f>
        <v>－</v>
      </c>
      <c r="V321" s="32" t="n">
        <f>337169500</f>
        <v>3.371695E8</v>
      </c>
      <c r="W321" s="32" t="str">
        <f>"－"</f>
        <v>－</v>
      </c>
      <c r="X321" s="36" t="n">
        <f>18</f>
        <v>18.0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2019-03-19T12:06:25Z</dcterms:modified>
</cp:coreProperties>
</file>