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4" r:id="rId1" sheetId="1"/>
  </sheets>
  <definedNames>
    <definedName localSheetId="0" name="_xlnm.Print_Titles">BO_EM0004!$1:$6</definedName>
  </definedNames>
  <calcPr calcId="145621"/>
</workbook>
</file>

<file path=xl/sharedStrings.xml><?xml version="1.0" encoding="utf-8"?>
<sst xmlns="http://schemas.openxmlformats.org/spreadsheetml/2006/main" count="3846" uniqueCount="1023">
  <si>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</si>
  <si>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eb="1" sb="0">
      <t>トウ</t>
    </rPh>
    <rPh eb="3" sb="2">
      <t>シン</t>
    </rPh>
    <rPh eb="5" sb="4">
      <t>トウ</t>
    </rPh>
    <rPh eb="7" sb="6">
      <t>ソウ</t>
    </rPh>
    <rPh eb="9" sb="8">
      <t>バ</t>
    </rPh>
    <rPh eb="11" sb="10">
      <t>ヒョウ</t>
    </rPh>
    <phoneticPr fontId="3"/>
  </si>
  <si>
    <t>Investment Trust Quotations</t>
    <phoneticPr fontId="3"/>
  </si>
  <si>
    <t>年月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</si>
  <si>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</si>
  <si>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</si>
  <si>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</si>
  <si>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</si>
  <si>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</si>
  <si>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eb="2" sb="0">
      <t>ヒヅケ</t>
    </rPh>
    <phoneticPr fontId="3"/>
  </si>
  <si>
    <t>区分</t>
  </si>
  <si>
    <t>信用・貸借</t>
    <rPh eb="2" sb="0">
      <t>シンヨウ</t>
    </rPh>
    <rPh eb="5" sb="3">
      <t>タイシャク</t>
    </rPh>
    <phoneticPr fontId="3"/>
  </si>
  <si>
    <t>売買単位</t>
    <rPh eb="2" sb="0">
      <t>バイバイ</t>
    </rPh>
    <rPh eb="4" sb="2">
      <t>タンイ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</si>
  <si>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</si>
  <si>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</si>
  <si>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</si>
  <si>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</si>
  <si>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</si>
  <si>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売買高</t>
    <rPh eb="3" sb="0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</si>
  <si>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</si>
  <si>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</si>
  <si>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</si>
  <si>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値付日数</t>
    <rPh eb="2" sb="0">
      <t>ネツ</t>
    </rPh>
    <rPh eb="4" sb="2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</si>
  <si>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</si>
  <si>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</si>
  <si>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</si>
  <si>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</si>
  <si>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</si>
  <si>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</si>
  <si>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</si>
  <si>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</si>
  <si>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</si>
  <si>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</si>
  <si>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</si>
  <si>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</si>
  <si>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</si>
  <si>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</si>
  <si>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</si>
  <si>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</si>
  <si>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</si>
  <si>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</si>
  <si>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</si>
  <si>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2020/06</t>
  </si>
  <si>
    <t>1305</t>
  </si>
  <si>
    <t>ダイワ上場投信－トピックス　受益証券</t>
  </si>
  <si>
    <t>Daiwa ETF-TOPIX</t>
  </si>
  <si>
    <t/>
  </si>
  <si>
    <t>貸借</t>
  </si>
  <si>
    <t>1</t>
  </si>
  <si>
    <t>9</t>
  </si>
  <si>
    <t>15</t>
  </si>
  <si>
    <t>30</t>
  </si>
  <si>
    <t>1306</t>
  </si>
  <si>
    <t>ＴＯＰＩＸ連動型上場投資信託　受益証券</t>
  </si>
  <si>
    <t>TOPIX Exchange Traded Fund</t>
  </si>
  <si>
    <t>1308</t>
  </si>
  <si>
    <t>上場インデックスファンドＴＯＰＩＸ　受益証券</t>
  </si>
  <si>
    <t>Nikko Exchange Traded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</si>
  <si>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</si>
  <si>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</si>
  <si>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</si>
  <si>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4</t>
  </si>
  <si>
    <t>12</t>
  </si>
  <si>
    <t>1311</t>
  </si>
  <si>
    <t>ＴＯＰＩＸ　Ｃｏｒｅ　３０　連動型上場投資信託　受益証券</t>
  </si>
  <si>
    <t>TOPIX Core 30 Exchange Traded Fund</t>
  </si>
  <si>
    <t>1312</t>
  </si>
  <si>
    <t>ラッセル野村小型コア・インデックス連動型上場投資信託　受益証券</t>
  </si>
  <si>
    <t>Russell/Nomura Small Cap Core Index Linked ETF</t>
  </si>
  <si>
    <t>10</t>
  </si>
  <si>
    <t>1313</t>
  </si>
  <si>
    <t>サムスンＫＯＤＥＸ２００証券上場指数投資信託[株式]　受益証券</t>
  </si>
  <si>
    <t>SAMSUNG KODEX200 SECURITIES EXCHANGE TRADED FUND [STOCK]</t>
  </si>
  <si>
    <t>8</t>
  </si>
  <si>
    <t>1319</t>
  </si>
  <si>
    <t>日経３００株価指数連動型上場投資信託　受益証券</t>
  </si>
  <si>
    <t>Nikkei 300 Stock Index Listed Fund</t>
  </si>
  <si>
    <t>29</t>
  </si>
  <si>
    <t>1320</t>
  </si>
  <si>
    <t>ダイワ上場投信－日経２２５　受益証券</t>
  </si>
  <si>
    <t>Daiwa ETF-Nikkei 225</t>
  </si>
  <si>
    <t>1321</t>
  </si>
  <si>
    <t>日経２２５連動型上場投資信託　受益証券</t>
  </si>
  <si>
    <t>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</si>
  <si>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</si>
  <si>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</si>
  <si>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</si>
  <si>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1323</t>
  </si>
  <si>
    <t>ＮＥＸＴ　ＦＵＮＤＳ　南アフリカ株式指数・ＦＴＳＥ／ＪＳＥ　Ａｆｒｉｃａ　Ｔｏｐ４０連動型上場投信　受益証券</t>
  </si>
  <si>
    <t>NEXT FUNDS FTSE/JSE Africa Top40 Linked Exchange Traded Fund</t>
  </si>
  <si>
    <t>2</t>
  </si>
  <si>
    <t>1324</t>
  </si>
  <si>
    <t>ＮＥＸＴ　ＦＵＮＤＳ　ロシア株式指数・ＲＴＳ連動型上場投信　受益証券</t>
  </si>
  <si>
    <t>NEXT FUNDS Russia RTS Linked Exchange Traded Fund</t>
  </si>
  <si>
    <t>5</t>
  </si>
  <si>
    <t>1325</t>
  </si>
  <si>
    <t>ＮＥＸＴ　ＦＵＮＤＳ　ブラジル株式指数・ボベスパ連動型上場投信　受益証券</t>
  </si>
  <si>
    <t>NEXT FUNDS Ibovespa Linked Exchange Traded Fund</t>
  </si>
  <si>
    <t>1326</t>
  </si>
  <si>
    <t>ＳＰＤＲゴールド・シェア　受益証券</t>
  </si>
  <si>
    <t>SPDR Gold Shares</t>
  </si>
  <si>
    <t>1327</t>
  </si>
  <si>
    <t>イージーＥＴＦ　Ｓ＆Ｐ　ＧＳＣＩ　商品指数　キャップド・コモディティ　３５／２０　クラスＡ米ドル建受益証券</t>
  </si>
  <si>
    <t>S&amp;P GSCI Energy &amp; Metals Capped Component 35/20 THEAM Easy UCITS ETF Class A USD Unit</t>
  </si>
  <si>
    <t>22</t>
  </si>
  <si>
    <t>1328</t>
  </si>
  <si>
    <t>金価格連動型上場投資信託　受益証券</t>
  </si>
  <si>
    <t>Gold-Price-Linked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</si>
  <si>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</si>
  <si>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</si>
  <si>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</si>
  <si>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</si>
  <si>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</si>
  <si>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Nikko Exchange Traded Index Fund 225</t>
  </si>
  <si>
    <t>1343</t>
  </si>
  <si>
    <t>ＮＥＸＴ　ＦＵＮＤＳ　東証ＲＥＩＴ指数連動型上場投信　受益証券</t>
  </si>
  <si>
    <t>NEXT FUNDS REIT INDEX ETF</t>
  </si>
  <si>
    <t>1344</t>
  </si>
  <si>
    <t>ＭＡＸＩＳ　トピックス・コア３０上場投信　受益証券</t>
  </si>
  <si>
    <t>MAXIS TOPIX Core30 ETF</t>
  </si>
  <si>
    <t>1345</t>
  </si>
  <si>
    <t>上場インデックスファンドＪリート（東証ＲＥＩＴ指数）隔月分配型　受益証券</t>
  </si>
  <si>
    <t>Listed Index Fund J-REIT (Tokyo Stock Exchange REIT Index)</t>
  </si>
  <si>
    <t>1346</t>
  </si>
  <si>
    <t>ＭＡＸＩＳ　日経２２５上場投信　受益証券</t>
  </si>
  <si>
    <t>MAXIS NIKKEI225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</si>
  <si>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</si>
  <si>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</si>
  <si>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</si>
  <si>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</si>
  <si>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</si>
  <si>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</si>
  <si>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24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</si>
  <si>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</si>
  <si>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</si>
  <si>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</si>
  <si>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</si>
  <si>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</si>
  <si>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ETF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</si>
  <si>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</si>
  <si>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</si>
  <si>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</si>
  <si>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</si>
  <si>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</si>
  <si>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</si>
  <si>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</si>
  <si>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</si>
  <si>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</si>
  <si>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</si>
  <si>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ダイワ上場投信－日経平均レバレッジ・インデックス　受益証券</t>
  </si>
  <si>
    <t>Daiwa ETF Japan Nikkei225 Leveraged Index</t>
  </si>
  <si>
    <t>1366</t>
  </si>
  <si>
    <t>ダイワ上場投信－日経平均ダブルインバース・インデックス　受益証券</t>
  </si>
  <si>
    <t>Daiwa ETF Japan Nikkei225 Double Inverse Index</t>
  </si>
  <si>
    <t>1367</t>
  </si>
  <si>
    <t>ダイワ上場投信－ＴＯＰＩＸレバレッジ（２倍）指数　受益証券</t>
  </si>
  <si>
    <t>Daiwa ETF Japan TOPIX Leveraged (2x) Index</t>
  </si>
  <si>
    <t>1368</t>
  </si>
  <si>
    <t>ダイワ上場投信－ＴＯＰＩＸダブルインバース（－２倍）指数　受益証券</t>
  </si>
  <si>
    <t>Daiwa ETF Japan TOPIX Double Inverse (-2x) Index</t>
  </si>
  <si>
    <t>1369</t>
  </si>
  <si>
    <t>Ｏｎｅ　ＥＴＦ　日経２２５　受益証券</t>
  </si>
  <si>
    <t>One ETF Nikkei225</t>
  </si>
  <si>
    <t>1385</t>
  </si>
  <si>
    <t>ＵＢＳ　ＥＴＦ　ユーロ圏大型株５０（ユーロ・ストックス５０）　受益証券</t>
  </si>
  <si>
    <t>UBS ETF EURO STOXX 50 UCITS ETF-JDR</t>
  </si>
  <si>
    <t>1386</t>
  </si>
  <si>
    <t>ＵＢＳ　ＥＴＦ　欧州株（ＭＳＣＩヨーロッパ）　受益証券</t>
  </si>
  <si>
    <t>UBS ETF MSCI Europe UCITS ETF-JDR</t>
  </si>
  <si>
    <t>1387</t>
  </si>
  <si>
    <t>ＵＢＳ　ＥＴＦ　ユーロ圏株（ＭＳＣＩ　ＥＭＵ）　受益証券</t>
  </si>
  <si>
    <t>UBS ETF MSCI EMU UCITS ETF-JDR</t>
  </si>
  <si>
    <t>1388</t>
  </si>
  <si>
    <t>ＵＢＳ　ＥＴＦ　ユーロ圏小型株（ＭＳＣＩ　ＥＭＵ小型株）　受益証券</t>
  </si>
  <si>
    <t>UBS ETF MSCI EMU Small Cap UCITS ETF-JDR</t>
  </si>
  <si>
    <t>1389</t>
  </si>
  <si>
    <t>ＵＢＳ　ＥＴＦ　英国大型株１００（ＦＴＳＥ　１００）　受益証券</t>
  </si>
  <si>
    <t>UBS ETF FTSE 100 UCITS ETF-JDR</t>
  </si>
  <si>
    <t>1390</t>
  </si>
  <si>
    <t>ＵＢＳ　ＥＴＦ　ＭＳＣＩアジア太平洋株（除く日本）　受益証券</t>
  </si>
  <si>
    <t>UBS ETF MSCI Pacific (ex Japan) UCITS ETF-JDR</t>
  </si>
  <si>
    <t>1391</t>
  </si>
  <si>
    <t>ＵＢＳ　ＥＴＦ　スイス株（ＭＳＣＩスイス２０／３５）　受益証券</t>
  </si>
  <si>
    <t>UBS ETF MSCI Switzerland 20/35 UCITS ETF-JDR</t>
  </si>
  <si>
    <t>23</t>
  </si>
  <si>
    <t>1392</t>
  </si>
  <si>
    <t>ＵＢＳ　ＥＴＦ　英国株（ＭＳＣＩ英国）　受益証券</t>
  </si>
  <si>
    <t>UBS ETF MSCI United Kingdom UCITS ETF-JDR</t>
  </si>
  <si>
    <t>1393</t>
  </si>
  <si>
    <t>ＵＢＳ　ＥＴＦ　米国株（ＭＳＣＩ米国）　受益証券</t>
  </si>
  <si>
    <t>UBS ETF MSCI USA UCITS ETF-JDR</t>
  </si>
  <si>
    <t>1394</t>
  </si>
  <si>
    <t>ＵＢＳ　ＥＴＦ　先進国株（ＭＳＣＩワールド）　受益証券</t>
  </si>
  <si>
    <t>UBS ETF MSCI World UCITS ETF-JDR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</si>
  <si>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</si>
  <si>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</si>
  <si>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</si>
  <si>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</si>
  <si>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</si>
  <si>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</si>
  <si>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</si>
  <si>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</si>
  <si>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</si>
  <si>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1456</t>
  </si>
  <si>
    <t>ダイワ上場投信－日経平均インバース・インデックス　受益証券</t>
  </si>
  <si>
    <t>Daiwa ETF Japan Nikkei225 Inverse Index</t>
  </si>
  <si>
    <t>1457</t>
  </si>
  <si>
    <t>ダイワ上場投信－ＴＯＰＩＸインバース（－１倍）指数　受益証券</t>
  </si>
  <si>
    <t>Daiwa ETF Japan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</si>
  <si>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</si>
  <si>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</si>
  <si>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</si>
  <si>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</si>
  <si>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</si>
  <si>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</si>
  <si>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1460</t>
  </si>
  <si>
    <t>ＭＡＸＩＳ　ＪＡＰＡＮ　クオリティ１５０上場投信　受益証券</t>
  </si>
  <si>
    <t>MAXIS JAPAN Quality 150 Index ETF</t>
  </si>
  <si>
    <t>1464</t>
  </si>
  <si>
    <t>ダイワ上場投信－ＪＰＸ日経４００レバレッジ・インデックス　受益証券</t>
  </si>
  <si>
    <t>Daiwa ETF Japan JPX-Nikkei 400 Leveraged (2x) Index</t>
  </si>
  <si>
    <t>1465</t>
  </si>
  <si>
    <t>ダイワ上場投信－ＪＰＸ日経４００インバース・インデックス　受益証券</t>
  </si>
  <si>
    <t>Daiwa ETF Japan JPX-Nikkei 400 Inverse (-1x) Index</t>
  </si>
  <si>
    <t>1466</t>
  </si>
  <si>
    <t>ダイワ上場投信－ＪＰＸ日経４００ダブルインバース・インデックス　受益証券</t>
  </si>
  <si>
    <t>Daiwa ETF Japan JPX-Nikkei 400 Double Inverse (-2x) Index</t>
  </si>
  <si>
    <t>1467</t>
  </si>
  <si>
    <t>ＪＰＸ日経４００ブル２倍上場投信（レバレッジ）　受益証券</t>
  </si>
  <si>
    <t>JPX-Nikkei 400 Bull 2x Leveraged ETF</t>
  </si>
  <si>
    <t>1468</t>
  </si>
  <si>
    <t>ＪＰＸ日経４００ベア上場投信（インバース）　受益証券</t>
  </si>
  <si>
    <t>JPX-Nikkei 400 Bear -1x Inverse ETF</t>
  </si>
  <si>
    <t>1469</t>
  </si>
  <si>
    <t>ＪＰＸ日経４００ベア２倍上場投信（ダブルインバース）　受益証券</t>
  </si>
  <si>
    <t>JPX-Nikkei 400 Bear -2x Double Inverse ETF</t>
  </si>
  <si>
    <t>1470</t>
  </si>
  <si>
    <t>ＮＥＸＴ　ＦＵＮＤＳ　ＪＰＸ日経４００レバレッジ・インデックス連動型上場投信　受益証券</t>
  </si>
  <si>
    <t>NEXT FUNDS JPX-Nikkei 400 Leveraged Index Exchange Traded Fund</t>
  </si>
  <si>
    <t>1471</t>
  </si>
  <si>
    <t>ＮＥＸＴ　ＦＵＮＤＳ　ＪＰＸ日経４００インバース・インデックス連動型上場投信　受益証券</t>
  </si>
  <si>
    <t>NEXT FUNDS JPX-Nikkei 400 Inverse Index Exchange Traded Fund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</si>
  <si>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</si>
  <si>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</si>
  <si>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</si>
  <si>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</si>
  <si>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</si>
  <si>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</si>
  <si>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</si>
  <si>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</si>
  <si>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</si>
  <si>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</si>
  <si>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</si>
  <si>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</si>
  <si>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</si>
  <si>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</si>
  <si>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</si>
  <si>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</si>
  <si>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</si>
  <si>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</si>
  <si>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</si>
  <si>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</si>
  <si>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</si>
  <si>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1479</t>
  </si>
  <si>
    <t>ダイワ上場投信－ＭＳＣＩ日本株人材設備投資指数　受益証券</t>
  </si>
  <si>
    <t>Daiwa ETF MSCI Japan Human and Physical Investment Index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</si>
  <si>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</si>
  <si>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</si>
  <si>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</si>
  <si>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</si>
  <si>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</si>
  <si>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</si>
  <si>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</si>
  <si>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</si>
  <si>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</si>
  <si>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1483</t>
  </si>
  <si>
    <t>ｉシェアーズ　ＪＰＸ／Ｓ＆Ｐ設備・人材投資　ＥＴＦ　受益証券</t>
  </si>
  <si>
    <t>iShares JPX/S&amp;P CAPEX &amp; Human Capital ETF</t>
  </si>
  <si>
    <t>19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</si>
  <si>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</si>
  <si>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</si>
  <si>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</si>
  <si>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</si>
  <si>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</si>
  <si>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</si>
  <si>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3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</si>
  <si>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</si>
  <si>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</si>
  <si>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</si>
  <si>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</si>
  <si>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</si>
  <si>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</si>
  <si>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1488</t>
  </si>
  <si>
    <t>ダイワ上場投信－東証ＲＥＩＴ指数　受益証券</t>
  </si>
  <si>
    <t>Daiwa 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</si>
  <si>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</si>
  <si>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</si>
  <si>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</si>
  <si>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25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</si>
  <si>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</si>
  <si>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</si>
  <si>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</si>
  <si>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1492</t>
  </si>
  <si>
    <t>ＭＡＸＩＳ　ＪＰＸ　日経中小型株指数上場投信　受益証券</t>
  </si>
  <si>
    <t>MAXIS JPX-Nikkei Mid and Small Cap Index ETF</t>
  </si>
  <si>
    <t>16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</si>
  <si>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</si>
  <si>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</si>
  <si>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</si>
  <si>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</si>
  <si>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</si>
  <si>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</si>
  <si>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</si>
  <si>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</si>
  <si>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</si>
  <si>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</si>
  <si>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</si>
  <si>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</si>
  <si>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</si>
  <si>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</si>
  <si>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</si>
  <si>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</si>
  <si>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</si>
  <si>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</si>
  <si>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</si>
  <si>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</si>
  <si>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</si>
  <si>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1540</t>
  </si>
  <si>
    <t>純金上場信託（現物国内保管型）　受益証券</t>
  </si>
  <si>
    <t>Japan Physical Gold ETF</t>
  </si>
  <si>
    <t>11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</si>
  <si>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</si>
  <si>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</si>
  <si>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</si>
  <si>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</si>
  <si>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</si>
  <si>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</si>
  <si>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</si>
  <si>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</si>
  <si>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</si>
  <si>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26</t>
  </si>
  <si>
    <t>1545</t>
  </si>
  <si>
    <t>ＮＥＸＴ　ＦＵＮＤＳ　ＮＡＳＤＡＱ－１００連動型上場投信　受益証券</t>
  </si>
  <si>
    <t>NEXT FUNDS NASDAQ-100 Exchange Traded Fund</t>
  </si>
  <si>
    <t>1546</t>
  </si>
  <si>
    <t>ＮＥＸＴ　ＦＵＮＤＳ　ダウ・ジョーンズ工業株３０種平均株価連動型上場投信　受益証券</t>
  </si>
  <si>
    <t>NEXT FUNDS Dow Jones Industrial Average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</si>
  <si>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</si>
  <si>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</si>
  <si>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</si>
  <si>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</si>
  <si>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</si>
  <si>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</si>
  <si>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</si>
  <si>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ＪＡＳＤＡＱ－ＴＯＰ２０上場投信　受益証券</t>
  </si>
  <si>
    <t>JASDAQ-TOP20 ETF</t>
  </si>
  <si>
    <t>1552</t>
  </si>
  <si>
    <t>国際のＥＴＦ　ＶＩＸ短期先物指数　受益証券</t>
  </si>
  <si>
    <t>KOKUSAI S&amp;P500 VIX SHORT-TERM FUTURES INDEX ETF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</si>
  <si>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</si>
  <si>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</si>
  <si>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</si>
  <si>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</si>
  <si>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Ａ‐ＲＥＩＴ）　受益証券</t>
  </si>
  <si>
    <t>Listed Index Fund Australian REIT (S&amp;P/ASX200 A-REIT)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</si>
  <si>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</si>
  <si>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</si>
  <si>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</si>
  <si>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</si>
  <si>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</si>
  <si>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</si>
  <si>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</si>
  <si>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</si>
  <si>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</si>
  <si>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</si>
  <si>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マザーズ・コア上場投信　受益証券</t>
  </si>
  <si>
    <t>TSE Mothers Core ETF</t>
  </si>
  <si>
    <t>1566</t>
  </si>
  <si>
    <t>上場インデックスファンド新興国債券　受益証券</t>
  </si>
  <si>
    <t>Listed Index Fund Emerging Bond</t>
  </si>
  <si>
    <t>1567</t>
  </si>
  <si>
    <t>ＭＡＸＩＳトピックスリスクコントロール（５％）上場投信　受益証券</t>
  </si>
  <si>
    <t>MAXIS TOPIX Risk Control (5%) ETF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</si>
  <si>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</si>
  <si>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</si>
  <si>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</si>
  <si>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</si>
  <si>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</si>
  <si>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</si>
  <si>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</si>
  <si>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</si>
  <si>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</si>
  <si>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</si>
  <si>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</si>
  <si>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</si>
  <si>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</si>
  <si>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</si>
  <si>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</si>
  <si>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</si>
  <si>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</si>
  <si>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</si>
  <si>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1574</t>
  </si>
  <si>
    <t>ＭＡＸＩＳトピックスリスクコントロール（１０％）上場投信　受益証券</t>
  </si>
  <si>
    <t>MAXIS TOPIX Risk Control (10%) ETF</t>
  </si>
  <si>
    <t>1575</t>
  </si>
  <si>
    <t>ＣｈｉｎａＡＭＣ　ＣＳＩ　３００　Ｉｎｄｅｘ　ＥＴＦ－ＪＤＲ　受益証券</t>
  </si>
  <si>
    <t>ChinaAMC CSI 300 Index ETF-JDR</t>
  </si>
  <si>
    <t>1576</t>
  </si>
  <si>
    <t>南方　ＦＴＳＥ　中国Ａ株５０　ＥＴＦ　受益証券</t>
  </si>
  <si>
    <t>CSOP FTSE CHINA A50 ETF</t>
  </si>
  <si>
    <t>1577</t>
  </si>
  <si>
    <t>ＮＥＸＴ　ＦＵＮＤＳ　野村日本株高配当７０連動型上場投信　受益証券</t>
  </si>
  <si>
    <t>NEXT FUNDS Nomura Japan Equity High Dividend 70 ETF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</si>
  <si>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</si>
  <si>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</si>
  <si>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</si>
  <si>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</si>
  <si>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</si>
  <si>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</si>
  <si>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</si>
  <si>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</si>
  <si>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</si>
  <si>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1584</t>
  </si>
  <si>
    <t>サムスンＫＯＤＥＸサムスングループ株証券上場指数投資信託［株式］　受益証券</t>
  </si>
  <si>
    <t>Samsung KODEX Samsung Group Securities Exchange Traded Investment Trust [Share]</t>
  </si>
  <si>
    <t>1585</t>
  </si>
  <si>
    <t>ダイワ上場投信・ＴＯＰＩＸ　Ｅｘ－Ｆｉｎａｎｃｉａｌｓ　受益証券</t>
  </si>
  <si>
    <t>Daiwa 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</si>
  <si>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</si>
  <si>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</si>
  <si>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</si>
  <si>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</si>
  <si>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</si>
  <si>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</si>
  <si>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</si>
  <si>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</si>
  <si>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</si>
  <si>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</si>
  <si>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</si>
  <si>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</si>
  <si>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</si>
  <si>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</si>
  <si>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</si>
  <si>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</si>
  <si>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</si>
  <si>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</si>
  <si>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</si>
  <si>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</si>
  <si>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</si>
  <si>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1598</t>
  </si>
  <si>
    <t>ＮＥＸＴ　ＦＵＮＤＳ　Ｒ／Ｎファンダメンタル・インデックス上場投信　受益証券</t>
  </si>
  <si>
    <t>NEXT FUNDS Russell/Nomura Fundamental Index ETF</t>
  </si>
  <si>
    <t>1599</t>
  </si>
  <si>
    <t>ダイワ上場投信－ＪＰＸ日経４００　受益証券</t>
  </si>
  <si>
    <t>Daiwa ETF JPX-Nikkei 400</t>
  </si>
  <si>
    <t>1613</t>
  </si>
  <si>
    <t>東証電気機器株価指数連動型上場投資信託　受益証券</t>
  </si>
  <si>
    <t>TOPIX Electric Appliances Exchange Traded Fund</t>
  </si>
  <si>
    <t xml:space="preserve">上場廃止  </t>
  </si>
  <si>
    <t xml:space="preserve">Removal  </t>
  </si>
  <si>
    <t xml:space="preserve">2020/06/13  </t>
  </si>
  <si>
    <t>整</t>
  </si>
  <si>
    <t>1615</t>
  </si>
  <si>
    <t>東証銀行業株価指数連動型上場投資信託　受益証券</t>
  </si>
  <si>
    <t>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</si>
  <si>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</si>
  <si>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</si>
  <si>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</si>
  <si>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</si>
  <si>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</si>
  <si>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</si>
  <si>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</si>
  <si>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</si>
  <si>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</si>
  <si>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</si>
  <si>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</si>
  <si>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</si>
  <si>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</si>
  <si>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</si>
  <si>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</si>
  <si>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</si>
  <si>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</si>
  <si>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</si>
  <si>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</si>
  <si>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</si>
  <si>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</si>
  <si>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</si>
  <si>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</si>
  <si>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</si>
  <si>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</si>
  <si>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</si>
  <si>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</si>
  <si>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</si>
  <si>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</si>
  <si>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</si>
  <si>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</si>
  <si>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</si>
  <si>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</si>
  <si>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</si>
  <si>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</si>
  <si>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</si>
  <si>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</si>
  <si>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</si>
  <si>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</si>
  <si>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</si>
  <si>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</si>
  <si>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</si>
  <si>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</si>
  <si>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</si>
  <si>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</si>
  <si>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</si>
  <si>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</si>
  <si>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</si>
  <si>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</si>
  <si>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</si>
  <si>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</si>
  <si>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1651</t>
  </si>
  <si>
    <t>ダイワ上場投信－ＴＯＰＩＸ高配当４０指数　受益証券</t>
  </si>
  <si>
    <t>Daiwa ETF TOPIX High Dividend Yield 40 Index</t>
  </si>
  <si>
    <t>1652</t>
  </si>
  <si>
    <t>ダイワ上場投信－ＭＳＣＩ日本株女性活躍指数（ＷＩＮ）　受益証券</t>
  </si>
  <si>
    <t>Daiwa ETF MSCI Japan Empowering Women Index (WIN)</t>
  </si>
  <si>
    <t>18</t>
  </si>
  <si>
    <t>1653</t>
  </si>
  <si>
    <t>ダイワ上場投信－ＭＳＣＩジャパンＥＳＧセレクト・リーダーズ指数　受益証券</t>
  </si>
  <si>
    <t>Daiwa ETF MSCI Japan ESG Select Leaders Index</t>
  </si>
  <si>
    <t>1654</t>
  </si>
  <si>
    <t>ダイワ上場投信－ＦＴＳＥ　Ｂｌｏｓｓｏｍ　Ｊａｐａｎ　Ｉｎｄｅｘ　受益証券</t>
  </si>
  <si>
    <t>Daiwa 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</si>
  <si>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</si>
  <si>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</si>
  <si>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</si>
  <si>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</si>
  <si>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</si>
  <si>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</si>
  <si>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</si>
  <si>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　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</si>
  <si>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</si>
  <si>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</si>
  <si>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</si>
  <si>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</si>
  <si>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</si>
  <si>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</si>
  <si>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</si>
  <si>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</si>
  <si>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</si>
  <si>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</si>
  <si>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1670</t>
  </si>
  <si>
    <t>ＭＡＸＩＳ　Ｓ＆Ｐ三菱系企業群上場投信　受益証券</t>
  </si>
  <si>
    <t>MAXIS S&amp;P Mitsubishi Group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</si>
  <si>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</si>
  <si>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</si>
  <si>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</si>
  <si>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</si>
  <si>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</si>
  <si>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</si>
  <si>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</si>
  <si>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</si>
  <si>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</si>
  <si>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</si>
  <si>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</si>
  <si>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</si>
  <si>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</si>
  <si>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</si>
  <si>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</si>
  <si>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</si>
  <si>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</si>
  <si>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</si>
  <si>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</si>
  <si>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</si>
  <si>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</si>
  <si>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</si>
  <si>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５０連動型上場投信　受益証券</t>
  </si>
  <si>
    <t>NEXT FUNDS Nifty 50 Linked Exchange Traded Fund</t>
  </si>
  <si>
    <t>1679</t>
  </si>
  <si>
    <t>Ｓｉｍｐｌｅ－Ｘ　ＮＹダウ・ジョーンズ・インデックス上場投信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</si>
  <si>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</si>
  <si>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</si>
  <si>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</si>
  <si>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</t>
  </si>
  <si>
    <t>1681</t>
  </si>
  <si>
    <t>上場インデックスファンド海外新興国株式（ＭＳＣＩエマージング）　受益証券</t>
  </si>
  <si>
    <t>Listed Index Fund International Emerging Countries Equity</t>
  </si>
  <si>
    <t>1682</t>
  </si>
  <si>
    <t>ＮＥＸＴ　ＦＵＮＤＳ　日経・東商取白金指数連動型上場投信　受益証券</t>
  </si>
  <si>
    <t>NEXT FUNDS Nikkei-TOCOM Platinum Index Linked Exchange</t>
  </si>
  <si>
    <t>1683</t>
  </si>
  <si>
    <t>Ｏｎｅ　ＥＴＦ　国内金先物　受益証券</t>
  </si>
  <si>
    <t>One ETF Gold</t>
  </si>
  <si>
    <t>17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</si>
  <si>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</si>
  <si>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</si>
  <si>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</si>
  <si>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</si>
  <si>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</si>
  <si>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</si>
  <si>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</si>
  <si>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</si>
  <si>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</si>
  <si>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</si>
  <si>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</si>
  <si>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</si>
  <si>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</si>
  <si>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</si>
  <si>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</si>
  <si>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</si>
  <si>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</si>
  <si>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</si>
  <si>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</si>
  <si>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</si>
  <si>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</si>
  <si>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</si>
  <si>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</si>
  <si>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</si>
  <si>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</si>
  <si>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</si>
  <si>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</si>
  <si>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</si>
  <si>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</si>
  <si>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</si>
  <si>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</si>
  <si>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</si>
  <si>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</si>
  <si>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</si>
  <si>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</si>
  <si>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</si>
  <si>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</si>
  <si>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</si>
  <si>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</si>
  <si>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</si>
  <si>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</si>
  <si>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</si>
  <si>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</si>
  <si>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</si>
  <si>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</t>
  </si>
  <si>
    <t>1699</t>
  </si>
  <si>
    <t>ＮＥＸＴ　ＦＵＮＤＳ　ＮＯＭＵＲＡ原油インデックス連動型上場投信　受益証券</t>
  </si>
  <si>
    <t>NEXT FUNDS NOMURA Crude Oil Long Index Linked Exchange</t>
  </si>
  <si>
    <t>2031</t>
  </si>
  <si>
    <t>ＮＥＸＴ　ＮＯＴＥＳ　香港ハンセン・ダブル・ブル　ＥＴＮ　受益証券</t>
  </si>
  <si>
    <t>NEXT NOTES HSI Leveraged ETN</t>
  </si>
  <si>
    <t>信用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</si>
  <si>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</si>
  <si>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</si>
  <si>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</si>
  <si>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</si>
  <si>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</si>
  <si>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</si>
  <si>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</si>
  <si>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</si>
  <si>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</si>
  <si>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2035</t>
  </si>
  <si>
    <t>ＮＥＸＴ　ＮＯＴＥＳ　日経平均ＶＩ先物指数　ＥＴＮ　受益証券</t>
  </si>
  <si>
    <t>NEXT NOTES Nikkei 225 VI Futures Index ETN</t>
  </si>
  <si>
    <t>2036</t>
  </si>
  <si>
    <t>ＮＥＸＴ　ＮＯＴＥＳ　日経・ＴＯＣＯＭ　金　ダブル・ブル　ＥＴＮ　受益証券</t>
  </si>
  <si>
    <t>NEXT NOTES Nikkei-TOCOM Leveraged Gold ETN</t>
  </si>
  <si>
    <t>2037</t>
  </si>
  <si>
    <t>ＮＥＸＴ　ＮＯＴＥＳ　日経・ＴＯＣＯＭ　金　ベア　ＥＴＮ　受益証券</t>
  </si>
  <si>
    <t>NEXT NOTES Nikkei-TOCOM Inverse Gold ETN</t>
  </si>
  <si>
    <t>2038</t>
  </si>
  <si>
    <t>ＮＥＸＴ　ＮＯＴＥＳ　日経・ＴＯＣＯＭ　原油　ダブル・ブル　ＥＴＮ　受益証券</t>
  </si>
  <si>
    <t>NEXT NOTES Nikkei-TOCOM Leveraged Crude Oil ETN</t>
  </si>
  <si>
    <t>2039</t>
  </si>
  <si>
    <t>ＮＥＸＴ　ＮＯＴＥＳ　日経・ＴＯＣＯＭ　原油　ベア　ＥＴＮ　受益証券</t>
  </si>
  <si>
    <t>NEXT NOTES Nikkei-TOCOM Inverse Crude Oil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</si>
  <si>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</si>
  <si>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</si>
  <si>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</si>
  <si>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</si>
  <si>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</si>
  <si>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</si>
  <si>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</si>
  <si>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東証マザーズ　ＥＴＮ　受益証券</t>
  </si>
  <si>
    <t>NEXT NOTES Tokyo Stock Exchange Mothers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</si>
  <si>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</si>
  <si>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</si>
  <si>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</si>
  <si>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</si>
  <si>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</si>
  <si>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</si>
  <si>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</si>
  <si>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</si>
  <si>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</si>
  <si>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</si>
  <si>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</si>
  <si>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</si>
  <si>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</si>
  <si>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</si>
  <si>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</si>
  <si>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</si>
  <si>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</si>
  <si>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</si>
  <si>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</si>
  <si>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</si>
  <si>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</si>
  <si>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</si>
  <si>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</si>
  <si>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</si>
  <si>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</si>
  <si>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</si>
  <si>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</si>
  <si>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</si>
  <si>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</si>
  <si>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</si>
  <si>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</si>
  <si>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</si>
  <si>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</si>
  <si>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</si>
  <si>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</si>
  <si>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</si>
  <si>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</si>
  <si>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</si>
  <si>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</si>
  <si>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</si>
  <si>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</si>
  <si>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</si>
  <si>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</si>
  <si>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</si>
  <si>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</si>
  <si>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</si>
  <si>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</si>
  <si>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</si>
  <si>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</si>
  <si>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</si>
  <si>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</si>
  <si>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</si>
  <si>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</si>
  <si>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</si>
  <si>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</si>
  <si>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東証マザーズＥＴＦ　受益証券</t>
  </si>
  <si>
    <t>TSE Mothers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</si>
  <si>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</si>
  <si>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</si>
  <si>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</si>
  <si>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</si>
  <si>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</si>
  <si>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</si>
  <si>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</si>
  <si>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</si>
  <si>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</si>
  <si>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</si>
  <si>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</si>
  <si>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</si>
  <si>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</si>
  <si>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</si>
  <si>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</si>
  <si>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</si>
  <si>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</si>
  <si>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</si>
  <si>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</si>
  <si>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</si>
  <si>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</si>
  <si>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</si>
  <si>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</si>
  <si>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</si>
  <si>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</si>
  <si>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</si>
  <si>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</si>
  <si>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</si>
  <si>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</si>
  <si>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</si>
  <si>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</si>
  <si>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</si>
  <si>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</si>
  <si>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</si>
  <si>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ダイワ上場投信－東証ＲＥＩＴ　Ｃｏｒｅ指数　受益証券</t>
  </si>
  <si>
    <t>Daiwa 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</si>
  <si>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</si>
  <si>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</si>
  <si>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</si>
  <si>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</si>
  <si>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</si>
  <si>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</si>
  <si>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</si>
  <si>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</si>
  <si>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</si>
  <si>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</si>
  <si>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</si>
  <si>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</si>
  <si>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</si>
  <si>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ブルームバーグ・バークレイズ米国投資適格社債（１－１０年）インデックス（為替ヘッジあり）連動型上場投信　受益証券</t>
  </si>
  <si>
    <t>NEXT FUNDS Bloomberg Barclays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</si>
  <si>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</si>
  <si>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</si>
  <si>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</si>
  <si>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</si>
  <si>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</si>
  <si>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</si>
  <si>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</si>
  <si>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</si>
  <si>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</si>
  <si>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</si>
  <si>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</si>
  <si>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</si>
  <si>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</si>
  <si>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</si>
  <si>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</si>
  <si>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</si>
  <si>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</si>
  <si>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</si>
  <si>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</si>
  <si>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</si>
  <si>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</si>
  <si>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</si>
  <si>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</si>
  <si>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</si>
  <si>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</si>
  <si>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</si>
  <si>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</si>
  <si>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 xml:space="preserve">新規上場  </t>
  </si>
  <si>
    <t xml:space="preserve">New Listing  </t>
  </si>
  <si>
    <t xml:space="preserve">2020/06/19  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</si>
  <si>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</si>
  <si>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</si>
  <si>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</si>
  <si>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</si>
  <si>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</si>
  <si>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</si>
  <si>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</si>
  <si>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</si>
  <si>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</si>
  <si>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3226</t>
  </si>
  <si>
    <t>日本アコモデーションファンド投資法人　投資証券</t>
  </si>
  <si>
    <t>Nippon Accommodations Fund Inc.</t>
  </si>
  <si>
    <t>3227</t>
  </si>
  <si>
    <t>ＭＣＵＢＳ　ＭｉｄＣｉｔｙ投資法人　投資証券</t>
  </si>
  <si>
    <t>MCUBS MidCity Investment Corporation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</si>
  <si>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</si>
  <si>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</si>
  <si>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</si>
  <si>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</si>
  <si>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</si>
  <si>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</si>
  <si>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</si>
  <si>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</si>
  <si>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</si>
  <si>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3278</t>
  </si>
  <si>
    <t>ケネディクス・レジデンシャル・ネクスト投資法人　投資証券</t>
  </si>
  <si>
    <t>Kenedix Residential Next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</si>
  <si>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</si>
  <si>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</si>
  <si>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</si>
  <si>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</si>
  <si>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</si>
  <si>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</si>
  <si>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</si>
  <si>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</si>
  <si>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</si>
  <si>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</si>
  <si>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</si>
  <si>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</si>
  <si>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</si>
  <si>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</si>
  <si>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</si>
  <si>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</si>
  <si>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</si>
  <si>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</si>
  <si>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</si>
  <si>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</si>
  <si>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</si>
  <si>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</si>
  <si>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</si>
  <si>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</si>
  <si>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</si>
  <si>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</si>
  <si>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</si>
  <si>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3298</t>
  </si>
  <si>
    <t>インベスコ・オフィス・ジェイリート投資法人　投資証券</t>
  </si>
  <si>
    <t>Invesco Office J-REIT,Inc.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</si>
  <si>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</si>
  <si>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</si>
  <si>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</si>
  <si>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</si>
  <si>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</si>
  <si>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</si>
  <si>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3453</t>
  </si>
  <si>
    <t>ケネディクス商業リート投資法人　投資証券</t>
  </si>
  <si>
    <t>Kenedix Retail REIT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</si>
  <si>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</si>
  <si>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</si>
  <si>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</si>
  <si>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</si>
  <si>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</si>
  <si>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</si>
  <si>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</si>
  <si>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</si>
  <si>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</si>
  <si>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</si>
  <si>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</si>
  <si>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</si>
  <si>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</si>
  <si>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</si>
  <si>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</si>
  <si>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</si>
  <si>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</si>
  <si>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</si>
  <si>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</si>
  <si>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</si>
  <si>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</si>
  <si>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</si>
  <si>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</si>
  <si>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</si>
  <si>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</si>
  <si>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大江戸温泉リート投資法人　投資証券</t>
  </si>
  <si>
    <t>Ooedo Onsen Reit Investment Corporation</t>
  </si>
  <si>
    <t>3473</t>
  </si>
  <si>
    <t>さくら総合リート投資法人　投資証券</t>
  </si>
  <si>
    <t>SAKURA SOGO REIT Investment Corporation</t>
  </si>
  <si>
    <t>3476</t>
  </si>
  <si>
    <t>投資法人みらい　投資証券</t>
  </si>
  <si>
    <t>MIRAI Corporation</t>
  </si>
  <si>
    <t>3478</t>
  </si>
  <si>
    <t>森トラスト・ホテルリート投資法人　投資証券</t>
  </si>
  <si>
    <t>MORI TRUST Hotel Reit,Inc.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</si>
  <si>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</si>
  <si>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</si>
  <si>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</si>
  <si>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</si>
  <si>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</si>
  <si>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</si>
  <si>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</si>
  <si>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ザイマックス・リート投資法人　投資証券</t>
  </si>
  <si>
    <t>XYMAX REIT Investment Corporation</t>
  </si>
  <si>
    <t>3492</t>
  </si>
  <si>
    <t>タカラレーベン不動産投資法人　投資証券</t>
  </si>
  <si>
    <t>Takara Leben Real Estate Investment Corporation</t>
  </si>
  <si>
    <t>3493</t>
  </si>
  <si>
    <t>伊藤忠アドバンス・ロジスティクス投資法人　投資証券</t>
  </si>
  <si>
    <t>ITOCHU Advance Logistics Investment Corporation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</si>
  <si>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</si>
  <si>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</si>
  <si>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</si>
  <si>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</si>
  <si>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</si>
  <si>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</si>
  <si>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</si>
  <si>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日本リテールファンド投資法人　投資証券</t>
  </si>
  <si>
    <t>Japan Retail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</si>
  <si>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</si>
  <si>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</si>
  <si>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</si>
  <si>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</si>
  <si>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</si>
  <si>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</si>
  <si>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</si>
  <si>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プレミア投資法人　投資証券</t>
  </si>
  <si>
    <t>Premier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</si>
  <si>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</si>
  <si>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</si>
  <si>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</si>
  <si>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</si>
  <si>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</si>
  <si>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</si>
  <si>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</si>
  <si>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</si>
  <si>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</si>
  <si>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</si>
  <si>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森トラスト総合リート投資法人　投資証券</t>
  </si>
  <si>
    <t>MORI TRUST Sogo Reit, 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</si>
  <si>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</si>
  <si>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</si>
  <si>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</si>
  <si>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</si>
  <si>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</si>
  <si>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</si>
  <si>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</si>
  <si>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</si>
  <si>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</si>
  <si>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</si>
  <si>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</si>
  <si>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</si>
  <si>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</si>
  <si>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</si>
  <si>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</si>
  <si>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</si>
  <si>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ケネディクス・オフィス投資法人　投資証券</t>
  </si>
  <si>
    <t>Kenedix Office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</si>
  <si>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</si>
  <si>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</si>
  <si>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</si>
  <si>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</si>
  <si>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</si>
  <si>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</si>
  <si>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</si>
  <si>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</si>
  <si>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</si>
  <si>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</si>
  <si>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</si>
  <si>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</si>
  <si>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</si>
  <si>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</si>
  <si>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</si>
  <si>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</si>
  <si>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</si>
  <si>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</si>
  <si>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</si>
  <si>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</si>
  <si>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</si>
  <si>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</si>
  <si>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</si>
  <si>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</si>
  <si>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9281</t>
  </si>
  <si>
    <t>タカラレーベン・インフラ投資法人　投資証券</t>
  </si>
  <si>
    <t>Takara Leben Infrastructure Fund,Inc.</t>
  </si>
  <si>
    <t>9282</t>
  </si>
  <si>
    <t>いちごグリーンインフラ投資法人　投資証券</t>
  </si>
  <si>
    <t>Ichigo Green Infrastructure Investment Corporation</t>
  </si>
  <si>
    <t>9283</t>
  </si>
  <si>
    <t>日本再生可能エネルギーインフラ投資法人　投資証券</t>
  </si>
  <si>
    <t>Renewable Japan Energy Infrastructure Fund,Inc.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</si>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</sst>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8" numFmtId="0"/>
    <xf applyAlignment="0" applyBorder="0" applyFill="0" applyFont="0" applyProtection="0" borderId="0" fillId="0" fontId="2" numFmtId="9"/>
    <xf borderId="0" fillId="0" fontId="12" numFmtId="0"/>
    <xf borderId="0" fillId="0" fontId="8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8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9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applyAlignment="0" applyFill="0" applyNumberFormat="0" applyProtection="0" borderId="30" fillId="0" fontId="31" numFmtId="0"/>
    <xf applyAlignment="0" applyFill="0" applyNumberFormat="0" applyProtection="0" borderId="31" fillId="0" fontId="32" numFmtId="0"/>
    <xf applyAlignment="0" applyFill="0" applyNumberFormat="0" applyProtection="0" borderId="32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7" fillId="7" fontId="34" numFmtId="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borderId="0" fillId="0" fontId="7" numFmtId="0"/>
    <xf applyAlignment="0" applyFill="0" applyNumberFormat="0" applyProtection="0" borderId="33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6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8" numFmtId="9"/>
    <xf applyAlignment="0" applyBorder="0" applyFill="0" applyFont="0" applyProtection="0" borderId="0" fillId="0" fontId="8" numFmtId="9">
      <alignment vertical="center"/>
    </xf>
    <xf applyAlignment="0" applyBorder="0" applyFill="0" applyFont="0" applyProtection="0" borderId="0" fillId="0" fontId="8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7" fillId="27" fontId="71" numFmtId="49"/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8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8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8" numFmtId="6"/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64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9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8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8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/>
    <xf borderId="0" fillId="0" fontId="8" numFmtId="0"/>
    <xf borderId="0" fillId="0" fontId="14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" numFmtId="0"/>
    <xf borderId="0" fillId="0" fontId="8" numFmtId="0"/>
    <xf borderId="0" fillId="0" fontId="83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3" numFmtId="0"/>
    <xf borderId="0" fillId="0" fontId="8" numFmtId="0"/>
    <xf borderId="0" fillId="0" fontId="83" numFmtId="0"/>
    <xf borderId="0" fillId="0" fontId="1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4" numFmtId="0">
      <alignment vertical="center"/>
    </xf>
    <xf borderId="0" fillId="0" fontId="8" numFmtId="0"/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/>
    <xf borderId="0" fillId="0" fontId="7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8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Font="1" applyNumberFormat="1" borderId="0" fillId="0" fontId="4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1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2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3" fillId="0" fontId="2" numFmtId="0" xfId="1">
      <alignment horizontal="center" vertical="center"/>
    </xf>
    <xf applyAlignment="1" applyBorder="1" applyFill="1" applyFont="1" applyNumberFormat="1" borderId="4" fillId="0" fontId="2" numFmtId="0" xfId="1">
      <alignment horizontal="center" vertical="center"/>
    </xf>
    <xf applyAlignment="1" applyBorder="1" applyFill="1" applyFont="1" applyNumberFormat="1" borderId="14" fillId="0" fontId="2" numFmtId="0" xfId="1">
      <alignment horizontal="center" vertical="center"/>
    </xf>
    <xf applyAlignment="1" applyBorder="1" applyFill="1" applyFont="1" applyNumberFormat="1" borderId="15" fillId="0" fontId="2" numFmtId="49" xfId="2">
      <alignment horizontal="center" vertical="center"/>
    </xf>
    <xf applyAlignment="1" applyBorder="1" applyFill="1" applyFont="1" applyNumberFormat="1" borderId="13" fillId="0" fontId="7" numFmtId="49" xfId="2">
      <alignment horizontal="center" vertical="center"/>
    </xf>
    <xf applyAlignment="1" applyBorder="1" applyFill="1" applyFont="1" applyNumberFormat="1" borderId="16" fillId="0" fontId="2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borderId="17" fillId="0" fontId="2" numFmtId="0" xfId="1">
      <alignment horizontal="right" vertical="center"/>
    </xf>
    <xf applyAlignment="1" applyBorder="1" applyFill="1" applyFont="1" applyNumberFormat="1" borderId="6" fillId="0" fontId="2" numFmtId="0" xfId="1">
      <alignment horizontal="right" vertical="center"/>
    </xf>
    <xf applyAlignment="1" applyBorder="1" applyFill="1" applyFont="1" applyNumberFormat="1" borderId="18" fillId="0" fontId="2" numFmtId="0" xfId="1">
      <alignment horizontal="right" vertical="center"/>
    </xf>
    <xf applyAlignment="1" applyBorder="1" applyFill="1" applyFont="1" applyNumberFormat="1" borderId="19" fillId="0" fontId="2" numFmtId="0" xfId="1">
      <alignment horizontal="right" vertical="center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20" fillId="0" fontId="11" numFmtId="49" xfId="2">
      <alignment horizontal="right"/>
    </xf>
    <xf applyAlignment="1" applyBorder="1" applyFill="1" applyFont="1" applyNumberFormat="1" borderId="19" fillId="0" fontId="11" numFmtId="49" xfId="2">
      <alignment horizontal="right"/>
    </xf>
    <xf applyAlignment="1" applyBorder="1" applyFill="1" applyFont="1" applyNumberFormat="1" borderId="21" fillId="0" fontId="7" numFmtId="49" xfId="1">
      <alignment horizontal="left" vertical="center"/>
    </xf>
    <xf applyAlignment="1" applyBorder="1" applyFill="1" applyFont="1" applyNumberFormat="1" borderId="22" fillId="0" fontId="7" numFmtId="49" xfId="1">
      <alignment horizontal="left" vertical="center"/>
    </xf>
    <xf applyAlignment="1" applyBorder="1" applyFill="1" applyFont="1" applyNumberFormat="1" borderId="23" fillId="0" fontId="7" numFmtId="49" xfId="1">
      <alignment horizontal="left" vertical="center"/>
    </xf>
    <xf applyAlignment="1" applyBorder="1" applyFill="1" applyFont="1" applyNumberFormat="1" borderId="24" fillId="0" fontId="7" numFmtId="49" xfId="1">
      <alignment horizontal="left" vertical="center"/>
    </xf>
    <xf applyAlignment="1" applyBorder="1" applyFill="1" applyFont="1" applyNumberFormat="1" borderId="21" fillId="0" fontId="7" numFmtId="49" xfId="2">
      <alignment horizontal="left"/>
    </xf>
    <xf applyAlignment="1" applyBorder="1" applyFill="1" applyFont="1" applyNumberFormat="1" borderId="21" fillId="0" fontId="7" numFmtId="3" xfId="2">
      <alignment horizontal="right"/>
    </xf>
    <xf applyAlignment="1" applyBorder="1" applyFill="1" applyFont="1" applyNumberFormat="1" borderId="25" fillId="0" fontId="7" numFmtId="4" xfId="2">
      <alignment horizontal="right"/>
    </xf>
    <xf applyAlignment="1" applyBorder="1" applyFill="1" applyFont="1" applyNumberFormat="1" borderId="24" fillId="0" fontId="7" numFmtId="49" xfId="2">
      <alignment horizontal="right"/>
    </xf>
    <xf applyAlignment="1" applyBorder="1" applyFill="1" applyFont="1" applyNumberFormat="1" borderId="21" fillId="0" fontId="7" numFmtId="4" xfId="2">
      <alignment horizontal="right"/>
    </xf>
    <xf applyAlignment="1" applyBorder="1" applyFill="1" applyFont="1" applyNumberFormat="1" borderId="21" fillId="0" fontId="7" numFmtId="189" xfId="2">
      <alignment horizontal="right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322"/>
  <sheetViews>
    <sheetView showGridLines="0" tabSelected="1" view="pageBreakPreview" workbookViewId="0" zoomScaleNormal="70" zoomScaleSheetLayoutView="100"/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customHeight="1" ht="13.5" r="1" spans="1:24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customHeight="1" ht="99" r="2" spans="1:24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customHeight="1" ht="39" r="3" spans="1:24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customFormat="1" customHeight="1" ht="13.5" r="4" s="2" spans="1:24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customFormat="1" customHeight="1" ht="13.5" r="7" s="2" spans="1:24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1661</f>
        <v>1661.0</v>
      </c>
      <c r="L7" s="34" t="s">
        <v>48</v>
      </c>
      <c r="M7" s="33" t="n">
        <f>1737</f>
        <v>1737.0</v>
      </c>
      <c r="N7" s="34" t="s">
        <v>49</v>
      </c>
      <c r="O7" s="33" t="n">
        <f>1625</f>
        <v>1625.0</v>
      </c>
      <c r="P7" s="34" t="s">
        <v>50</v>
      </c>
      <c r="Q7" s="33" t="n">
        <f>1653</f>
        <v>1653.0</v>
      </c>
      <c r="R7" s="34" t="s">
        <v>51</v>
      </c>
      <c r="S7" s="35" t="n">
        <f>1684.68</f>
        <v>1684.68</v>
      </c>
      <c r="T7" s="32" t="n">
        <f>5714330</f>
        <v>5714330.0</v>
      </c>
      <c r="U7" s="32" t="n">
        <f>29120</f>
        <v>29120.0</v>
      </c>
      <c r="V7" s="32" t="n">
        <f>9653638811</f>
        <v>9.653638811E9</v>
      </c>
      <c r="W7" s="32" t="n">
        <f>49950371</f>
        <v>4.9950371E7</v>
      </c>
      <c r="X7" s="36" t="n">
        <f>22</f>
        <v>22.0</v>
      </c>
    </row>
    <row r="8">
      <c r="A8" s="27" t="s">
        <v>42</v>
      </c>
      <c r="B8" s="27" t="s">
        <v>52</v>
      </c>
      <c r="C8" s="27" t="s">
        <v>53</v>
      </c>
      <c r="D8" s="27" t="s">
        <v>54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1641</f>
        <v>1641.0</v>
      </c>
      <c r="L8" s="34" t="s">
        <v>48</v>
      </c>
      <c r="M8" s="33" t="n">
        <f>1715</f>
        <v>1715.0</v>
      </c>
      <c r="N8" s="34" t="s">
        <v>49</v>
      </c>
      <c r="O8" s="33" t="n">
        <f>1609</f>
        <v>1609.0</v>
      </c>
      <c r="P8" s="34" t="s">
        <v>50</v>
      </c>
      <c r="Q8" s="33" t="n">
        <f>1632</f>
        <v>1632.0</v>
      </c>
      <c r="R8" s="34" t="s">
        <v>51</v>
      </c>
      <c r="S8" s="35" t="n">
        <f>1664.95</f>
        <v>1664.95</v>
      </c>
      <c r="T8" s="32" t="n">
        <f>67159770</f>
        <v>6.715977E7</v>
      </c>
      <c r="U8" s="32" t="n">
        <f>26418920</f>
        <v>2.641892E7</v>
      </c>
      <c r="V8" s="32" t="n">
        <f>112446971147</f>
        <v>1.12446971147E11</v>
      </c>
      <c r="W8" s="32" t="n">
        <f>44530828067</f>
        <v>4.4530828067E10</v>
      </c>
      <c r="X8" s="36" t="n">
        <f>22</f>
        <v>22.0</v>
      </c>
    </row>
    <row r="9">
      <c r="A9" s="27" t="s">
        <v>42</v>
      </c>
      <c r="B9" s="27" t="s">
        <v>55</v>
      </c>
      <c r="C9" s="27" t="s">
        <v>56</v>
      </c>
      <c r="D9" s="27" t="s">
        <v>57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100.0</v>
      </c>
      <c r="K9" s="33" t="n">
        <f>1625</f>
        <v>1625.0</v>
      </c>
      <c r="L9" s="34" t="s">
        <v>48</v>
      </c>
      <c r="M9" s="33" t="n">
        <f>1696</f>
        <v>1696.0</v>
      </c>
      <c r="N9" s="34" t="s">
        <v>49</v>
      </c>
      <c r="O9" s="33" t="n">
        <f>1594</f>
        <v>1594.0</v>
      </c>
      <c r="P9" s="34" t="s">
        <v>50</v>
      </c>
      <c r="Q9" s="33" t="n">
        <f>1618</f>
        <v>1618.0</v>
      </c>
      <c r="R9" s="34" t="s">
        <v>51</v>
      </c>
      <c r="S9" s="35" t="n">
        <f>1647.45</f>
        <v>1647.45</v>
      </c>
      <c r="T9" s="32" t="n">
        <f>6987900</f>
        <v>6987900.0</v>
      </c>
      <c r="U9" s="32" t="n">
        <f>916500</f>
        <v>916500.0</v>
      </c>
      <c r="V9" s="32" t="n">
        <f>11556951250</f>
        <v>1.155695125E10</v>
      </c>
      <c r="W9" s="32" t="n">
        <f>1495645650</f>
        <v>1.49564565E9</v>
      </c>
      <c r="X9" s="36" t="n">
        <f>22</f>
        <v>22.0</v>
      </c>
    </row>
    <row r="10">
      <c r="A10" s="27" t="s">
        <v>42</v>
      </c>
      <c r="B10" s="27" t="s">
        <v>58</v>
      </c>
      <c r="C10" s="27" t="s">
        <v>59</v>
      </c>
      <c r="D10" s="27" t="s">
        <v>60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31550</f>
        <v>31550.0</v>
      </c>
      <c r="L10" s="34" t="s">
        <v>48</v>
      </c>
      <c r="M10" s="33" t="n">
        <f>33000</f>
        <v>33000.0</v>
      </c>
      <c r="N10" s="34" t="s">
        <v>61</v>
      </c>
      <c r="O10" s="33" t="n">
        <f>31300</f>
        <v>31300.0</v>
      </c>
      <c r="P10" s="34" t="s">
        <v>62</v>
      </c>
      <c r="Q10" s="33" t="n">
        <f>32500</f>
        <v>32500.0</v>
      </c>
      <c r="R10" s="34" t="s">
        <v>51</v>
      </c>
      <c r="S10" s="35" t="n">
        <f>32388.64</f>
        <v>32388.64</v>
      </c>
      <c r="T10" s="32" t="n">
        <f>8689</f>
        <v>8689.0</v>
      </c>
      <c r="U10" s="32" t="str">
        <f>"－"</f>
        <v>－</v>
      </c>
      <c r="V10" s="32" t="n">
        <f>281184800</f>
        <v>2.811848E8</v>
      </c>
      <c r="W10" s="32" t="str">
        <f>"－"</f>
        <v>－</v>
      </c>
      <c r="X10" s="36" t="n">
        <f>22</f>
        <v>22.0</v>
      </c>
    </row>
    <row r="11">
      <c r="A11" s="27" t="s">
        <v>42</v>
      </c>
      <c r="B11" s="27" t="s">
        <v>63</v>
      </c>
      <c r="C11" s="27" t="s">
        <v>64</v>
      </c>
      <c r="D11" s="27" t="s">
        <v>65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10.0</v>
      </c>
      <c r="K11" s="33" t="n">
        <f>737</f>
        <v>737.0</v>
      </c>
      <c r="L11" s="34" t="s">
        <v>48</v>
      </c>
      <c r="M11" s="33" t="n">
        <f>769</f>
        <v>769.0</v>
      </c>
      <c r="N11" s="34" t="s">
        <v>49</v>
      </c>
      <c r="O11" s="33" t="n">
        <f>723</f>
        <v>723.0</v>
      </c>
      <c r="P11" s="34" t="s">
        <v>50</v>
      </c>
      <c r="Q11" s="33" t="n">
        <f>731</f>
        <v>731.0</v>
      </c>
      <c r="R11" s="34" t="s">
        <v>51</v>
      </c>
      <c r="S11" s="35" t="n">
        <f>746.95</f>
        <v>746.95</v>
      </c>
      <c r="T11" s="32" t="n">
        <f>100280</f>
        <v>100280.0</v>
      </c>
      <c r="U11" s="32" t="str">
        <f>"－"</f>
        <v>－</v>
      </c>
      <c r="V11" s="32" t="n">
        <f>74818660</f>
        <v>7.481866E7</v>
      </c>
      <c r="W11" s="32" t="str">
        <f>"－"</f>
        <v>－</v>
      </c>
      <c r="X11" s="36" t="n">
        <f>22</f>
        <v>22.0</v>
      </c>
    </row>
    <row r="12">
      <c r="A12" s="27" t="s">
        <v>42</v>
      </c>
      <c r="B12" s="27" t="s">
        <v>66</v>
      </c>
      <c r="C12" s="27" t="s">
        <v>67</v>
      </c>
      <c r="D12" s="27" t="s">
        <v>68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1.0</v>
      </c>
      <c r="K12" s="33" t="n">
        <f>18650</f>
        <v>18650.0</v>
      </c>
      <c r="L12" s="34" t="s">
        <v>48</v>
      </c>
      <c r="M12" s="33" t="n">
        <f>19630</f>
        <v>19630.0</v>
      </c>
      <c r="N12" s="34" t="s">
        <v>69</v>
      </c>
      <c r="O12" s="33" t="n">
        <f>18150</f>
        <v>18150.0</v>
      </c>
      <c r="P12" s="34" t="s">
        <v>62</v>
      </c>
      <c r="Q12" s="33" t="n">
        <f>18430</f>
        <v>18430.0</v>
      </c>
      <c r="R12" s="34" t="s">
        <v>51</v>
      </c>
      <c r="S12" s="35" t="n">
        <f>18769.05</f>
        <v>18769.05</v>
      </c>
      <c r="T12" s="32" t="n">
        <f>1057</f>
        <v>1057.0</v>
      </c>
      <c r="U12" s="32" t="str">
        <f>"－"</f>
        <v>－</v>
      </c>
      <c r="V12" s="32" t="n">
        <f>19884600</f>
        <v>1.98846E7</v>
      </c>
      <c r="W12" s="32" t="str">
        <f>"－"</f>
        <v>－</v>
      </c>
      <c r="X12" s="36" t="n">
        <f>21</f>
        <v>21.0</v>
      </c>
    </row>
    <row r="13">
      <c r="A13" s="27" t="s">
        <v>42</v>
      </c>
      <c r="B13" s="27" t="s">
        <v>70</v>
      </c>
      <c r="C13" s="27" t="s">
        <v>71</v>
      </c>
      <c r="D13" s="27" t="s">
        <v>72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10.0</v>
      </c>
      <c r="K13" s="33" t="n">
        <f>2350</f>
        <v>2350.0</v>
      </c>
      <c r="L13" s="34" t="s">
        <v>48</v>
      </c>
      <c r="M13" s="33" t="n">
        <f>2710</f>
        <v>2710.0</v>
      </c>
      <c r="N13" s="34" t="s">
        <v>73</v>
      </c>
      <c r="O13" s="33" t="n">
        <f>2350</f>
        <v>2350.0</v>
      </c>
      <c r="P13" s="34" t="s">
        <v>48</v>
      </c>
      <c r="Q13" s="33" t="n">
        <f>2590</f>
        <v>2590.0</v>
      </c>
      <c r="R13" s="34" t="s">
        <v>51</v>
      </c>
      <c r="S13" s="35" t="n">
        <f>2522.43</f>
        <v>2522.43</v>
      </c>
      <c r="T13" s="32" t="n">
        <f>7270</f>
        <v>7270.0</v>
      </c>
      <c r="U13" s="32" t="str">
        <f>"－"</f>
        <v>－</v>
      </c>
      <c r="V13" s="32" t="n">
        <f>18259550</f>
        <v>1.825955E7</v>
      </c>
      <c r="W13" s="32" t="str">
        <f>"－"</f>
        <v>－</v>
      </c>
      <c r="X13" s="36" t="n">
        <f>21</f>
        <v>21.0</v>
      </c>
    </row>
    <row r="14">
      <c r="A14" s="27" t="s">
        <v>42</v>
      </c>
      <c r="B14" s="27" t="s">
        <v>74</v>
      </c>
      <c r="C14" s="27" t="s">
        <v>75</v>
      </c>
      <c r="D14" s="27" t="s">
        <v>76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1000.0</v>
      </c>
      <c r="K14" s="33" t="n">
        <f>319</f>
        <v>319.0</v>
      </c>
      <c r="L14" s="34" t="s">
        <v>48</v>
      </c>
      <c r="M14" s="33" t="n">
        <f>330</f>
        <v>330.0</v>
      </c>
      <c r="N14" s="34" t="s">
        <v>49</v>
      </c>
      <c r="O14" s="33" t="n">
        <f>315</f>
        <v>315.0</v>
      </c>
      <c r="P14" s="34" t="s">
        <v>48</v>
      </c>
      <c r="Q14" s="33" t="n">
        <f>320</f>
        <v>320.0</v>
      </c>
      <c r="R14" s="34" t="s">
        <v>77</v>
      </c>
      <c r="S14" s="35" t="n">
        <f>323.5</f>
        <v>323.5</v>
      </c>
      <c r="T14" s="32" t="n">
        <f>20077000</f>
        <v>2.0077E7</v>
      </c>
      <c r="U14" s="32" t="n">
        <f>20000000</f>
        <v>2.0E7</v>
      </c>
      <c r="V14" s="32" t="n">
        <f>6422752000</f>
        <v>6.422752E9</v>
      </c>
      <c r="W14" s="32" t="n">
        <f>6397900000</f>
        <v>6.3979E9</v>
      </c>
      <c r="X14" s="36" t="n">
        <f>14</f>
        <v>14.0</v>
      </c>
    </row>
    <row r="15">
      <c r="A15" s="27" t="s">
        <v>42</v>
      </c>
      <c r="B15" s="27" t="s">
        <v>78</v>
      </c>
      <c r="C15" s="27" t="s">
        <v>79</v>
      </c>
      <c r="D15" s="27" t="s">
        <v>80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1.0</v>
      </c>
      <c r="K15" s="33" t="n">
        <f>22770</f>
        <v>22770.0</v>
      </c>
      <c r="L15" s="34" t="s">
        <v>48</v>
      </c>
      <c r="M15" s="33" t="n">
        <f>24080</f>
        <v>24080.0</v>
      </c>
      <c r="N15" s="34" t="s">
        <v>49</v>
      </c>
      <c r="O15" s="33" t="n">
        <f>22420</f>
        <v>22420.0</v>
      </c>
      <c r="P15" s="34" t="s">
        <v>50</v>
      </c>
      <c r="Q15" s="33" t="n">
        <f>23150</f>
        <v>23150.0</v>
      </c>
      <c r="R15" s="34" t="s">
        <v>51</v>
      </c>
      <c r="S15" s="35" t="n">
        <f>23355.45</f>
        <v>23355.45</v>
      </c>
      <c r="T15" s="32" t="n">
        <f>3392209</f>
        <v>3392209.0</v>
      </c>
      <c r="U15" s="32" t="n">
        <f>709664</f>
        <v>709664.0</v>
      </c>
      <c r="V15" s="32" t="n">
        <f>79346697720</f>
        <v>7.934669772E10</v>
      </c>
      <c r="W15" s="32" t="n">
        <f>16624056510</f>
        <v>1.662405651E10</v>
      </c>
      <c r="X15" s="36" t="n">
        <f>22</f>
        <v>22.0</v>
      </c>
    </row>
    <row r="16">
      <c r="A16" s="27" t="s">
        <v>42</v>
      </c>
      <c r="B16" s="27" t="s">
        <v>81</v>
      </c>
      <c r="C16" s="27" t="s">
        <v>82</v>
      </c>
      <c r="D16" s="27" t="s">
        <v>83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1.0</v>
      </c>
      <c r="K16" s="33" t="n">
        <f>22810</f>
        <v>22810.0</v>
      </c>
      <c r="L16" s="34" t="s">
        <v>48</v>
      </c>
      <c r="M16" s="33" t="n">
        <f>24120</f>
        <v>24120.0</v>
      </c>
      <c r="N16" s="34" t="s">
        <v>49</v>
      </c>
      <c r="O16" s="33" t="n">
        <f>22400</f>
        <v>22400.0</v>
      </c>
      <c r="P16" s="34" t="s">
        <v>50</v>
      </c>
      <c r="Q16" s="33" t="n">
        <f>23190</f>
        <v>23190.0</v>
      </c>
      <c r="R16" s="34" t="s">
        <v>51</v>
      </c>
      <c r="S16" s="35" t="n">
        <f>23397.73</f>
        <v>23397.73</v>
      </c>
      <c r="T16" s="32" t="n">
        <f>10534493</f>
        <v>1.0534493E7</v>
      </c>
      <c r="U16" s="32" t="n">
        <f>534136</f>
        <v>534136.0</v>
      </c>
      <c r="V16" s="32" t="n">
        <f>246179806542</f>
        <v>2.46179806542E11</v>
      </c>
      <c r="W16" s="32" t="n">
        <f>12461896772</f>
        <v>1.2461896772E10</v>
      </c>
      <c r="X16" s="36" t="n">
        <f>22</f>
        <v>22.0</v>
      </c>
    </row>
    <row r="17">
      <c r="A17" s="27" t="s">
        <v>42</v>
      </c>
      <c r="B17" s="27" t="s">
        <v>84</v>
      </c>
      <c r="C17" s="27" t="s">
        <v>85</v>
      </c>
      <c r="D17" s="27" t="s">
        <v>86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10.0</v>
      </c>
      <c r="K17" s="33" t="n">
        <f>5410</f>
        <v>5410.0</v>
      </c>
      <c r="L17" s="34" t="s">
        <v>48</v>
      </c>
      <c r="M17" s="33" t="n">
        <f>5700</f>
        <v>5700.0</v>
      </c>
      <c r="N17" s="34" t="s">
        <v>61</v>
      </c>
      <c r="O17" s="33" t="n">
        <f>5250</f>
        <v>5250.0</v>
      </c>
      <c r="P17" s="34" t="s">
        <v>62</v>
      </c>
      <c r="Q17" s="33" t="n">
        <f>5620</f>
        <v>5620.0</v>
      </c>
      <c r="R17" s="34" t="s">
        <v>51</v>
      </c>
      <c r="S17" s="35" t="n">
        <f>5476.82</f>
        <v>5476.82</v>
      </c>
      <c r="T17" s="32" t="n">
        <f>15910</f>
        <v>15910.0</v>
      </c>
      <c r="U17" s="32" t="n">
        <f>50</f>
        <v>50.0</v>
      </c>
      <c r="V17" s="32" t="n">
        <f>87054300</f>
        <v>8.70543E7</v>
      </c>
      <c r="W17" s="32" t="n">
        <f>278500</f>
        <v>278500.0</v>
      </c>
      <c r="X17" s="36" t="n">
        <f>22</f>
        <v>22.0</v>
      </c>
    </row>
    <row r="18">
      <c r="A18" s="27" t="s">
        <v>42</v>
      </c>
      <c r="B18" s="27" t="s">
        <v>87</v>
      </c>
      <c r="C18" s="27" t="s">
        <v>88</v>
      </c>
      <c r="D18" s="27" t="s">
        <v>89</v>
      </c>
      <c r="E18" s="28" t="s">
        <v>46</v>
      </c>
      <c r="F18" s="29" t="s">
        <v>46</v>
      </c>
      <c r="G18" s="30" t="s">
        <v>46</v>
      </c>
      <c r="H18" s="31"/>
      <c r="I18" s="31" t="s">
        <v>47</v>
      </c>
      <c r="J18" s="32" t="n">
        <v>100.0</v>
      </c>
      <c r="K18" s="33" t="n">
        <f>308</f>
        <v>308.0</v>
      </c>
      <c r="L18" s="34" t="s">
        <v>48</v>
      </c>
      <c r="M18" s="33" t="n">
        <f>335</f>
        <v>335.0</v>
      </c>
      <c r="N18" s="34" t="s">
        <v>90</v>
      </c>
      <c r="O18" s="33" t="n">
        <f>302</f>
        <v>302.0</v>
      </c>
      <c r="P18" s="34" t="s">
        <v>48</v>
      </c>
      <c r="Q18" s="33" t="n">
        <f>318</f>
        <v>318.0</v>
      </c>
      <c r="R18" s="34" t="s">
        <v>51</v>
      </c>
      <c r="S18" s="35" t="n">
        <f>322.43</f>
        <v>322.43</v>
      </c>
      <c r="T18" s="32" t="n">
        <f>44000</f>
        <v>44000.0</v>
      </c>
      <c r="U18" s="32" t="str">
        <f>"－"</f>
        <v>－</v>
      </c>
      <c r="V18" s="32" t="n">
        <f>14220400</f>
        <v>1.42204E7</v>
      </c>
      <c r="W18" s="32" t="str">
        <f>"－"</f>
        <v>－</v>
      </c>
      <c r="X18" s="36" t="n">
        <f>21</f>
        <v>21.0</v>
      </c>
    </row>
    <row r="19">
      <c r="A19" s="27" t="s">
        <v>42</v>
      </c>
      <c r="B19" s="27" t="s">
        <v>91</v>
      </c>
      <c r="C19" s="27" t="s">
        <v>92</v>
      </c>
      <c r="D19" s="27" t="s">
        <v>93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100.0</v>
      </c>
      <c r="K19" s="33" t="n">
        <f>130</f>
        <v>130.0</v>
      </c>
      <c r="L19" s="34" t="s">
        <v>48</v>
      </c>
      <c r="M19" s="33" t="n">
        <f>153</f>
        <v>153.0</v>
      </c>
      <c r="N19" s="34" t="s">
        <v>94</v>
      </c>
      <c r="O19" s="33" t="n">
        <f>130</f>
        <v>130.0</v>
      </c>
      <c r="P19" s="34" t="s">
        <v>48</v>
      </c>
      <c r="Q19" s="33" t="n">
        <f>137</f>
        <v>137.0</v>
      </c>
      <c r="R19" s="34" t="s">
        <v>51</v>
      </c>
      <c r="S19" s="35" t="n">
        <f>139.68</f>
        <v>139.68</v>
      </c>
      <c r="T19" s="32" t="n">
        <f>751500</f>
        <v>751500.0</v>
      </c>
      <c r="U19" s="32" t="n">
        <f>2700</f>
        <v>2700.0</v>
      </c>
      <c r="V19" s="32" t="n">
        <f>106311600</f>
        <v>1.063116E8</v>
      </c>
      <c r="W19" s="32" t="n">
        <f>379800</f>
        <v>379800.0</v>
      </c>
      <c r="X19" s="36" t="n">
        <f>22</f>
        <v>22.0</v>
      </c>
    </row>
    <row r="20">
      <c r="A20" s="27" t="s">
        <v>42</v>
      </c>
      <c r="B20" s="27" t="s">
        <v>95</v>
      </c>
      <c r="C20" s="27" t="s">
        <v>96</v>
      </c>
      <c r="D20" s="27" t="s">
        <v>97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100.0</v>
      </c>
      <c r="K20" s="33" t="n">
        <f>151</f>
        <v>151.0</v>
      </c>
      <c r="L20" s="34" t="s">
        <v>48</v>
      </c>
      <c r="M20" s="33" t="n">
        <f>176</f>
        <v>176.0</v>
      </c>
      <c r="N20" s="34" t="s">
        <v>61</v>
      </c>
      <c r="O20" s="33" t="n">
        <f>143</f>
        <v>143.0</v>
      </c>
      <c r="P20" s="34" t="s">
        <v>62</v>
      </c>
      <c r="Q20" s="33" t="n">
        <f>151</f>
        <v>151.0</v>
      </c>
      <c r="R20" s="34" t="s">
        <v>51</v>
      </c>
      <c r="S20" s="35" t="n">
        <f>157.36</f>
        <v>157.36</v>
      </c>
      <c r="T20" s="32" t="n">
        <f>1139900</f>
        <v>1139900.0</v>
      </c>
      <c r="U20" s="32" t="n">
        <f>8000</f>
        <v>8000.0</v>
      </c>
      <c r="V20" s="32" t="n">
        <f>182073500</f>
        <v>1.820735E8</v>
      </c>
      <c r="W20" s="32" t="n">
        <f>1281200</f>
        <v>1281200.0</v>
      </c>
      <c r="X20" s="36" t="n">
        <f>22</f>
        <v>22.0</v>
      </c>
    </row>
    <row r="21">
      <c r="A21" s="27" t="s">
        <v>42</v>
      </c>
      <c r="B21" s="27" t="s">
        <v>98</v>
      </c>
      <c r="C21" s="27" t="s">
        <v>99</v>
      </c>
      <c r="D21" s="27" t="s">
        <v>100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1.0</v>
      </c>
      <c r="K21" s="33" t="n">
        <f>17650</f>
        <v>17650.0</v>
      </c>
      <c r="L21" s="34" t="s">
        <v>48</v>
      </c>
      <c r="M21" s="33" t="n">
        <f>17970</f>
        <v>17970.0</v>
      </c>
      <c r="N21" s="34" t="s">
        <v>51</v>
      </c>
      <c r="O21" s="33" t="n">
        <f>17210</f>
        <v>17210.0</v>
      </c>
      <c r="P21" s="34" t="s">
        <v>49</v>
      </c>
      <c r="Q21" s="33" t="n">
        <f>17950</f>
        <v>17950.0</v>
      </c>
      <c r="R21" s="34" t="s">
        <v>51</v>
      </c>
      <c r="S21" s="35" t="n">
        <f>17535.91</f>
        <v>17535.91</v>
      </c>
      <c r="T21" s="32" t="n">
        <f>249067</f>
        <v>249067.0</v>
      </c>
      <c r="U21" s="32" t="str">
        <f>"－"</f>
        <v>－</v>
      </c>
      <c r="V21" s="32" t="n">
        <f>4371002080</f>
        <v>4.37100208E9</v>
      </c>
      <c r="W21" s="32" t="str">
        <f>"－"</f>
        <v>－</v>
      </c>
      <c r="X21" s="36" t="n">
        <f>22</f>
        <v>22.0</v>
      </c>
    </row>
    <row r="22">
      <c r="A22" s="27" t="s">
        <v>42</v>
      </c>
      <c r="B22" s="27" t="s">
        <v>101</v>
      </c>
      <c r="C22" s="27" t="s">
        <v>102</v>
      </c>
      <c r="D22" s="27" t="s">
        <v>103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1.0</v>
      </c>
      <c r="K22" s="33" t="n">
        <f>2590</f>
        <v>2590.0</v>
      </c>
      <c r="L22" s="34" t="s">
        <v>48</v>
      </c>
      <c r="M22" s="33" t="n">
        <f>2784</f>
        <v>2784.0</v>
      </c>
      <c r="N22" s="34" t="s">
        <v>69</v>
      </c>
      <c r="O22" s="33" t="n">
        <f>2499</f>
        <v>2499.0</v>
      </c>
      <c r="P22" s="34" t="s">
        <v>104</v>
      </c>
      <c r="Q22" s="33" t="n">
        <f>2549</f>
        <v>2549.0</v>
      </c>
      <c r="R22" s="34" t="s">
        <v>51</v>
      </c>
      <c r="S22" s="35" t="n">
        <f>2593.55</f>
        <v>2593.55</v>
      </c>
      <c r="T22" s="32" t="n">
        <f>2993</f>
        <v>2993.0</v>
      </c>
      <c r="U22" s="32" t="str">
        <f>"－"</f>
        <v>－</v>
      </c>
      <c r="V22" s="32" t="n">
        <f>7829585</f>
        <v>7829585.0</v>
      </c>
      <c r="W22" s="32" t="str">
        <f>"－"</f>
        <v>－</v>
      </c>
      <c r="X22" s="36" t="n">
        <f>22</f>
        <v>22.0</v>
      </c>
    </row>
    <row r="23">
      <c r="A23" s="27" t="s">
        <v>42</v>
      </c>
      <c r="B23" s="27" t="s">
        <v>105</v>
      </c>
      <c r="C23" s="27" t="s">
        <v>106</v>
      </c>
      <c r="D23" s="27" t="s">
        <v>107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10.0</v>
      </c>
      <c r="K23" s="33" t="n">
        <f>4900</f>
        <v>4900.0</v>
      </c>
      <c r="L23" s="34" t="s">
        <v>48</v>
      </c>
      <c r="M23" s="33" t="n">
        <f>5410</f>
        <v>5410.0</v>
      </c>
      <c r="N23" s="34" t="s">
        <v>51</v>
      </c>
      <c r="O23" s="33" t="n">
        <f>4750</f>
        <v>4750.0</v>
      </c>
      <c r="P23" s="34" t="s">
        <v>49</v>
      </c>
      <c r="Q23" s="33" t="n">
        <f>5280</f>
        <v>5280.0</v>
      </c>
      <c r="R23" s="34" t="s">
        <v>51</v>
      </c>
      <c r="S23" s="35" t="n">
        <f>4871.82</f>
        <v>4871.82</v>
      </c>
      <c r="T23" s="32" t="n">
        <f>184950</f>
        <v>184950.0</v>
      </c>
      <c r="U23" s="32" t="n">
        <f>610</f>
        <v>610.0</v>
      </c>
      <c r="V23" s="32" t="n">
        <f>915339213</f>
        <v>9.15339213E8</v>
      </c>
      <c r="W23" s="32" t="n">
        <f>2936763</f>
        <v>2936763.0</v>
      </c>
      <c r="X23" s="36" t="n">
        <f>22</f>
        <v>22.0</v>
      </c>
    </row>
    <row r="24">
      <c r="A24" s="27" t="s">
        <v>42</v>
      </c>
      <c r="B24" s="27" t="s">
        <v>108</v>
      </c>
      <c r="C24" s="27" t="s">
        <v>109</v>
      </c>
      <c r="D24" s="27" t="s">
        <v>110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1.0</v>
      </c>
      <c r="K24" s="33" t="n">
        <f>22710</f>
        <v>22710.0</v>
      </c>
      <c r="L24" s="34" t="s">
        <v>48</v>
      </c>
      <c r="M24" s="33" t="n">
        <f>24020</f>
        <v>24020.0</v>
      </c>
      <c r="N24" s="34" t="s">
        <v>49</v>
      </c>
      <c r="O24" s="33" t="n">
        <f>22300</f>
        <v>22300.0</v>
      </c>
      <c r="P24" s="34" t="s">
        <v>50</v>
      </c>
      <c r="Q24" s="33" t="n">
        <f>23090</f>
        <v>23090.0</v>
      </c>
      <c r="R24" s="34" t="s">
        <v>51</v>
      </c>
      <c r="S24" s="35" t="n">
        <f>23288.18</f>
        <v>23288.18</v>
      </c>
      <c r="T24" s="32" t="n">
        <f>1345185</f>
        <v>1345185.0</v>
      </c>
      <c r="U24" s="32" t="n">
        <f>269768</f>
        <v>269768.0</v>
      </c>
      <c r="V24" s="32" t="n">
        <f>31433809422</f>
        <v>3.1433809422E10</v>
      </c>
      <c r="W24" s="32" t="n">
        <f>6338071522</f>
        <v>6.338071522E9</v>
      </c>
      <c r="X24" s="36" t="n">
        <f>22</f>
        <v>22.0</v>
      </c>
    </row>
    <row r="25">
      <c r="A25" s="27" t="s">
        <v>42</v>
      </c>
      <c r="B25" s="27" t="s">
        <v>111</v>
      </c>
      <c r="C25" s="27" t="s">
        <v>112</v>
      </c>
      <c r="D25" s="27" t="s">
        <v>113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10.0</v>
      </c>
      <c r="K25" s="33" t="n">
        <f>22860</f>
        <v>22860.0</v>
      </c>
      <c r="L25" s="34" t="s">
        <v>48</v>
      </c>
      <c r="M25" s="33" t="n">
        <f>24170</f>
        <v>24170.0</v>
      </c>
      <c r="N25" s="34" t="s">
        <v>73</v>
      </c>
      <c r="O25" s="33" t="n">
        <f>22470</f>
        <v>22470.0</v>
      </c>
      <c r="P25" s="34" t="s">
        <v>50</v>
      </c>
      <c r="Q25" s="33" t="n">
        <f>23240</f>
        <v>23240.0</v>
      </c>
      <c r="R25" s="34" t="s">
        <v>51</v>
      </c>
      <c r="S25" s="35" t="n">
        <f>23433.64</f>
        <v>23433.64</v>
      </c>
      <c r="T25" s="32" t="n">
        <f>2720720</f>
        <v>2720720.0</v>
      </c>
      <c r="U25" s="32" t="n">
        <f>125740</f>
        <v>125740.0</v>
      </c>
      <c r="V25" s="32" t="n">
        <f>63880084992</f>
        <v>6.3880084992E10</v>
      </c>
      <c r="W25" s="32" t="n">
        <f>2962715092</f>
        <v>2.962715092E9</v>
      </c>
      <c r="X25" s="36" t="n">
        <f>22</f>
        <v>22.0</v>
      </c>
    </row>
    <row r="26">
      <c r="A26" s="27" t="s">
        <v>42</v>
      </c>
      <c r="B26" s="27" t="s">
        <v>114</v>
      </c>
      <c r="C26" s="27" t="s">
        <v>115</v>
      </c>
      <c r="D26" s="27" t="s">
        <v>116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10.0</v>
      </c>
      <c r="K26" s="33" t="n">
        <f>1809</f>
        <v>1809.0</v>
      </c>
      <c r="L26" s="34" t="s">
        <v>48</v>
      </c>
      <c r="M26" s="33" t="n">
        <f>1886</f>
        <v>1886.0</v>
      </c>
      <c r="N26" s="34" t="s">
        <v>49</v>
      </c>
      <c r="O26" s="33" t="n">
        <f>1741</f>
        <v>1741.0</v>
      </c>
      <c r="P26" s="34" t="s">
        <v>62</v>
      </c>
      <c r="Q26" s="33" t="n">
        <f>1784</f>
        <v>1784.0</v>
      </c>
      <c r="R26" s="34" t="s">
        <v>51</v>
      </c>
      <c r="S26" s="35" t="n">
        <f>1822.82</f>
        <v>1822.82</v>
      </c>
      <c r="T26" s="32" t="n">
        <f>10623330</f>
        <v>1.062333E7</v>
      </c>
      <c r="U26" s="32" t="n">
        <f>591290</f>
        <v>591290.0</v>
      </c>
      <c r="V26" s="32" t="n">
        <f>19388918417</f>
        <v>1.9388918417E10</v>
      </c>
      <c r="W26" s="32" t="n">
        <f>1077903287</f>
        <v>1.077903287E9</v>
      </c>
      <c r="X26" s="36" t="n">
        <f>22</f>
        <v>22.0</v>
      </c>
    </row>
    <row r="27">
      <c r="A27" s="27" t="s">
        <v>42</v>
      </c>
      <c r="B27" s="27" t="s">
        <v>117</v>
      </c>
      <c r="C27" s="27" t="s">
        <v>118</v>
      </c>
      <c r="D27" s="27" t="s">
        <v>119</v>
      </c>
      <c r="E27" s="28" t="s">
        <v>46</v>
      </c>
      <c r="F27" s="29" t="s">
        <v>46</v>
      </c>
      <c r="G27" s="30" t="s">
        <v>46</v>
      </c>
      <c r="H27" s="31"/>
      <c r="I27" s="31" t="s">
        <v>47</v>
      </c>
      <c r="J27" s="32" t="n">
        <v>10.0</v>
      </c>
      <c r="K27" s="33" t="n">
        <f>716</f>
        <v>716.0</v>
      </c>
      <c r="L27" s="34" t="s">
        <v>48</v>
      </c>
      <c r="M27" s="33" t="n">
        <f>746</f>
        <v>746.0</v>
      </c>
      <c r="N27" s="34" t="s">
        <v>73</v>
      </c>
      <c r="O27" s="33" t="n">
        <f>699</f>
        <v>699.0</v>
      </c>
      <c r="P27" s="34" t="s">
        <v>50</v>
      </c>
      <c r="Q27" s="33" t="n">
        <f>706</f>
        <v>706.0</v>
      </c>
      <c r="R27" s="34" t="s">
        <v>51</v>
      </c>
      <c r="S27" s="35" t="n">
        <f>722.27</f>
        <v>722.27</v>
      </c>
      <c r="T27" s="32" t="n">
        <f>51540</f>
        <v>51540.0</v>
      </c>
      <c r="U27" s="32" t="str">
        <f>"－"</f>
        <v>－</v>
      </c>
      <c r="V27" s="32" t="n">
        <f>37540800</f>
        <v>3.75408E7</v>
      </c>
      <c r="W27" s="32" t="str">
        <f>"－"</f>
        <v>－</v>
      </c>
      <c r="X27" s="36" t="n">
        <f>22</f>
        <v>22.0</v>
      </c>
    </row>
    <row r="28">
      <c r="A28" s="27" t="s">
        <v>42</v>
      </c>
      <c r="B28" s="27" t="s">
        <v>120</v>
      </c>
      <c r="C28" s="27" t="s">
        <v>121</v>
      </c>
      <c r="D28" s="27" t="s">
        <v>122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100.0</v>
      </c>
      <c r="K28" s="33" t="n">
        <f>1710</f>
        <v>1710.0</v>
      </c>
      <c r="L28" s="34" t="s">
        <v>48</v>
      </c>
      <c r="M28" s="33" t="n">
        <f>1784</f>
        <v>1784.0</v>
      </c>
      <c r="N28" s="34" t="s">
        <v>49</v>
      </c>
      <c r="O28" s="33" t="n">
        <f>1650</f>
        <v>1650.0</v>
      </c>
      <c r="P28" s="34" t="s">
        <v>62</v>
      </c>
      <c r="Q28" s="33" t="n">
        <f>1693</f>
        <v>1693.0</v>
      </c>
      <c r="R28" s="34" t="s">
        <v>51</v>
      </c>
      <c r="S28" s="35" t="n">
        <f>1724.14</f>
        <v>1724.14</v>
      </c>
      <c r="T28" s="32" t="n">
        <f>3189500</f>
        <v>3189500.0</v>
      </c>
      <c r="U28" s="32" t="n">
        <f>49700</f>
        <v>49700.0</v>
      </c>
      <c r="V28" s="32" t="n">
        <f>5545703106</f>
        <v>5.545703106E9</v>
      </c>
      <c r="W28" s="32" t="n">
        <f>85228006</f>
        <v>8.5228006E7</v>
      </c>
      <c r="X28" s="36" t="n">
        <f>22</f>
        <v>22.0</v>
      </c>
    </row>
    <row r="29">
      <c r="A29" s="27" t="s">
        <v>42</v>
      </c>
      <c r="B29" s="27" t="s">
        <v>123</v>
      </c>
      <c r="C29" s="27" t="s">
        <v>124</v>
      </c>
      <c r="D29" s="27" t="s">
        <v>125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1.0</v>
      </c>
      <c r="K29" s="33" t="n">
        <f>22760</f>
        <v>22760.0</v>
      </c>
      <c r="L29" s="34" t="s">
        <v>48</v>
      </c>
      <c r="M29" s="33" t="n">
        <f>24040</f>
        <v>24040.0</v>
      </c>
      <c r="N29" s="34" t="s">
        <v>73</v>
      </c>
      <c r="O29" s="33" t="n">
        <f>22300</f>
        <v>22300.0</v>
      </c>
      <c r="P29" s="34" t="s">
        <v>50</v>
      </c>
      <c r="Q29" s="33" t="n">
        <f>23120</f>
        <v>23120.0</v>
      </c>
      <c r="R29" s="34" t="s">
        <v>51</v>
      </c>
      <c r="S29" s="35" t="n">
        <f>23312.73</f>
        <v>23312.73</v>
      </c>
      <c r="T29" s="32" t="n">
        <f>1291335</f>
        <v>1291335.0</v>
      </c>
      <c r="U29" s="32" t="n">
        <f>190868</f>
        <v>190868.0</v>
      </c>
      <c r="V29" s="32" t="n">
        <f>30061103952</f>
        <v>3.0061103952E10</v>
      </c>
      <c r="W29" s="32" t="n">
        <f>4411387972</f>
        <v>4.411387972E9</v>
      </c>
      <c r="X29" s="36" t="n">
        <f>22</f>
        <v>22.0</v>
      </c>
    </row>
    <row r="30">
      <c r="A30" s="27" t="s">
        <v>42</v>
      </c>
      <c r="B30" s="27" t="s">
        <v>126</v>
      </c>
      <c r="C30" s="27" t="s">
        <v>127</v>
      </c>
      <c r="D30" s="27" t="s">
        <v>128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10.0</v>
      </c>
      <c r="K30" s="33" t="n">
        <f>1626</f>
        <v>1626.0</v>
      </c>
      <c r="L30" s="34" t="s">
        <v>48</v>
      </c>
      <c r="M30" s="33" t="n">
        <f>1699</f>
        <v>1699.0</v>
      </c>
      <c r="N30" s="34" t="s">
        <v>49</v>
      </c>
      <c r="O30" s="33" t="n">
        <f>1592</f>
        <v>1592.0</v>
      </c>
      <c r="P30" s="34" t="s">
        <v>50</v>
      </c>
      <c r="Q30" s="33" t="n">
        <f>1618</f>
        <v>1618.0</v>
      </c>
      <c r="R30" s="34" t="s">
        <v>51</v>
      </c>
      <c r="S30" s="35" t="n">
        <f>1649.64</f>
        <v>1649.64</v>
      </c>
      <c r="T30" s="32" t="n">
        <f>2904930</f>
        <v>2904930.0</v>
      </c>
      <c r="U30" s="32" t="n">
        <f>1350</f>
        <v>1350.0</v>
      </c>
      <c r="V30" s="32" t="n">
        <f>4799822320</f>
        <v>4.79982232E9</v>
      </c>
      <c r="W30" s="32" t="n">
        <f>2223260</f>
        <v>2223260.0</v>
      </c>
      <c r="X30" s="36" t="n">
        <f>22</f>
        <v>22.0</v>
      </c>
    </row>
    <row r="31">
      <c r="A31" s="27" t="s">
        <v>42</v>
      </c>
      <c r="B31" s="27" t="s">
        <v>129</v>
      </c>
      <c r="C31" s="27" t="s">
        <v>130</v>
      </c>
      <c r="D31" s="27" t="s">
        <v>131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1.0</v>
      </c>
      <c r="K31" s="33" t="n">
        <f>12800</f>
        <v>12800.0</v>
      </c>
      <c r="L31" s="34" t="s">
        <v>48</v>
      </c>
      <c r="M31" s="33" t="n">
        <f>12990</f>
        <v>12990.0</v>
      </c>
      <c r="N31" s="34" t="s">
        <v>49</v>
      </c>
      <c r="O31" s="33" t="n">
        <f>12590</f>
        <v>12590.0</v>
      </c>
      <c r="P31" s="34" t="s">
        <v>132</v>
      </c>
      <c r="Q31" s="33" t="n">
        <f>12770</f>
        <v>12770.0</v>
      </c>
      <c r="R31" s="34" t="s">
        <v>51</v>
      </c>
      <c r="S31" s="35" t="n">
        <f>12811.9</f>
        <v>12811.9</v>
      </c>
      <c r="T31" s="32" t="n">
        <f>1338</f>
        <v>1338.0</v>
      </c>
      <c r="U31" s="32" t="str">
        <f>"－"</f>
        <v>－</v>
      </c>
      <c r="V31" s="32" t="n">
        <f>17189250</f>
        <v>1.718925E7</v>
      </c>
      <c r="W31" s="32" t="str">
        <f>"－"</f>
        <v>－</v>
      </c>
      <c r="X31" s="36" t="n">
        <f>21</f>
        <v>21.0</v>
      </c>
    </row>
    <row r="32">
      <c r="A32" s="27" t="s">
        <v>42</v>
      </c>
      <c r="B32" s="27" t="s">
        <v>133</v>
      </c>
      <c r="C32" s="27" t="s">
        <v>134</v>
      </c>
      <c r="D32" s="27" t="s">
        <v>135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10.0</v>
      </c>
      <c r="K32" s="33" t="n">
        <f>2065</f>
        <v>2065.0</v>
      </c>
      <c r="L32" s="34" t="s">
        <v>48</v>
      </c>
      <c r="M32" s="33" t="n">
        <f>2140</f>
        <v>2140.0</v>
      </c>
      <c r="N32" s="34" t="s">
        <v>50</v>
      </c>
      <c r="O32" s="33" t="n">
        <f>1884</f>
        <v>1884.0</v>
      </c>
      <c r="P32" s="34" t="s">
        <v>49</v>
      </c>
      <c r="Q32" s="33" t="n">
        <f>2049</f>
        <v>2049.0</v>
      </c>
      <c r="R32" s="34" t="s">
        <v>51</v>
      </c>
      <c r="S32" s="35" t="n">
        <f>1988.77</f>
        <v>1988.77</v>
      </c>
      <c r="T32" s="32" t="n">
        <f>10572990</f>
        <v>1.057299E7</v>
      </c>
      <c r="U32" s="32" t="n">
        <f>18990</f>
        <v>18990.0</v>
      </c>
      <c r="V32" s="32" t="n">
        <f>21023124068</f>
        <v>2.1023124068E10</v>
      </c>
      <c r="W32" s="32" t="n">
        <f>37312448</f>
        <v>3.7312448E7</v>
      </c>
      <c r="X32" s="36" t="n">
        <f>22</f>
        <v>22.0</v>
      </c>
    </row>
    <row r="33">
      <c r="A33" s="27" t="s">
        <v>42</v>
      </c>
      <c r="B33" s="27" t="s">
        <v>136</v>
      </c>
      <c r="C33" s="27" t="s">
        <v>137</v>
      </c>
      <c r="D33" s="27" t="s">
        <v>138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1.0</v>
      </c>
      <c r="K33" s="33" t="n">
        <f>845</f>
        <v>845.0</v>
      </c>
      <c r="L33" s="34" t="s">
        <v>48</v>
      </c>
      <c r="M33" s="33" t="n">
        <f>873</f>
        <v>873.0</v>
      </c>
      <c r="N33" s="34" t="s">
        <v>50</v>
      </c>
      <c r="O33" s="33" t="n">
        <f>755</f>
        <v>755.0</v>
      </c>
      <c r="P33" s="34" t="s">
        <v>49</v>
      </c>
      <c r="Q33" s="33" t="n">
        <f>800</f>
        <v>800.0</v>
      </c>
      <c r="R33" s="34" t="s">
        <v>51</v>
      </c>
      <c r="S33" s="35" t="n">
        <f>796.23</f>
        <v>796.23</v>
      </c>
      <c r="T33" s="32" t="n">
        <f>1946149162</f>
        <v>1.946149162E9</v>
      </c>
      <c r="U33" s="32" t="n">
        <f>5249045</f>
        <v>5249045.0</v>
      </c>
      <c r="V33" s="32" t="n">
        <f>1559371601890</f>
        <v>1.55937160189E12</v>
      </c>
      <c r="W33" s="32" t="n">
        <f>4266666580</f>
        <v>4.26666658E9</v>
      </c>
      <c r="X33" s="36" t="n">
        <f>22</f>
        <v>22.0</v>
      </c>
    </row>
    <row r="34">
      <c r="A34" s="27" t="s">
        <v>42</v>
      </c>
      <c r="B34" s="27" t="s">
        <v>139</v>
      </c>
      <c r="C34" s="27" t="s">
        <v>140</v>
      </c>
      <c r="D34" s="27" t="s">
        <v>141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17380</f>
        <v>17380.0</v>
      </c>
      <c r="L34" s="34" t="s">
        <v>48</v>
      </c>
      <c r="M34" s="33" t="n">
        <f>19380</f>
        <v>19380.0</v>
      </c>
      <c r="N34" s="34" t="s">
        <v>49</v>
      </c>
      <c r="O34" s="33" t="n">
        <f>16650</f>
        <v>16650.0</v>
      </c>
      <c r="P34" s="34" t="s">
        <v>50</v>
      </c>
      <c r="Q34" s="33" t="n">
        <f>17770</f>
        <v>17770.0</v>
      </c>
      <c r="R34" s="34" t="s">
        <v>51</v>
      </c>
      <c r="S34" s="35" t="n">
        <f>18162.27</f>
        <v>18162.27</v>
      </c>
      <c r="T34" s="32" t="n">
        <f>810731</f>
        <v>810731.0</v>
      </c>
      <c r="U34" s="32" t="n">
        <f>161</f>
        <v>161.0</v>
      </c>
      <c r="V34" s="32" t="n">
        <f>14739280733</f>
        <v>1.4739280733E10</v>
      </c>
      <c r="W34" s="32" t="n">
        <f>2945113</f>
        <v>2945113.0</v>
      </c>
      <c r="X34" s="36" t="n">
        <f>22</f>
        <v>22.0</v>
      </c>
    </row>
    <row r="35">
      <c r="A35" s="27" t="s">
        <v>42</v>
      </c>
      <c r="B35" s="27" t="s">
        <v>142</v>
      </c>
      <c r="C35" s="27" t="s">
        <v>143</v>
      </c>
      <c r="D35" s="27" t="s">
        <v>144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10.0</v>
      </c>
      <c r="K35" s="33" t="n">
        <f>2054</f>
        <v>2054.0</v>
      </c>
      <c r="L35" s="34" t="s">
        <v>48</v>
      </c>
      <c r="M35" s="33" t="n">
        <f>2115</f>
        <v>2115.0</v>
      </c>
      <c r="N35" s="34" t="s">
        <v>50</v>
      </c>
      <c r="O35" s="33" t="n">
        <f>1831</f>
        <v>1831.0</v>
      </c>
      <c r="P35" s="34" t="s">
        <v>49</v>
      </c>
      <c r="Q35" s="33" t="n">
        <f>1945</f>
        <v>1945.0</v>
      </c>
      <c r="R35" s="34" t="s">
        <v>51</v>
      </c>
      <c r="S35" s="35" t="n">
        <f>1932.5</f>
        <v>1932.5</v>
      </c>
      <c r="T35" s="32" t="n">
        <f>114547070</f>
        <v>1.1454707E8</v>
      </c>
      <c r="U35" s="32" t="n">
        <f>83330</f>
        <v>83330.0</v>
      </c>
      <c r="V35" s="32" t="n">
        <f>222211754308</f>
        <v>2.22211754308E11</v>
      </c>
      <c r="W35" s="32" t="n">
        <f>162155308</f>
        <v>1.62155308E8</v>
      </c>
      <c r="X35" s="36" t="n">
        <f>22</f>
        <v>22.0</v>
      </c>
    </row>
    <row r="36">
      <c r="A36" s="27" t="s">
        <v>42</v>
      </c>
      <c r="B36" s="27" t="s">
        <v>145</v>
      </c>
      <c r="C36" s="27" t="s">
        <v>146</v>
      </c>
      <c r="D36" s="27" t="s">
        <v>147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14460</f>
        <v>14460.0</v>
      </c>
      <c r="L36" s="34" t="s">
        <v>48</v>
      </c>
      <c r="M36" s="33" t="n">
        <f>15090</f>
        <v>15090.0</v>
      </c>
      <c r="N36" s="34" t="s">
        <v>73</v>
      </c>
      <c r="O36" s="33" t="n">
        <f>14150</f>
        <v>14150.0</v>
      </c>
      <c r="P36" s="34" t="s">
        <v>50</v>
      </c>
      <c r="Q36" s="33" t="n">
        <f>14310</f>
        <v>14310.0</v>
      </c>
      <c r="R36" s="34" t="s">
        <v>51</v>
      </c>
      <c r="S36" s="35" t="n">
        <f>14640.45</f>
        <v>14640.45</v>
      </c>
      <c r="T36" s="32" t="n">
        <f>10022</f>
        <v>10022.0</v>
      </c>
      <c r="U36" s="32" t="str">
        <f>"－"</f>
        <v>－</v>
      </c>
      <c r="V36" s="32" t="n">
        <f>146460760</f>
        <v>1.4646076E8</v>
      </c>
      <c r="W36" s="32" t="str">
        <f>"－"</f>
        <v>－</v>
      </c>
      <c r="X36" s="36" t="n">
        <f>22</f>
        <v>22.0</v>
      </c>
    </row>
    <row r="37">
      <c r="A37" s="27" t="s">
        <v>42</v>
      </c>
      <c r="B37" s="27" t="s">
        <v>148</v>
      </c>
      <c r="C37" s="27" t="s">
        <v>149</v>
      </c>
      <c r="D37" s="27" t="s">
        <v>150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14220</f>
        <v>14220.0</v>
      </c>
      <c r="L37" s="34" t="s">
        <v>48</v>
      </c>
      <c r="M37" s="33" t="n">
        <f>15860</f>
        <v>15860.0</v>
      </c>
      <c r="N37" s="34" t="s">
        <v>49</v>
      </c>
      <c r="O37" s="33" t="n">
        <f>13600</f>
        <v>13600.0</v>
      </c>
      <c r="P37" s="34" t="s">
        <v>50</v>
      </c>
      <c r="Q37" s="33" t="n">
        <f>14560</f>
        <v>14560.0</v>
      </c>
      <c r="R37" s="34" t="s">
        <v>51</v>
      </c>
      <c r="S37" s="35" t="n">
        <f>14866.36</f>
        <v>14866.36</v>
      </c>
      <c r="T37" s="32" t="n">
        <f>1906869</f>
        <v>1906869.0</v>
      </c>
      <c r="U37" s="32" t="n">
        <f>344</f>
        <v>344.0</v>
      </c>
      <c r="V37" s="32" t="n">
        <f>28322417428</f>
        <v>2.8322417428E10</v>
      </c>
      <c r="W37" s="32" t="n">
        <f>5129648</f>
        <v>5129648.0</v>
      </c>
      <c r="X37" s="36" t="n">
        <f>22</f>
        <v>22.0</v>
      </c>
    </row>
    <row r="38">
      <c r="A38" s="27" t="s">
        <v>42</v>
      </c>
      <c r="B38" s="27" t="s">
        <v>151</v>
      </c>
      <c r="C38" s="27" t="s">
        <v>152</v>
      </c>
      <c r="D38" s="27" t="s">
        <v>153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1.0</v>
      </c>
      <c r="K38" s="33" t="n">
        <f>2207</f>
        <v>2207.0</v>
      </c>
      <c r="L38" s="34" t="s">
        <v>48</v>
      </c>
      <c r="M38" s="33" t="n">
        <f>2275</f>
        <v>2275.0</v>
      </c>
      <c r="N38" s="34" t="s">
        <v>50</v>
      </c>
      <c r="O38" s="33" t="n">
        <f>1969</f>
        <v>1969.0</v>
      </c>
      <c r="P38" s="34" t="s">
        <v>49</v>
      </c>
      <c r="Q38" s="33" t="n">
        <f>2086</f>
        <v>2086.0</v>
      </c>
      <c r="R38" s="34" t="s">
        <v>51</v>
      </c>
      <c r="S38" s="35" t="n">
        <f>2077.23</f>
        <v>2077.23</v>
      </c>
      <c r="T38" s="32" t="n">
        <f>13687249</f>
        <v>1.3687249E7</v>
      </c>
      <c r="U38" s="32" t="n">
        <f>185685</f>
        <v>185685.0</v>
      </c>
      <c r="V38" s="32" t="n">
        <f>28601557071</f>
        <v>2.8601557071E10</v>
      </c>
      <c r="W38" s="32" t="n">
        <f>390288407</f>
        <v>3.90288407E8</v>
      </c>
      <c r="X38" s="36" t="n">
        <f>22</f>
        <v>22.0</v>
      </c>
    </row>
    <row r="39">
      <c r="A39" s="27" t="s">
        <v>42</v>
      </c>
      <c r="B39" s="27" t="s">
        <v>154</v>
      </c>
      <c r="C39" s="27" t="s">
        <v>155</v>
      </c>
      <c r="D39" s="27" t="s">
        <v>156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1.0</v>
      </c>
      <c r="K39" s="33" t="n">
        <f>11940</f>
        <v>11940.0</v>
      </c>
      <c r="L39" s="34" t="s">
        <v>48</v>
      </c>
      <c r="M39" s="33" t="n">
        <f>12990</f>
        <v>12990.0</v>
      </c>
      <c r="N39" s="34" t="s">
        <v>49</v>
      </c>
      <c r="O39" s="33" t="n">
        <f>11360</f>
        <v>11360.0</v>
      </c>
      <c r="P39" s="34" t="s">
        <v>50</v>
      </c>
      <c r="Q39" s="33" t="n">
        <f>11740</f>
        <v>11740.0</v>
      </c>
      <c r="R39" s="34" t="s">
        <v>51</v>
      </c>
      <c r="S39" s="35" t="n">
        <f>12220</f>
        <v>12220.0</v>
      </c>
      <c r="T39" s="32" t="n">
        <f>323146</f>
        <v>323146.0</v>
      </c>
      <c r="U39" s="32" t="n">
        <f>114</f>
        <v>114.0</v>
      </c>
      <c r="V39" s="32" t="n">
        <f>3972413010</f>
        <v>3.97241301E9</v>
      </c>
      <c r="W39" s="32" t="n">
        <f>1383100</f>
        <v>1383100.0</v>
      </c>
      <c r="X39" s="36" t="n">
        <f>22</f>
        <v>22.0</v>
      </c>
    </row>
    <row r="40">
      <c r="A40" s="27" t="s">
        <v>42</v>
      </c>
      <c r="B40" s="27" t="s">
        <v>157</v>
      </c>
      <c r="C40" s="27" t="s">
        <v>158</v>
      </c>
      <c r="D40" s="27" t="s">
        <v>159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1.0</v>
      </c>
      <c r="K40" s="33" t="n">
        <f>2999</f>
        <v>2999.0</v>
      </c>
      <c r="L40" s="34" t="s">
        <v>48</v>
      </c>
      <c r="M40" s="33" t="n">
        <f>3125</f>
        <v>3125.0</v>
      </c>
      <c r="N40" s="34" t="s">
        <v>50</v>
      </c>
      <c r="O40" s="33" t="n">
        <f>2744</f>
        <v>2744.0</v>
      </c>
      <c r="P40" s="34" t="s">
        <v>49</v>
      </c>
      <c r="Q40" s="33" t="n">
        <f>2976</f>
        <v>2976.0</v>
      </c>
      <c r="R40" s="34" t="s">
        <v>51</v>
      </c>
      <c r="S40" s="35" t="n">
        <f>2897.18</f>
        <v>2897.18</v>
      </c>
      <c r="T40" s="32" t="n">
        <f>1772147</f>
        <v>1772147.0</v>
      </c>
      <c r="U40" s="32" t="n">
        <f>40699</f>
        <v>40699.0</v>
      </c>
      <c r="V40" s="32" t="n">
        <f>5146439187</f>
        <v>5.146439187E9</v>
      </c>
      <c r="W40" s="32" t="n">
        <f>119207677</f>
        <v>1.19207677E8</v>
      </c>
      <c r="X40" s="36" t="n">
        <f>22</f>
        <v>22.0</v>
      </c>
    </row>
    <row r="41">
      <c r="A41" s="27" t="s">
        <v>42</v>
      </c>
      <c r="B41" s="27" t="s">
        <v>160</v>
      </c>
      <c r="C41" s="27" t="s">
        <v>161</v>
      </c>
      <c r="D41" s="27" t="s">
        <v>162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22110</f>
        <v>22110.0</v>
      </c>
      <c r="L41" s="34" t="s">
        <v>48</v>
      </c>
      <c r="M41" s="33" t="n">
        <f>23390</f>
        <v>23390.0</v>
      </c>
      <c r="N41" s="34" t="s">
        <v>73</v>
      </c>
      <c r="O41" s="33" t="n">
        <f>21700</f>
        <v>21700.0</v>
      </c>
      <c r="P41" s="34" t="s">
        <v>50</v>
      </c>
      <c r="Q41" s="33" t="n">
        <f>22480</f>
        <v>22480.0</v>
      </c>
      <c r="R41" s="34" t="s">
        <v>51</v>
      </c>
      <c r="S41" s="35" t="n">
        <f>22670.91</f>
        <v>22670.91</v>
      </c>
      <c r="T41" s="32" t="n">
        <f>180674</f>
        <v>180674.0</v>
      </c>
      <c r="U41" s="32" t="n">
        <f>28700</f>
        <v>28700.0</v>
      </c>
      <c r="V41" s="32" t="n">
        <f>4104928190</f>
        <v>4.10492819E9</v>
      </c>
      <c r="W41" s="32" t="n">
        <f>643899100</f>
        <v>6.438991E8</v>
      </c>
      <c r="X41" s="36" t="n">
        <f>22</f>
        <v>22.0</v>
      </c>
    </row>
    <row r="42">
      <c r="A42" s="27" t="s">
        <v>42</v>
      </c>
      <c r="B42" s="27" t="s">
        <v>163</v>
      </c>
      <c r="C42" s="27" t="s">
        <v>164</v>
      </c>
      <c r="D42" s="27" t="s">
        <v>165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3780</f>
        <v>3780.0</v>
      </c>
      <c r="L42" s="34" t="s">
        <v>48</v>
      </c>
      <c r="M42" s="33" t="n">
        <f>4250</f>
        <v>4250.0</v>
      </c>
      <c r="N42" s="34" t="s">
        <v>73</v>
      </c>
      <c r="O42" s="33" t="n">
        <f>3760</f>
        <v>3760.0</v>
      </c>
      <c r="P42" s="34" t="s">
        <v>48</v>
      </c>
      <c r="Q42" s="33" t="n">
        <f>4000</f>
        <v>4000.0</v>
      </c>
      <c r="R42" s="34" t="s">
        <v>51</v>
      </c>
      <c r="S42" s="35" t="n">
        <f>3979.09</f>
        <v>3979.09</v>
      </c>
      <c r="T42" s="32" t="n">
        <f>11685</f>
        <v>11685.0</v>
      </c>
      <c r="U42" s="32" t="str">
        <f>"－"</f>
        <v>－</v>
      </c>
      <c r="V42" s="32" t="n">
        <f>45990745</f>
        <v>4.5990745E7</v>
      </c>
      <c r="W42" s="32" t="str">
        <f>"－"</f>
        <v>－</v>
      </c>
      <c r="X42" s="36" t="n">
        <f>22</f>
        <v>22.0</v>
      </c>
    </row>
    <row r="43">
      <c r="A43" s="27" t="s">
        <v>42</v>
      </c>
      <c r="B43" s="27" t="s">
        <v>166</v>
      </c>
      <c r="C43" s="27" t="s">
        <v>167</v>
      </c>
      <c r="D43" s="27" t="s">
        <v>168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7070</f>
        <v>7070.0</v>
      </c>
      <c r="L43" s="34" t="s">
        <v>48</v>
      </c>
      <c r="M43" s="33" t="n">
        <f>7720</f>
        <v>7720.0</v>
      </c>
      <c r="N43" s="34" t="s">
        <v>73</v>
      </c>
      <c r="O43" s="33" t="n">
        <f>6970</f>
        <v>6970.0</v>
      </c>
      <c r="P43" s="34" t="s">
        <v>50</v>
      </c>
      <c r="Q43" s="33" t="n">
        <f>7310</f>
        <v>7310.0</v>
      </c>
      <c r="R43" s="34" t="s">
        <v>51</v>
      </c>
      <c r="S43" s="35" t="n">
        <f>7298.64</f>
        <v>7298.64</v>
      </c>
      <c r="T43" s="32" t="n">
        <f>3207</f>
        <v>3207.0</v>
      </c>
      <c r="U43" s="32" t="str">
        <f>"－"</f>
        <v>－</v>
      </c>
      <c r="V43" s="32" t="n">
        <f>23462770</f>
        <v>2.346277E7</v>
      </c>
      <c r="W43" s="32" t="str">
        <f>"－"</f>
        <v>－</v>
      </c>
      <c r="X43" s="36" t="n">
        <f>22</f>
        <v>22.0</v>
      </c>
    </row>
    <row r="44">
      <c r="A44" s="27" t="s">
        <v>42</v>
      </c>
      <c r="B44" s="27" t="s">
        <v>169</v>
      </c>
      <c r="C44" s="27" t="s">
        <v>170</v>
      </c>
      <c r="D44" s="27" t="s">
        <v>171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13850</f>
        <v>13850.0</v>
      </c>
      <c r="L44" s="34" t="s">
        <v>90</v>
      </c>
      <c r="M44" s="33" t="n">
        <f>14960</f>
        <v>14960.0</v>
      </c>
      <c r="N44" s="34" t="s">
        <v>49</v>
      </c>
      <c r="O44" s="33" t="n">
        <f>13190</f>
        <v>13190.0</v>
      </c>
      <c r="P44" s="34" t="s">
        <v>50</v>
      </c>
      <c r="Q44" s="33" t="n">
        <f>13460</f>
        <v>13460.0</v>
      </c>
      <c r="R44" s="34" t="s">
        <v>77</v>
      </c>
      <c r="S44" s="35" t="n">
        <f>13921.88</f>
        <v>13921.88</v>
      </c>
      <c r="T44" s="32" t="n">
        <f>2709</f>
        <v>2709.0</v>
      </c>
      <c r="U44" s="32" t="n">
        <f>2350</f>
        <v>2350.0</v>
      </c>
      <c r="V44" s="32" t="n">
        <f>37649060</f>
        <v>3.764906E7</v>
      </c>
      <c r="W44" s="32" t="n">
        <f>32666500</f>
        <v>3.26665E7</v>
      </c>
      <c r="X44" s="36" t="n">
        <f>16</f>
        <v>16.0</v>
      </c>
    </row>
    <row r="45">
      <c r="A45" s="27" t="s">
        <v>42</v>
      </c>
      <c r="B45" s="27" t="s">
        <v>172</v>
      </c>
      <c r="C45" s="27" t="s">
        <v>173</v>
      </c>
      <c r="D45" s="27" t="s">
        <v>174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10510</f>
        <v>10510.0</v>
      </c>
      <c r="L45" s="34" t="s">
        <v>48</v>
      </c>
      <c r="M45" s="33" t="n">
        <f>11650</f>
        <v>11650.0</v>
      </c>
      <c r="N45" s="34" t="s">
        <v>73</v>
      </c>
      <c r="O45" s="33" t="n">
        <f>10390</f>
        <v>10390.0</v>
      </c>
      <c r="P45" s="34" t="s">
        <v>50</v>
      </c>
      <c r="Q45" s="33" t="n">
        <f>10720</f>
        <v>10720.0</v>
      </c>
      <c r="R45" s="34" t="s">
        <v>104</v>
      </c>
      <c r="S45" s="35" t="n">
        <f>10999.09</f>
        <v>10999.09</v>
      </c>
      <c r="T45" s="32" t="n">
        <f>928</f>
        <v>928.0</v>
      </c>
      <c r="U45" s="32" t="str">
        <f>"－"</f>
        <v>－</v>
      </c>
      <c r="V45" s="32" t="n">
        <f>10135620</f>
        <v>1.013562E7</v>
      </c>
      <c r="W45" s="32" t="str">
        <f>"－"</f>
        <v>－</v>
      </c>
      <c r="X45" s="36" t="n">
        <f>11</f>
        <v>11.0</v>
      </c>
    </row>
    <row r="46">
      <c r="A46" s="27" t="s">
        <v>42</v>
      </c>
      <c r="B46" s="27" t="s">
        <v>175</v>
      </c>
      <c r="C46" s="27" t="s">
        <v>176</v>
      </c>
      <c r="D46" s="27" t="s">
        <v>177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1.0</v>
      </c>
      <c r="K46" s="33" t="n">
        <f>7780</f>
        <v>7780.0</v>
      </c>
      <c r="L46" s="34" t="s">
        <v>48</v>
      </c>
      <c r="M46" s="33" t="n">
        <f>8580</f>
        <v>8580.0</v>
      </c>
      <c r="N46" s="34" t="s">
        <v>73</v>
      </c>
      <c r="O46" s="33" t="n">
        <f>7550</f>
        <v>7550.0</v>
      </c>
      <c r="P46" s="34" t="s">
        <v>50</v>
      </c>
      <c r="Q46" s="33" t="n">
        <f>7740</f>
        <v>7740.0</v>
      </c>
      <c r="R46" s="34" t="s">
        <v>51</v>
      </c>
      <c r="S46" s="35" t="n">
        <f>7938.57</f>
        <v>7938.57</v>
      </c>
      <c r="T46" s="32" t="n">
        <f>1221</f>
        <v>1221.0</v>
      </c>
      <c r="U46" s="32" t="str">
        <f>"－"</f>
        <v>－</v>
      </c>
      <c r="V46" s="32" t="n">
        <f>9721890</f>
        <v>9721890.0</v>
      </c>
      <c r="W46" s="32" t="str">
        <f>"－"</f>
        <v>－</v>
      </c>
      <c r="X46" s="36" t="n">
        <f>21</f>
        <v>21.0</v>
      </c>
    </row>
    <row r="47">
      <c r="A47" s="27" t="s">
        <v>42</v>
      </c>
      <c r="B47" s="27" t="s">
        <v>178</v>
      </c>
      <c r="C47" s="27" t="s">
        <v>179</v>
      </c>
      <c r="D47" s="27" t="s">
        <v>180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1.0</v>
      </c>
      <c r="K47" s="33" t="n">
        <f>3980</f>
        <v>3980.0</v>
      </c>
      <c r="L47" s="34" t="s">
        <v>48</v>
      </c>
      <c r="M47" s="33" t="n">
        <f>4650</f>
        <v>4650.0</v>
      </c>
      <c r="N47" s="34" t="s">
        <v>73</v>
      </c>
      <c r="O47" s="33" t="n">
        <f>3900</f>
        <v>3900.0</v>
      </c>
      <c r="P47" s="34" t="s">
        <v>48</v>
      </c>
      <c r="Q47" s="33" t="n">
        <f>4190</f>
        <v>4190.0</v>
      </c>
      <c r="R47" s="34" t="s">
        <v>51</v>
      </c>
      <c r="S47" s="35" t="n">
        <f>4241.82</f>
        <v>4241.82</v>
      </c>
      <c r="T47" s="32" t="n">
        <f>1384</f>
        <v>1384.0</v>
      </c>
      <c r="U47" s="32" t="str">
        <f>"－"</f>
        <v>－</v>
      </c>
      <c r="V47" s="32" t="n">
        <f>5903995</f>
        <v>5903995.0</v>
      </c>
      <c r="W47" s="32" t="str">
        <f>"－"</f>
        <v>－</v>
      </c>
      <c r="X47" s="36" t="n">
        <f>22</f>
        <v>22.0</v>
      </c>
    </row>
    <row r="48">
      <c r="A48" s="27" t="s">
        <v>42</v>
      </c>
      <c r="B48" s="27" t="s">
        <v>181</v>
      </c>
      <c r="C48" s="27" t="s">
        <v>182</v>
      </c>
      <c r="D48" s="27" t="s">
        <v>183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1.0</v>
      </c>
      <c r="K48" s="33" t="n">
        <f>2141</f>
        <v>2141.0</v>
      </c>
      <c r="L48" s="34" t="s">
        <v>48</v>
      </c>
      <c r="M48" s="33" t="n">
        <f>2279</f>
        <v>2279.0</v>
      </c>
      <c r="N48" s="34" t="s">
        <v>184</v>
      </c>
      <c r="O48" s="33" t="n">
        <f>2112</f>
        <v>2112.0</v>
      </c>
      <c r="P48" s="34" t="s">
        <v>62</v>
      </c>
      <c r="Q48" s="33" t="n">
        <f>2230</f>
        <v>2230.0</v>
      </c>
      <c r="R48" s="34" t="s">
        <v>51</v>
      </c>
      <c r="S48" s="35" t="n">
        <f>2219.73</f>
        <v>2219.73</v>
      </c>
      <c r="T48" s="32" t="n">
        <f>3016</f>
        <v>3016.0</v>
      </c>
      <c r="U48" s="32" t="n">
        <f>9</f>
        <v>9.0</v>
      </c>
      <c r="V48" s="32" t="n">
        <f>6633226</f>
        <v>6633226.0</v>
      </c>
      <c r="W48" s="32" t="n">
        <f>19773</f>
        <v>19773.0</v>
      </c>
      <c r="X48" s="36" t="n">
        <f>22</f>
        <v>22.0</v>
      </c>
    </row>
    <row r="49">
      <c r="A49" s="27" t="s">
        <v>42</v>
      </c>
      <c r="B49" s="27" t="s">
        <v>185</v>
      </c>
      <c r="C49" s="27" t="s">
        <v>186</v>
      </c>
      <c r="D49" s="27" t="s">
        <v>187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1.0</v>
      </c>
      <c r="K49" s="33" t="n">
        <f>2110</f>
        <v>2110.0</v>
      </c>
      <c r="L49" s="34" t="s">
        <v>48</v>
      </c>
      <c r="M49" s="33" t="n">
        <f>2324</f>
        <v>2324.0</v>
      </c>
      <c r="N49" s="34" t="s">
        <v>49</v>
      </c>
      <c r="O49" s="33" t="n">
        <f>2030</f>
        <v>2030.0</v>
      </c>
      <c r="P49" s="34" t="s">
        <v>50</v>
      </c>
      <c r="Q49" s="33" t="n">
        <f>2130</f>
        <v>2130.0</v>
      </c>
      <c r="R49" s="34" t="s">
        <v>51</v>
      </c>
      <c r="S49" s="35" t="n">
        <f>2176.82</f>
        <v>2176.82</v>
      </c>
      <c r="T49" s="32" t="n">
        <f>4907</f>
        <v>4907.0</v>
      </c>
      <c r="U49" s="32" t="n">
        <f>45</f>
        <v>45.0</v>
      </c>
      <c r="V49" s="32" t="n">
        <f>10765347</f>
        <v>1.0765347E7</v>
      </c>
      <c r="W49" s="32" t="n">
        <f>100980</f>
        <v>100980.0</v>
      </c>
      <c r="X49" s="36" t="n">
        <f>22</f>
        <v>22.0</v>
      </c>
    </row>
    <row r="50">
      <c r="A50" s="27" t="s">
        <v>42</v>
      </c>
      <c r="B50" s="27" t="s">
        <v>188</v>
      </c>
      <c r="C50" s="27" t="s">
        <v>189</v>
      </c>
      <c r="D50" s="27" t="s">
        <v>190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1.0</v>
      </c>
      <c r="K50" s="33" t="n">
        <f>31500</f>
        <v>31500.0</v>
      </c>
      <c r="L50" s="34" t="s">
        <v>48</v>
      </c>
      <c r="M50" s="33" t="n">
        <f>34200</f>
        <v>34200.0</v>
      </c>
      <c r="N50" s="34" t="s">
        <v>73</v>
      </c>
      <c r="O50" s="33" t="n">
        <f>30400</f>
        <v>30400.0</v>
      </c>
      <c r="P50" s="34" t="s">
        <v>50</v>
      </c>
      <c r="Q50" s="33" t="n">
        <f>31700</f>
        <v>31700.0</v>
      </c>
      <c r="R50" s="34" t="s">
        <v>51</v>
      </c>
      <c r="S50" s="35" t="n">
        <f>32172.73</f>
        <v>32172.73</v>
      </c>
      <c r="T50" s="32" t="n">
        <f>1380</f>
        <v>1380.0</v>
      </c>
      <c r="U50" s="32" t="str">
        <f>"－"</f>
        <v>－</v>
      </c>
      <c r="V50" s="32" t="n">
        <f>44268250</f>
        <v>4.426825E7</v>
      </c>
      <c r="W50" s="32" t="str">
        <f>"－"</f>
        <v>－</v>
      </c>
      <c r="X50" s="36" t="n">
        <f>22</f>
        <v>22.0</v>
      </c>
    </row>
    <row r="51">
      <c r="A51" s="27" t="s">
        <v>42</v>
      </c>
      <c r="B51" s="27" t="s">
        <v>191</v>
      </c>
      <c r="C51" s="27" t="s">
        <v>192</v>
      </c>
      <c r="D51" s="27" t="s">
        <v>193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1.0</v>
      </c>
      <c r="K51" s="33" t="n">
        <f>23550</f>
        <v>23550.0</v>
      </c>
      <c r="L51" s="34" t="s">
        <v>48</v>
      </c>
      <c r="M51" s="33" t="n">
        <f>25230</f>
        <v>25230.0</v>
      </c>
      <c r="N51" s="34" t="s">
        <v>49</v>
      </c>
      <c r="O51" s="33" t="n">
        <f>23010</f>
        <v>23010.0</v>
      </c>
      <c r="P51" s="34" t="s">
        <v>50</v>
      </c>
      <c r="Q51" s="33" t="n">
        <f>23660</f>
        <v>23660.0</v>
      </c>
      <c r="R51" s="34" t="s">
        <v>77</v>
      </c>
      <c r="S51" s="35" t="n">
        <f>24090.56</f>
        <v>24090.56</v>
      </c>
      <c r="T51" s="32" t="n">
        <f>321</f>
        <v>321.0</v>
      </c>
      <c r="U51" s="32" t="str">
        <f>"－"</f>
        <v>－</v>
      </c>
      <c r="V51" s="32" t="n">
        <f>7665450</f>
        <v>7665450.0</v>
      </c>
      <c r="W51" s="32" t="str">
        <f>"－"</f>
        <v>－</v>
      </c>
      <c r="X51" s="36" t="n">
        <f>18</f>
        <v>18.0</v>
      </c>
    </row>
    <row r="52">
      <c r="A52" s="27" t="s">
        <v>42</v>
      </c>
      <c r="B52" s="27" t="s">
        <v>194</v>
      </c>
      <c r="C52" s="27" t="s">
        <v>195</v>
      </c>
      <c r="D52" s="27" t="s">
        <v>196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1.0</v>
      </c>
      <c r="K52" s="33" t="n">
        <f>22050</f>
        <v>22050.0</v>
      </c>
      <c r="L52" s="34" t="s">
        <v>48</v>
      </c>
      <c r="M52" s="33" t="n">
        <f>23500</f>
        <v>23500.0</v>
      </c>
      <c r="N52" s="34" t="s">
        <v>73</v>
      </c>
      <c r="O52" s="33" t="n">
        <f>21620</f>
        <v>21620.0</v>
      </c>
      <c r="P52" s="34" t="s">
        <v>50</v>
      </c>
      <c r="Q52" s="33" t="n">
        <f>22560</f>
        <v>22560.0</v>
      </c>
      <c r="R52" s="34" t="s">
        <v>51</v>
      </c>
      <c r="S52" s="35" t="n">
        <f>22654.29</f>
        <v>22654.29</v>
      </c>
      <c r="T52" s="32" t="n">
        <f>44693</f>
        <v>44693.0</v>
      </c>
      <c r="U52" s="32" t="n">
        <f>43400</f>
        <v>43400.0</v>
      </c>
      <c r="V52" s="32" t="n">
        <f>1023026380</f>
        <v>1.02302638E9</v>
      </c>
      <c r="W52" s="32" t="n">
        <f>993794900</f>
        <v>9.937949E8</v>
      </c>
      <c r="X52" s="36" t="n">
        <f>21</f>
        <v>21.0</v>
      </c>
    </row>
    <row r="53">
      <c r="A53" s="27" t="s">
        <v>42</v>
      </c>
      <c r="B53" s="27" t="s">
        <v>197</v>
      </c>
      <c r="C53" s="27" t="s">
        <v>198</v>
      </c>
      <c r="D53" s="27" t="s">
        <v>199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10.0</v>
      </c>
      <c r="K53" s="33" t="n">
        <f>1733</f>
        <v>1733.0</v>
      </c>
      <c r="L53" s="34" t="s">
        <v>48</v>
      </c>
      <c r="M53" s="33" t="n">
        <f>1793</f>
        <v>1793.0</v>
      </c>
      <c r="N53" s="34" t="s">
        <v>61</v>
      </c>
      <c r="O53" s="33" t="n">
        <f>1663</f>
        <v>1663.0</v>
      </c>
      <c r="P53" s="34" t="s">
        <v>62</v>
      </c>
      <c r="Q53" s="33" t="n">
        <f>1692</f>
        <v>1692.0</v>
      </c>
      <c r="R53" s="34" t="s">
        <v>51</v>
      </c>
      <c r="S53" s="35" t="n">
        <f>1733.05</f>
        <v>1733.05</v>
      </c>
      <c r="T53" s="32" t="n">
        <f>307260</f>
        <v>307260.0</v>
      </c>
      <c r="U53" s="32" t="n">
        <f>40</f>
        <v>40.0</v>
      </c>
      <c r="V53" s="32" t="n">
        <f>536915750</f>
        <v>5.3691575E8</v>
      </c>
      <c r="W53" s="32" t="n">
        <f>71600</f>
        <v>71600.0</v>
      </c>
      <c r="X53" s="36" t="n">
        <f>22</f>
        <v>22.0</v>
      </c>
    </row>
    <row r="54">
      <c r="A54" s="27" t="s">
        <v>42</v>
      </c>
      <c r="B54" s="27" t="s">
        <v>200</v>
      </c>
      <c r="C54" s="27" t="s">
        <v>201</v>
      </c>
      <c r="D54" s="27" t="s">
        <v>202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10.0</v>
      </c>
      <c r="K54" s="33" t="n">
        <f>1360</f>
        <v>1360.0</v>
      </c>
      <c r="L54" s="34" t="s">
        <v>48</v>
      </c>
      <c r="M54" s="33" t="n">
        <f>1433</f>
        <v>1433.0</v>
      </c>
      <c r="N54" s="34" t="s">
        <v>49</v>
      </c>
      <c r="O54" s="33" t="n">
        <f>1310</f>
        <v>1310.0</v>
      </c>
      <c r="P54" s="34" t="s">
        <v>77</v>
      </c>
      <c r="Q54" s="33" t="n">
        <f>1334</f>
        <v>1334.0</v>
      </c>
      <c r="R54" s="34" t="s">
        <v>51</v>
      </c>
      <c r="S54" s="35" t="n">
        <f>1365.85</f>
        <v>1365.85</v>
      </c>
      <c r="T54" s="32" t="n">
        <f>19480</f>
        <v>19480.0</v>
      </c>
      <c r="U54" s="32" t="str">
        <f>"－"</f>
        <v>－</v>
      </c>
      <c r="V54" s="32" t="n">
        <f>26787450</f>
        <v>2.678745E7</v>
      </c>
      <c r="W54" s="32" t="str">
        <f>"－"</f>
        <v>－</v>
      </c>
      <c r="X54" s="36" t="n">
        <f>20</f>
        <v>20.0</v>
      </c>
    </row>
    <row r="55">
      <c r="A55" s="27" t="s">
        <v>42</v>
      </c>
      <c r="B55" s="27" t="s">
        <v>203</v>
      </c>
      <c r="C55" s="27" t="s">
        <v>204</v>
      </c>
      <c r="D55" s="27" t="s">
        <v>205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6120</f>
        <v>6120.0</v>
      </c>
      <c r="L55" s="34" t="s">
        <v>48</v>
      </c>
      <c r="M55" s="33" t="n">
        <f>6230</f>
        <v>6230.0</v>
      </c>
      <c r="N55" s="34" t="s">
        <v>50</v>
      </c>
      <c r="O55" s="33" t="n">
        <f>5780</f>
        <v>5780.0</v>
      </c>
      <c r="P55" s="34" t="s">
        <v>73</v>
      </c>
      <c r="Q55" s="33" t="n">
        <f>5970</f>
        <v>5970.0</v>
      </c>
      <c r="R55" s="34" t="s">
        <v>51</v>
      </c>
      <c r="S55" s="35" t="n">
        <f>5955</f>
        <v>5955.0</v>
      </c>
      <c r="T55" s="32" t="n">
        <f>349699</f>
        <v>349699.0</v>
      </c>
      <c r="U55" s="32" t="n">
        <f>163</f>
        <v>163.0</v>
      </c>
      <c r="V55" s="32" t="n">
        <f>2088727460</f>
        <v>2.08872746E9</v>
      </c>
      <c r="W55" s="32" t="n">
        <f>966590</f>
        <v>966590.0</v>
      </c>
      <c r="X55" s="36" t="n">
        <f>22</f>
        <v>22.0</v>
      </c>
    </row>
    <row r="56">
      <c r="A56" s="27" t="s">
        <v>42</v>
      </c>
      <c r="B56" s="27" t="s">
        <v>206</v>
      </c>
      <c r="C56" s="27" t="s">
        <v>207</v>
      </c>
      <c r="D56" s="27" t="s">
        <v>208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7060</f>
        <v>7060.0</v>
      </c>
      <c r="L56" s="34" t="s">
        <v>48</v>
      </c>
      <c r="M56" s="33" t="n">
        <f>7200</f>
        <v>7200.0</v>
      </c>
      <c r="N56" s="34" t="s">
        <v>50</v>
      </c>
      <c r="O56" s="33" t="n">
        <f>6760</f>
        <v>6760.0</v>
      </c>
      <c r="P56" s="34" t="s">
        <v>49</v>
      </c>
      <c r="Q56" s="33" t="n">
        <f>6990</f>
        <v>6990.0</v>
      </c>
      <c r="R56" s="34" t="s">
        <v>51</v>
      </c>
      <c r="S56" s="35" t="n">
        <f>6948.64</f>
        <v>6948.64</v>
      </c>
      <c r="T56" s="32" t="n">
        <f>461274</f>
        <v>461274.0</v>
      </c>
      <c r="U56" s="32" t="n">
        <f>172900</f>
        <v>172900.0</v>
      </c>
      <c r="V56" s="32" t="n">
        <f>3203676606</f>
        <v>3.203676606E9</v>
      </c>
      <c r="W56" s="32" t="n">
        <f>1197830016</f>
        <v>1.197830016E9</v>
      </c>
      <c r="X56" s="36" t="n">
        <f>22</f>
        <v>22.0</v>
      </c>
    </row>
    <row r="57">
      <c r="A57" s="27" t="s">
        <v>42</v>
      </c>
      <c r="B57" s="27" t="s">
        <v>209</v>
      </c>
      <c r="C57" s="27" t="s">
        <v>210</v>
      </c>
      <c r="D57" s="27" t="s">
        <v>211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10760</f>
        <v>10760.0</v>
      </c>
      <c r="L57" s="34" t="s">
        <v>48</v>
      </c>
      <c r="M57" s="33" t="n">
        <f>12000</f>
        <v>12000.0</v>
      </c>
      <c r="N57" s="34" t="s">
        <v>49</v>
      </c>
      <c r="O57" s="33" t="n">
        <f>10300</f>
        <v>10300.0</v>
      </c>
      <c r="P57" s="34" t="s">
        <v>50</v>
      </c>
      <c r="Q57" s="33" t="n">
        <f>11020</f>
        <v>11020.0</v>
      </c>
      <c r="R57" s="34" t="s">
        <v>51</v>
      </c>
      <c r="S57" s="35" t="n">
        <f>11247.27</f>
        <v>11247.27</v>
      </c>
      <c r="T57" s="32" t="n">
        <f>10709739</f>
        <v>1.0709739E7</v>
      </c>
      <c r="U57" s="32" t="n">
        <f>706</f>
        <v>706.0</v>
      </c>
      <c r="V57" s="32" t="n">
        <f>120548670174</f>
        <v>1.20548670174E11</v>
      </c>
      <c r="W57" s="32" t="n">
        <f>8028544</f>
        <v>8028544.0</v>
      </c>
      <c r="X57" s="36" t="n">
        <f>22</f>
        <v>22.0</v>
      </c>
    </row>
    <row r="58">
      <c r="A58" s="27" t="s">
        <v>42</v>
      </c>
      <c r="B58" s="27" t="s">
        <v>212</v>
      </c>
      <c r="C58" s="27" t="s">
        <v>213</v>
      </c>
      <c r="D58" s="27" t="s">
        <v>214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3350</f>
        <v>3350.0</v>
      </c>
      <c r="L58" s="34" t="s">
        <v>48</v>
      </c>
      <c r="M58" s="33" t="n">
        <f>3455</f>
        <v>3455.0</v>
      </c>
      <c r="N58" s="34" t="s">
        <v>50</v>
      </c>
      <c r="O58" s="33" t="n">
        <f>2988</f>
        <v>2988.0</v>
      </c>
      <c r="P58" s="34" t="s">
        <v>49</v>
      </c>
      <c r="Q58" s="33" t="n">
        <f>3180</f>
        <v>3180.0</v>
      </c>
      <c r="R58" s="34" t="s">
        <v>51</v>
      </c>
      <c r="S58" s="35" t="n">
        <f>3154.95</f>
        <v>3154.95</v>
      </c>
      <c r="T58" s="32" t="n">
        <f>29677118</f>
        <v>2.9677118E7</v>
      </c>
      <c r="U58" s="32" t="n">
        <f>14026</f>
        <v>14026.0</v>
      </c>
      <c r="V58" s="32" t="n">
        <f>94226968174</f>
        <v>9.4226968174E10</v>
      </c>
      <c r="W58" s="32" t="n">
        <f>44387364</f>
        <v>4.4387364E7</v>
      </c>
      <c r="X58" s="36" t="n">
        <f>22</f>
        <v>22.0</v>
      </c>
    </row>
    <row r="59">
      <c r="A59" s="27" t="s">
        <v>42</v>
      </c>
      <c r="B59" s="27" t="s">
        <v>215</v>
      </c>
      <c r="C59" s="27" t="s">
        <v>216</v>
      </c>
      <c r="D59" s="27" t="s">
        <v>217</v>
      </c>
      <c r="E59" s="28" t="s">
        <v>46</v>
      </c>
      <c r="F59" s="29" t="s">
        <v>46</v>
      </c>
      <c r="G59" s="30" t="s">
        <v>46</v>
      </c>
      <c r="H59" s="31"/>
      <c r="I59" s="31" t="s">
        <v>47</v>
      </c>
      <c r="J59" s="32" t="n">
        <v>1.0</v>
      </c>
      <c r="K59" s="33" t="n">
        <f>18370</f>
        <v>18370.0</v>
      </c>
      <c r="L59" s="34" t="s">
        <v>48</v>
      </c>
      <c r="M59" s="33" t="n">
        <f>19670</f>
        <v>19670.0</v>
      </c>
      <c r="N59" s="34" t="s">
        <v>51</v>
      </c>
      <c r="O59" s="33" t="n">
        <f>18370</f>
        <v>18370.0</v>
      </c>
      <c r="P59" s="34" t="s">
        <v>48</v>
      </c>
      <c r="Q59" s="33" t="n">
        <f>19670</f>
        <v>19670.0</v>
      </c>
      <c r="R59" s="34" t="s">
        <v>51</v>
      </c>
      <c r="S59" s="35" t="n">
        <f>19386</f>
        <v>19386.0</v>
      </c>
      <c r="T59" s="32" t="n">
        <f>31</f>
        <v>31.0</v>
      </c>
      <c r="U59" s="32" t="str">
        <f>"－"</f>
        <v>－</v>
      </c>
      <c r="V59" s="32" t="n">
        <f>595190</f>
        <v>595190.0</v>
      </c>
      <c r="W59" s="32" t="str">
        <f>"－"</f>
        <v>－</v>
      </c>
      <c r="X59" s="36" t="n">
        <f>10</f>
        <v>10.0</v>
      </c>
    </row>
    <row r="60">
      <c r="A60" s="27" t="s">
        <v>42</v>
      </c>
      <c r="B60" s="27" t="s">
        <v>218</v>
      </c>
      <c r="C60" s="27" t="s">
        <v>219</v>
      </c>
      <c r="D60" s="27" t="s">
        <v>220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1.0</v>
      </c>
      <c r="K60" s="33" t="n">
        <f>9390</f>
        <v>9390.0</v>
      </c>
      <c r="L60" s="34" t="s">
        <v>48</v>
      </c>
      <c r="M60" s="33" t="n">
        <f>10310</f>
        <v>10310.0</v>
      </c>
      <c r="N60" s="34" t="s">
        <v>49</v>
      </c>
      <c r="O60" s="33" t="n">
        <f>9060</f>
        <v>9060.0</v>
      </c>
      <c r="P60" s="34" t="s">
        <v>50</v>
      </c>
      <c r="Q60" s="33" t="n">
        <f>9400</f>
        <v>9400.0</v>
      </c>
      <c r="R60" s="34" t="s">
        <v>51</v>
      </c>
      <c r="S60" s="35" t="n">
        <f>9680.45</f>
        <v>9680.45</v>
      </c>
      <c r="T60" s="32" t="n">
        <f>14459</f>
        <v>14459.0</v>
      </c>
      <c r="U60" s="32" t="str">
        <f>"－"</f>
        <v>－</v>
      </c>
      <c r="V60" s="32" t="n">
        <f>141348110</f>
        <v>1.4134811E8</v>
      </c>
      <c r="W60" s="32" t="str">
        <f>"－"</f>
        <v>－</v>
      </c>
      <c r="X60" s="36" t="n">
        <f>22</f>
        <v>22.0</v>
      </c>
    </row>
    <row r="61">
      <c r="A61" s="27" t="s">
        <v>42</v>
      </c>
      <c r="B61" s="27" t="s">
        <v>221</v>
      </c>
      <c r="C61" s="27" t="s">
        <v>222</v>
      </c>
      <c r="D61" s="27" t="s">
        <v>223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1.0</v>
      </c>
      <c r="K61" s="33" t="n">
        <f>6910</f>
        <v>6910.0</v>
      </c>
      <c r="L61" s="34" t="s">
        <v>48</v>
      </c>
      <c r="M61" s="33" t="n">
        <f>7000</f>
        <v>7000.0</v>
      </c>
      <c r="N61" s="34" t="s">
        <v>50</v>
      </c>
      <c r="O61" s="33" t="n">
        <f>6610</f>
        <v>6610.0</v>
      </c>
      <c r="P61" s="34" t="s">
        <v>49</v>
      </c>
      <c r="Q61" s="33" t="n">
        <f>6880</f>
        <v>6880.0</v>
      </c>
      <c r="R61" s="34" t="s">
        <v>77</v>
      </c>
      <c r="S61" s="35" t="n">
        <f>6777.37</f>
        <v>6777.37</v>
      </c>
      <c r="T61" s="32" t="n">
        <f>94105</f>
        <v>94105.0</v>
      </c>
      <c r="U61" s="32" t="str">
        <f>"－"</f>
        <v>－</v>
      </c>
      <c r="V61" s="32" t="n">
        <f>632211560</f>
        <v>6.3221156E8</v>
      </c>
      <c r="W61" s="32" t="str">
        <f>"－"</f>
        <v>－</v>
      </c>
      <c r="X61" s="36" t="n">
        <f>19</f>
        <v>19.0</v>
      </c>
    </row>
    <row r="62">
      <c r="A62" s="27" t="s">
        <v>42</v>
      </c>
      <c r="B62" s="27" t="s">
        <v>224</v>
      </c>
      <c r="C62" s="27" t="s">
        <v>225</v>
      </c>
      <c r="D62" s="27" t="s">
        <v>226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1.0</v>
      </c>
      <c r="K62" s="33" t="n">
        <f>3945</f>
        <v>3945.0</v>
      </c>
      <c r="L62" s="34" t="s">
        <v>48</v>
      </c>
      <c r="M62" s="33" t="n">
        <f>4035</f>
        <v>4035.0</v>
      </c>
      <c r="N62" s="34" t="s">
        <v>50</v>
      </c>
      <c r="O62" s="33" t="n">
        <f>3510</f>
        <v>3510.0</v>
      </c>
      <c r="P62" s="34" t="s">
        <v>73</v>
      </c>
      <c r="Q62" s="33" t="n">
        <f>3850</f>
        <v>3850.0</v>
      </c>
      <c r="R62" s="34" t="s">
        <v>51</v>
      </c>
      <c r="S62" s="35" t="n">
        <f>3772.27</f>
        <v>3772.27</v>
      </c>
      <c r="T62" s="32" t="n">
        <f>28697</f>
        <v>28697.0</v>
      </c>
      <c r="U62" s="32" t="str">
        <f>"－"</f>
        <v>－</v>
      </c>
      <c r="V62" s="32" t="n">
        <f>107792585</f>
        <v>1.07792585E8</v>
      </c>
      <c r="W62" s="32" t="str">
        <f>"－"</f>
        <v>－</v>
      </c>
      <c r="X62" s="36" t="n">
        <f>22</f>
        <v>22.0</v>
      </c>
    </row>
    <row r="63">
      <c r="A63" s="27" t="s">
        <v>42</v>
      </c>
      <c r="B63" s="27" t="s">
        <v>227</v>
      </c>
      <c r="C63" s="27" t="s">
        <v>228</v>
      </c>
      <c r="D63" s="27" t="s">
        <v>229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10.0</v>
      </c>
      <c r="K63" s="33" t="n">
        <f>9040</f>
        <v>9040.0</v>
      </c>
      <c r="L63" s="34" t="s">
        <v>48</v>
      </c>
      <c r="M63" s="33" t="n">
        <f>9880</f>
        <v>9880.0</v>
      </c>
      <c r="N63" s="34" t="s">
        <v>49</v>
      </c>
      <c r="O63" s="33" t="n">
        <f>8550</f>
        <v>8550.0</v>
      </c>
      <c r="P63" s="34" t="s">
        <v>50</v>
      </c>
      <c r="Q63" s="33" t="n">
        <f>8900</f>
        <v>8900.0</v>
      </c>
      <c r="R63" s="34" t="s">
        <v>51</v>
      </c>
      <c r="S63" s="35" t="n">
        <f>9212.73</f>
        <v>9212.73</v>
      </c>
      <c r="T63" s="32" t="n">
        <f>21510</f>
        <v>21510.0</v>
      </c>
      <c r="U63" s="32" t="str">
        <f>"－"</f>
        <v>－</v>
      </c>
      <c r="V63" s="32" t="n">
        <f>198667100</f>
        <v>1.986671E8</v>
      </c>
      <c r="W63" s="32" t="str">
        <f>"－"</f>
        <v>－</v>
      </c>
      <c r="X63" s="36" t="n">
        <f>22</f>
        <v>22.0</v>
      </c>
    </row>
    <row r="64">
      <c r="A64" s="27" t="s">
        <v>42</v>
      </c>
      <c r="B64" s="27" t="s">
        <v>230</v>
      </c>
      <c r="C64" s="27" t="s">
        <v>231</v>
      </c>
      <c r="D64" s="27" t="s">
        <v>232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10.0</v>
      </c>
      <c r="K64" s="33" t="n">
        <f>6730</f>
        <v>6730.0</v>
      </c>
      <c r="L64" s="34" t="s">
        <v>48</v>
      </c>
      <c r="M64" s="33" t="n">
        <f>6950</f>
        <v>6950.0</v>
      </c>
      <c r="N64" s="34" t="s">
        <v>62</v>
      </c>
      <c r="O64" s="33" t="n">
        <f>6520</f>
        <v>6520.0</v>
      </c>
      <c r="P64" s="34" t="s">
        <v>73</v>
      </c>
      <c r="Q64" s="33" t="n">
        <f>6710</f>
        <v>6710.0</v>
      </c>
      <c r="R64" s="34" t="s">
        <v>51</v>
      </c>
      <c r="S64" s="35" t="n">
        <f>6682.67</f>
        <v>6682.67</v>
      </c>
      <c r="T64" s="32" t="n">
        <f>6300</f>
        <v>6300.0</v>
      </c>
      <c r="U64" s="32" t="str">
        <f>"－"</f>
        <v>－</v>
      </c>
      <c r="V64" s="32" t="n">
        <f>42326600</f>
        <v>4.23266E7</v>
      </c>
      <c r="W64" s="32" t="str">
        <f>"－"</f>
        <v>－</v>
      </c>
      <c r="X64" s="36" t="n">
        <f>15</f>
        <v>15.0</v>
      </c>
    </row>
    <row r="65">
      <c r="A65" s="27" t="s">
        <v>42</v>
      </c>
      <c r="B65" s="27" t="s">
        <v>233</v>
      </c>
      <c r="C65" s="27" t="s">
        <v>234</v>
      </c>
      <c r="D65" s="27" t="s">
        <v>235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10.0</v>
      </c>
      <c r="K65" s="33" t="n">
        <f>3840</f>
        <v>3840.0</v>
      </c>
      <c r="L65" s="34" t="s">
        <v>48</v>
      </c>
      <c r="M65" s="33" t="n">
        <f>4060</f>
        <v>4060.0</v>
      </c>
      <c r="N65" s="34" t="s">
        <v>50</v>
      </c>
      <c r="O65" s="33" t="n">
        <f>3525</f>
        <v>3525.0</v>
      </c>
      <c r="P65" s="34" t="s">
        <v>49</v>
      </c>
      <c r="Q65" s="33" t="n">
        <f>3795</f>
        <v>3795.0</v>
      </c>
      <c r="R65" s="34" t="s">
        <v>51</v>
      </c>
      <c r="S65" s="35" t="n">
        <f>3747.73</f>
        <v>3747.73</v>
      </c>
      <c r="T65" s="32" t="n">
        <f>98860</f>
        <v>98860.0</v>
      </c>
      <c r="U65" s="32" t="n">
        <f>400</f>
        <v>400.0</v>
      </c>
      <c r="V65" s="32" t="n">
        <f>375660050</f>
        <v>3.7566005E8</v>
      </c>
      <c r="W65" s="32" t="n">
        <f>1527450</f>
        <v>1527450.0</v>
      </c>
      <c r="X65" s="36" t="n">
        <f>22</f>
        <v>22.0</v>
      </c>
    </row>
    <row r="66">
      <c r="A66" s="27" t="s">
        <v>42</v>
      </c>
      <c r="B66" s="27" t="s">
        <v>236</v>
      </c>
      <c r="C66" s="27" t="s">
        <v>237</v>
      </c>
      <c r="D66" s="27" t="s">
        <v>238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1.0</v>
      </c>
      <c r="K66" s="33" t="n">
        <f>18900</f>
        <v>18900.0</v>
      </c>
      <c r="L66" s="34" t="s">
        <v>48</v>
      </c>
      <c r="M66" s="33" t="n">
        <f>20500</f>
        <v>20500.0</v>
      </c>
      <c r="N66" s="34" t="s">
        <v>73</v>
      </c>
      <c r="O66" s="33" t="n">
        <f>17970</f>
        <v>17970.0</v>
      </c>
      <c r="P66" s="34" t="s">
        <v>62</v>
      </c>
      <c r="Q66" s="33" t="n">
        <f>18830</f>
        <v>18830.0</v>
      </c>
      <c r="R66" s="34" t="s">
        <v>51</v>
      </c>
      <c r="S66" s="35" t="n">
        <f>19200.95</f>
        <v>19200.95</v>
      </c>
      <c r="T66" s="32" t="n">
        <f>4284</f>
        <v>4284.0</v>
      </c>
      <c r="U66" s="32" t="str">
        <f>"－"</f>
        <v>－</v>
      </c>
      <c r="V66" s="32" t="n">
        <f>83439820</f>
        <v>8.343982E7</v>
      </c>
      <c r="W66" s="32" t="str">
        <f>"－"</f>
        <v>－</v>
      </c>
      <c r="X66" s="36" t="n">
        <f>21</f>
        <v>21.0</v>
      </c>
    </row>
    <row r="67">
      <c r="A67" s="27" t="s">
        <v>42</v>
      </c>
      <c r="B67" s="27" t="s">
        <v>239</v>
      </c>
      <c r="C67" s="27" t="s">
        <v>240</v>
      </c>
      <c r="D67" s="27" t="s">
        <v>241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4410</f>
        <v>4410.0</v>
      </c>
      <c r="L67" s="34" t="s">
        <v>48</v>
      </c>
      <c r="M67" s="33" t="n">
        <f>4550</f>
        <v>4550.0</v>
      </c>
      <c r="N67" s="34" t="s">
        <v>62</v>
      </c>
      <c r="O67" s="33" t="n">
        <f>4145</f>
        <v>4145.0</v>
      </c>
      <c r="P67" s="34" t="s">
        <v>69</v>
      </c>
      <c r="Q67" s="33" t="n">
        <f>4470</f>
        <v>4470.0</v>
      </c>
      <c r="R67" s="34" t="s">
        <v>77</v>
      </c>
      <c r="S67" s="35" t="n">
        <f>4362.5</f>
        <v>4362.5</v>
      </c>
      <c r="T67" s="32" t="n">
        <f>9865</f>
        <v>9865.0</v>
      </c>
      <c r="U67" s="32" t="str">
        <f>"－"</f>
        <v>－</v>
      </c>
      <c r="V67" s="32" t="n">
        <f>43528150</f>
        <v>4.352815E7</v>
      </c>
      <c r="W67" s="32" t="str">
        <f>"－"</f>
        <v>－</v>
      </c>
      <c r="X67" s="36" t="n">
        <f>20</f>
        <v>20.0</v>
      </c>
    </row>
    <row r="68">
      <c r="A68" s="27" t="s">
        <v>42</v>
      </c>
      <c r="B68" s="27" t="s">
        <v>242</v>
      </c>
      <c r="C68" s="27" t="s">
        <v>243</v>
      </c>
      <c r="D68" s="27" t="s">
        <v>244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1.0</v>
      </c>
      <c r="K68" s="33" t="n">
        <f>1534</f>
        <v>1534.0</v>
      </c>
      <c r="L68" s="34" t="s">
        <v>48</v>
      </c>
      <c r="M68" s="33" t="n">
        <f>1633</f>
        <v>1633.0</v>
      </c>
      <c r="N68" s="34" t="s">
        <v>62</v>
      </c>
      <c r="O68" s="33" t="n">
        <f>1410</f>
        <v>1410.0</v>
      </c>
      <c r="P68" s="34" t="s">
        <v>73</v>
      </c>
      <c r="Q68" s="33" t="n">
        <f>1535</f>
        <v>1535.0</v>
      </c>
      <c r="R68" s="34" t="s">
        <v>51</v>
      </c>
      <c r="S68" s="35" t="n">
        <f>1495.86</f>
        <v>1495.86</v>
      </c>
      <c r="T68" s="32" t="n">
        <f>69931</f>
        <v>69931.0</v>
      </c>
      <c r="U68" s="32" t="n">
        <f>28</f>
        <v>28.0</v>
      </c>
      <c r="V68" s="32" t="n">
        <f>105468766</f>
        <v>1.05468766E8</v>
      </c>
      <c r="W68" s="32" t="n">
        <f>41842</f>
        <v>41842.0</v>
      </c>
      <c r="X68" s="36" t="n">
        <f>22</f>
        <v>22.0</v>
      </c>
    </row>
    <row r="69">
      <c r="A69" s="27" t="s">
        <v>42</v>
      </c>
      <c r="B69" s="27" t="s">
        <v>245</v>
      </c>
      <c r="C69" s="27" t="s">
        <v>246</v>
      </c>
      <c r="D69" s="27" t="s">
        <v>247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10.0</v>
      </c>
      <c r="K69" s="33" t="n">
        <f>1636</f>
        <v>1636.0</v>
      </c>
      <c r="L69" s="34" t="s">
        <v>48</v>
      </c>
      <c r="M69" s="33" t="n">
        <f>1664</f>
        <v>1664.0</v>
      </c>
      <c r="N69" s="34" t="s">
        <v>73</v>
      </c>
      <c r="O69" s="33" t="n">
        <f>1558</f>
        <v>1558.0</v>
      </c>
      <c r="P69" s="34" t="s">
        <v>50</v>
      </c>
      <c r="Q69" s="33" t="n">
        <f>1602</f>
        <v>1602.0</v>
      </c>
      <c r="R69" s="34" t="s">
        <v>51</v>
      </c>
      <c r="S69" s="35" t="n">
        <f>1618.77</f>
        <v>1618.77</v>
      </c>
      <c r="T69" s="32" t="n">
        <f>203970</f>
        <v>203970.0</v>
      </c>
      <c r="U69" s="32" t="n">
        <f>100000</f>
        <v>100000.0</v>
      </c>
      <c r="V69" s="32" t="n">
        <f>334424080</f>
        <v>3.3442408E8</v>
      </c>
      <c r="W69" s="32" t="n">
        <f>165250000</f>
        <v>1.6525E8</v>
      </c>
      <c r="X69" s="36" t="n">
        <f>22</f>
        <v>22.0</v>
      </c>
    </row>
    <row r="70">
      <c r="A70" s="27" t="s">
        <v>42</v>
      </c>
      <c r="B70" s="27" t="s">
        <v>248</v>
      </c>
      <c r="C70" s="27" t="s">
        <v>249</v>
      </c>
      <c r="D70" s="27" t="s">
        <v>250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1.0</v>
      </c>
      <c r="K70" s="33" t="n">
        <f>14360</f>
        <v>14360.0</v>
      </c>
      <c r="L70" s="34" t="s">
        <v>48</v>
      </c>
      <c r="M70" s="33" t="n">
        <f>14930</f>
        <v>14930.0</v>
      </c>
      <c r="N70" s="34" t="s">
        <v>49</v>
      </c>
      <c r="O70" s="33" t="n">
        <f>14140</f>
        <v>14140.0</v>
      </c>
      <c r="P70" s="34" t="s">
        <v>62</v>
      </c>
      <c r="Q70" s="33" t="n">
        <f>14270</f>
        <v>14270.0</v>
      </c>
      <c r="R70" s="34" t="s">
        <v>51</v>
      </c>
      <c r="S70" s="35" t="n">
        <f>14536.36</f>
        <v>14536.36</v>
      </c>
      <c r="T70" s="32" t="n">
        <f>27230</f>
        <v>27230.0</v>
      </c>
      <c r="U70" s="32" t="str">
        <f>"－"</f>
        <v>－</v>
      </c>
      <c r="V70" s="32" t="n">
        <f>394968090</f>
        <v>3.9496809E8</v>
      </c>
      <c r="W70" s="32" t="str">
        <f>"－"</f>
        <v>－</v>
      </c>
      <c r="X70" s="36" t="n">
        <f>22</f>
        <v>22.0</v>
      </c>
    </row>
    <row r="71">
      <c r="A71" s="27" t="s">
        <v>42</v>
      </c>
      <c r="B71" s="27" t="s">
        <v>251</v>
      </c>
      <c r="C71" s="27" t="s">
        <v>252</v>
      </c>
      <c r="D71" s="27" t="s">
        <v>253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1603</f>
        <v>1603.0</v>
      </c>
      <c r="L71" s="34" t="s">
        <v>48</v>
      </c>
      <c r="M71" s="33" t="n">
        <f>1673</f>
        <v>1673.0</v>
      </c>
      <c r="N71" s="34" t="s">
        <v>49</v>
      </c>
      <c r="O71" s="33" t="n">
        <f>1567</f>
        <v>1567.0</v>
      </c>
      <c r="P71" s="34" t="s">
        <v>50</v>
      </c>
      <c r="Q71" s="33" t="n">
        <f>1596</f>
        <v>1596.0</v>
      </c>
      <c r="R71" s="34" t="s">
        <v>51</v>
      </c>
      <c r="S71" s="35" t="n">
        <f>1624.41</f>
        <v>1624.41</v>
      </c>
      <c r="T71" s="32" t="n">
        <f>4875637</f>
        <v>4875637.0</v>
      </c>
      <c r="U71" s="32" t="n">
        <f>931917</f>
        <v>931917.0</v>
      </c>
      <c r="V71" s="32" t="n">
        <f>7927548836</f>
        <v>7.927548836E9</v>
      </c>
      <c r="W71" s="32" t="n">
        <f>1510696265</f>
        <v>1.510696265E9</v>
      </c>
      <c r="X71" s="36" t="n">
        <f>22</f>
        <v>22.0</v>
      </c>
    </row>
    <row r="72">
      <c r="A72" s="27" t="s">
        <v>42</v>
      </c>
      <c r="B72" s="27" t="s">
        <v>254</v>
      </c>
      <c r="C72" s="27" t="s">
        <v>255</v>
      </c>
      <c r="D72" s="27" t="s">
        <v>256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1737</f>
        <v>1737.0</v>
      </c>
      <c r="L72" s="34" t="s">
        <v>48</v>
      </c>
      <c r="M72" s="33" t="n">
        <f>1810</f>
        <v>1810.0</v>
      </c>
      <c r="N72" s="34" t="s">
        <v>49</v>
      </c>
      <c r="O72" s="33" t="n">
        <f>1680</f>
        <v>1680.0</v>
      </c>
      <c r="P72" s="34" t="s">
        <v>62</v>
      </c>
      <c r="Q72" s="33" t="n">
        <f>1715</f>
        <v>1715.0</v>
      </c>
      <c r="R72" s="34" t="s">
        <v>51</v>
      </c>
      <c r="S72" s="35" t="n">
        <f>1750.36</f>
        <v>1750.36</v>
      </c>
      <c r="T72" s="32" t="n">
        <f>4355744</f>
        <v>4355744.0</v>
      </c>
      <c r="U72" s="32" t="n">
        <f>1464561</f>
        <v>1464561.0</v>
      </c>
      <c r="V72" s="32" t="n">
        <f>7626808656</f>
        <v>7.626808656E9</v>
      </c>
      <c r="W72" s="32" t="n">
        <f>2552830928</f>
        <v>2.552830928E9</v>
      </c>
      <c r="X72" s="36" t="n">
        <f>22</f>
        <v>22.0</v>
      </c>
    </row>
    <row r="73">
      <c r="A73" s="27" t="s">
        <v>42</v>
      </c>
      <c r="B73" s="27" t="s">
        <v>257</v>
      </c>
      <c r="C73" s="27" t="s">
        <v>258</v>
      </c>
      <c r="D73" s="27" t="s">
        <v>259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1747</f>
        <v>1747.0</v>
      </c>
      <c r="L73" s="34" t="s">
        <v>48</v>
      </c>
      <c r="M73" s="33" t="n">
        <f>1788</f>
        <v>1788.0</v>
      </c>
      <c r="N73" s="34" t="s">
        <v>69</v>
      </c>
      <c r="O73" s="33" t="n">
        <f>1718</f>
        <v>1718.0</v>
      </c>
      <c r="P73" s="34" t="s">
        <v>50</v>
      </c>
      <c r="Q73" s="33" t="n">
        <f>1725</f>
        <v>1725.0</v>
      </c>
      <c r="R73" s="34" t="s">
        <v>51</v>
      </c>
      <c r="S73" s="35" t="n">
        <f>1754.64</f>
        <v>1754.64</v>
      </c>
      <c r="T73" s="32" t="n">
        <f>170640</f>
        <v>170640.0</v>
      </c>
      <c r="U73" s="32" t="n">
        <f>156819</f>
        <v>156819.0</v>
      </c>
      <c r="V73" s="32" t="n">
        <f>298029300</f>
        <v>2.980293E8</v>
      </c>
      <c r="W73" s="32" t="n">
        <f>273884711</f>
        <v>2.73884711E8</v>
      </c>
      <c r="X73" s="36" t="n">
        <f>22</f>
        <v>22.0</v>
      </c>
    </row>
    <row r="74">
      <c r="A74" s="27" t="s">
        <v>42</v>
      </c>
      <c r="B74" s="27" t="s">
        <v>260</v>
      </c>
      <c r="C74" s="27" t="s">
        <v>261</v>
      </c>
      <c r="D74" s="27" t="s">
        <v>262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1.0</v>
      </c>
      <c r="K74" s="33" t="n">
        <f>1725</f>
        <v>1725.0</v>
      </c>
      <c r="L74" s="34" t="s">
        <v>48</v>
      </c>
      <c r="M74" s="33" t="n">
        <f>1837</f>
        <v>1837.0</v>
      </c>
      <c r="N74" s="34" t="s">
        <v>49</v>
      </c>
      <c r="O74" s="33" t="n">
        <f>1694</f>
        <v>1694.0</v>
      </c>
      <c r="P74" s="34" t="s">
        <v>62</v>
      </c>
      <c r="Q74" s="33" t="n">
        <f>1726</f>
        <v>1726.0</v>
      </c>
      <c r="R74" s="34" t="s">
        <v>51</v>
      </c>
      <c r="S74" s="35" t="n">
        <f>1755.23</f>
        <v>1755.23</v>
      </c>
      <c r="T74" s="32" t="n">
        <f>138358</f>
        <v>138358.0</v>
      </c>
      <c r="U74" s="32" t="n">
        <f>2328</f>
        <v>2328.0</v>
      </c>
      <c r="V74" s="32" t="n">
        <f>242393002</f>
        <v>2.42393002E8</v>
      </c>
      <c r="W74" s="32" t="n">
        <f>4176314</f>
        <v>4176314.0</v>
      </c>
      <c r="X74" s="36" t="n">
        <f>22</f>
        <v>22.0</v>
      </c>
    </row>
    <row r="75">
      <c r="A75" s="27" t="s">
        <v>42</v>
      </c>
      <c r="B75" s="27" t="s">
        <v>263</v>
      </c>
      <c r="C75" s="27" t="s">
        <v>264</v>
      </c>
      <c r="D75" s="27" t="s">
        <v>265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1.0</v>
      </c>
      <c r="K75" s="33" t="n">
        <f>19300</f>
        <v>19300.0</v>
      </c>
      <c r="L75" s="34" t="s">
        <v>48</v>
      </c>
      <c r="M75" s="33" t="n">
        <f>20010</f>
        <v>20010.0</v>
      </c>
      <c r="N75" s="34" t="s">
        <v>73</v>
      </c>
      <c r="O75" s="33" t="n">
        <f>18980</f>
        <v>18980.0</v>
      </c>
      <c r="P75" s="34" t="s">
        <v>50</v>
      </c>
      <c r="Q75" s="33" t="n">
        <f>19600</f>
        <v>19600.0</v>
      </c>
      <c r="R75" s="34" t="s">
        <v>51</v>
      </c>
      <c r="S75" s="35" t="n">
        <f>19513.64</f>
        <v>19513.64</v>
      </c>
      <c r="T75" s="32" t="n">
        <f>445</f>
        <v>445.0</v>
      </c>
      <c r="U75" s="32" t="str">
        <f>"－"</f>
        <v>－</v>
      </c>
      <c r="V75" s="32" t="n">
        <f>8742180</f>
        <v>8742180.0</v>
      </c>
      <c r="W75" s="32" t="str">
        <f>"－"</f>
        <v>－</v>
      </c>
      <c r="X75" s="36" t="n">
        <f>11</f>
        <v>11.0</v>
      </c>
    </row>
    <row r="76">
      <c r="A76" s="27" t="s">
        <v>42</v>
      </c>
      <c r="B76" s="27" t="s">
        <v>266</v>
      </c>
      <c r="C76" s="27" t="s">
        <v>267</v>
      </c>
      <c r="D76" s="27" t="s">
        <v>268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1.0</v>
      </c>
      <c r="K76" s="33" t="n">
        <f>15550</f>
        <v>15550.0</v>
      </c>
      <c r="L76" s="34" t="s">
        <v>48</v>
      </c>
      <c r="M76" s="33" t="n">
        <f>16130</f>
        <v>16130.0</v>
      </c>
      <c r="N76" s="34" t="s">
        <v>73</v>
      </c>
      <c r="O76" s="33" t="n">
        <f>15150</f>
        <v>15150.0</v>
      </c>
      <c r="P76" s="34" t="s">
        <v>50</v>
      </c>
      <c r="Q76" s="33" t="n">
        <f>15630</f>
        <v>15630.0</v>
      </c>
      <c r="R76" s="34" t="s">
        <v>51</v>
      </c>
      <c r="S76" s="35" t="n">
        <f>15656.25</f>
        <v>15656.25</v>
      </c>
      <c r="T76" s="32" t="n">
        <f>2564</f>
        <v>2564.0</v>
      </c>
      <c r="U76" s="32" t="str">
        <f>"－"</f>
        <v>－</v>
      </c>
      <c r="V76" s="32" t="n">
        <f>40197500</f>
        <v>4.01975E7</v>
      </c>
      <c r="W76" s="32" t="str">
        <f>"－"</f>
        <v>－</v>
      </c>
      <c r="X76" s="36" t="n">
        <f>16</f>
        <v>16.0</v>
      </c>
    </row>
    <row r="77">
      <c r="A77" s="27" t="s">
        <v>42</v>
      </c>
      <c r="B77" s="27" t="s">
        <v>269</v>
      </c>
      <c r="C77" s="27" t="s">
        <v>270</v>
      </c>
      <c r="D77" s="27" t="s">
        <v>271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1.0</v>
      </c>
      <c r="K77" s="33" t="n">
        <f>1563</f>
        <v>1563.0</v>
      </c>
      <c r="L77" s="34" t="s">
        <v>48</v>
      </c>
      <c r="M77" s="33" t="n">
        <f>1620</f>
        <v>1620.0</v>
      </c>
      <c r="N77" s="34" t="s">
        <v>73</v>
      </c>
      <c r="O77" s="33" t="n">
        <f>1536</f>
        <v>1536.0</v>
      </c>
      <c r="P77" s="34" t="s">
        <v>50</v>
      </c>
      <c r="Q77" s="33" t="n">
        <f>1571</f>
        <v>1571.0</v>
      </c>
      <c r="R77" s="34" t="s">
        <v>51</v>
      </c>
      <c r="S77" s="35" t="n">
        <f>1582.23</f>
        <v>1582.23</v>
      </c>
      <c r="T77" s="32" t="n">
        <f>6871</f>
        <v>6871.0</v>
      </c>
      <c r="U77" s="32" t="str">
        <f>"－"</f>
        <v>－</v>
      </c>
      <c r="V77" s="32" t="n">
        <f>10913961</f>
        <v>1.0913961E7</v>
      </c>
      <c r="W77" s="32" t="str">
        <f>"－"</f>
        <v>－</v>
      </c>
      <c r="X77" s="36" t="n">
        <f>22</f>
        <v>22.0</v>
      </c>
    </row>
    <row r="78">
      <c r="A78" s="27" t="s">
        <v>42</v>
      </c>
      <c r="B78" s="27" t="s">
        <v>272</v>
      </c>
      <c r="C78" s="27" t="s">
        <v>273</v>
      </c>
      <c r="D78" s="27" t="s">
        <v>274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1.0</v>
      </c>
      <c r="K78" s="33" t="n">
        <f>2531</f>
        <v>2531.0</v>
      </c>
      <c r="L78" s="34" t="s">
        <v>48</v>
      </c>
      <c r="M78" s="33" t="n">
        <f>2531</f>
        <v>2531.0</v>
      </c>
      <c r="N78" s="34" t="s">
        <v>48</v>
      </c>
      <c r="O78" s="33" t="n">
        <f>2477</f>
        <v>2477.0</v>
      </c>
      <c r="P78" s="34" t="s">
        <v>73</v>
      </c>
      <c r="Q78" s="33" t="n">
        <f>2529</f>
        <v>2529.0</v>
      </c>
      <c r="R78" s="34" t="s">
        <v>51</v>
      </c>
      <c r="S78" s="35" t="n">
        <f>2511.64</f>
        <v>2511.64</v>
      </c>
      <c r="T78" s="32" t="n">
        <f>1548772</f>
        <v>1548772.0</v>
      </c>
      <c r="U78" s="32" t="n">
        <f>271000</f>
        <v>271000.0</v>
      </c>
      <c r="V78" s="32" t="n">
        <f>3878052168</f>
        <v>3.878052168E9</v>
      </c>
      <c r="W78" s="32" t="n">
        <f>675091300</f>
        <v>6.750913E8</v>
      </c>
      <c r="X78" s="36" t="n">
        <f>22</f>
        <v>22.0</v>
      </c>
    </row>
    <row r="79">
      <c r="A79" s="27" t="s">
        <v>42</v>
      </c>
      <c r="B79" s="27" t="s">
        <v>275</v>
      </c>
      <c r="C79" s="27" t="s">
        <v>276</v>
      </c>
      <c r="D79" s="27" t="s">
        <v>277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1.0</v>
      </c>
      <c r="K79" s="33" t="n">
        <f>1461</f>
        <v>1461.0</v>
      </c>
      <c r="L79" s="34" t="s">
        <v>48</v>
      </c>
      <c r="M79" s="33" t="n">
        <f>1662</f>
        <v>1662.0</v>
      </c>
      <c r="N79" s="34" t="s">
        <v>278</v>
      </c>
      <c r="O79" s="33" t="n">
        <f>1423</f>
        <v>1423.0</v>
      </c>
      <c r="P79" s="34" t="s">
        <v>62</v>
      </c>
      <c r="Q79" s="33" t="n">
        <f>1512</f>
        <v>1512.0</v>
      </c>
      <c r="R79" s="34" t="s">
        <v>51</v>
      </c>
      <c r="S79" s="35" t="n">
        <f>1515.95</f>
        <v>1515.95</v>
      </c>
      <c r="T79" s="32" t="n">
        <f>1108</f>
        <v>1108.0</v>
      </c>
      <c r="U79" s="32" t="str">
        <f>"－"</f>
        <v>－</v>
      </c>
      <c r="V79" s="32" t="n">
        <f>1697865</f>
        <v>1697865.0</v>
      </c>
      <c r="W79" s="32" t="str">
        <f>"－"</f>
        <v>－</v>
      </c>
      <c r="X79" s="36" t="n">
        <f>21</f>
        <v>21.0</v>
      </c>
    </row>
    <row r="80">
      <c r="A80" s="27" t="s">
        <v>42</v>
      </c>
      <c r="B80" s="27" t="s">
        <v>279</v>
      </c>
      <c r="C80" s="27" t="s">
        <v>280</v>
      </c>
      <c r="D80" s="27" t="s">
        <v>281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10.0</v>
      </c>
      <c r="K80" s="33" t="n">
        <f>1548</f>
        <v>1548.0</v>
      </c>
      <c r="L80" s="34" t="s">
        <v>48</v>
      </c>
      <c r="M80" s="33" t="n">
        <f>1597</f>
        <v>1597.0</v>
      </c>
      <c r="N80" s="34" t="s">
        <v>69</v>
      </c>
      <c r="O80" s="33" t="n">
        <f>1520</f>
        <v>1520.0</v>
      </c>
      <c r="P80" s="34" t="s">
        <v>50</v>
      </c>
      <c r="Q80" s="33" t="n">
        <f>1554</f>
        <v>1554.0</v>
      </c>
      <c r="R80" s="34" t="s">
        <v>51</v>
      </c>
      <c r="S80" s="35" t="n">
        <f>1564.45</f>
        <v>1564.45</v>
      </c>
      <c r="T80" s="32" t="n">
        <f>5010</f>
        <v>5010.0</v>
      </c>
      <c r="U80" s="32" t="str">
        <f>"－"</f>
        <v>－</v>
      </c>
      <c r="V80" s="32" t="n">
        <f>7798650</f>
        <v>7798650.0</v>
      </c>
      <c r="W80" s="32" t="str">
        <f>"－"</f>
        <v>－</v>
      </c>
      <c r="X80" s="36" t="n">
        <f>22</f>
        <v>22.0</v>
      </c>
    </row>
    <row r="81">
      <c r="A81" s="27" t="s">
        <v>42</v>
      </c>
      <c r="B81" s="27" t="s">
        <v>282</v>
      </c>
      <c r="C81" s="27" t="s">
        <v>283</v>
      </c>
      <c r="D81" s="27" t="s">
        <v>284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1.0</v>
      </c>
      <c r="K81" s="33" t="n">
        <f>25200</f>
        <v>25200.0</v>
      </c>
      <c r="L81" s="34" t="s">
        <v>285</v>
      </c>
      <c r="M81" s="33" t="n">
        <f>25240</f>
        <v>25240.0</v>
      </c>
      <c r="N81" s="34" t="s">
        <v>73</v>
      </c>
      <c r="O81" s="33" t="n">
        <f>23560</f>
        <v>23560.0</v>
      </c>
      <c r="P81" s="34" t="s">
        <v>50</v>
      </c>
      <c r="Q81" s="33" t="n">
        <f>23740</f>
        <v>23740.0</v>
      </c>
      <c r="R81" s="34" t="s">
        <v>51</v>
      </c>
      <c r="S81" s="35" t="n">
        <f>24397.27</f>
        <v>24397.27</v>
      </c>
      <c r="T81" s="32" t="n">
        <f>70</f>
        <v>70.0</v>
      </c>
      <c r="U81" s="32" t="str">
        <f>"－"</f>
        <v>－</v>
      </c>
      <c r="V81" s="32" t="n">
        <f>1702640</f>
        <v>1702640.0</v>
      </c>
      <c r="W81" s="32" t="str">
        <f>"－"</f>
        <v>－</v>
      </c>
      <c r="X81" s="36" t="n">
        <f>11</f>
        <v>11.0</v>
      </c>
    </row>
    <row r="82">
      <c r="A82" s="27" t="s">
        <v>42</v>
      </c>
      <c r="B82" s="27" t="s">
        <v>286</v>
      </c>
      <c r="C82" s="27" t="s">
        <v>287</v>
      </c>
      <c r="D82" s="27" t="s">
        <v>288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1.0</v>
      </c>
      <c r="K82" s="33" t="n">
        <f>22610</f>
        <v>22610.0</v>
      </c>
      <c r="L82" s="34" t="s">
        <v>48</v>
      </c>
      <c r="M82" s="33" t="n">
        <f>22760</f>
        <v>22760.0</v>
      </c>
      <c r="N82" s="34" t="s">
        <v>285</v>
      </c>
      <c r="O82" s="33" t="n">
        <f>22270</f>
        <v>22270.0</v>
      </c>
      <c r="P82" s="34" t="s">
        <v>132</v>
      </c>
      <c r="Q82" s="33" t="n">
        <f>22650</f>
        <v>22650.0</v>
      </c>
      <c r="R82" s="34" t="s">
        <v>51</v>
      </c>
      <c r="S82" s="35" t="n">
        <f>22476.67</f>
        <v>22476.67</v>
      </c>
      <c r="T82" s="32" t="n">
        <f>130641</f>
        <v>130641.0</v>
      </c>
      <c r="U82" s="32" t="n">
        <f>88000</f>
        <v>88000.0</v>
      </c>
      <c r="V82" s="32" t="n">
        <f>2935761710</f>
        <v>2.93576171E9</v>
      </c>
      <c r="W82" s="32" t="n">
        <f>1980069700</f>
        <v>1.9800697E9</v>
      </c>
      <c r="X82" s="36" t="n">
        <f>21</f>
        <v>21.0</v>
      </c>
    </row>
    <row r="83">
      <c r="A83" s="27" t="s">
        <v>42</v>
      </c>
      <c r="B83" s="27" t="s">
        <v>289</v>
      </c>
      <c r="C83" s="27" t="s">
        <v>290</v>
      </c>
      <c r="D83" s="27" t="s">
        <v>291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1.0</v>
      </c>
      <c r="K83" s="33" t="n">
        <f>19860</f>
        <v>19860.0</v>
      </c>
      <c r="L83" s="34" t="s">
        <v>48</v>
      </c>
      <c r="M83" s="33" t="n">
        <f>19890</f>
        <v>19890.0</v>
      </c>
      <c r="N83" s="34" t="s">
        <v>77</v>
      </c>
      <c r="O83" s="33" t="n">
        <f>19480</f>
        <v>19480.0</v>
      </c>
      <c r="P83" s="34" t="s">
        <v>73</v>
      </c>
      <c r="Q83" s="33" t="n">
        <f>19880</f>
        <v>19880.0</v>
      </c>
      <c r="R83" s="34" t="s">
        <v>51</v>
      </c>
      <c r="S83" s="35" t="n">
        <f>19750</f>
        <v>19750.0</v>
      </c>
      <c r="T83" s="32" t="n">
        <f>142504</f>
        <v>142504.0</v>
      </c>
      <c r="U83" s="32" t="str">
        <f>"－"</f>
        <v>－</v>
      </c>
      <c r="V83" s="32" t="n">
        <f>2808786120</f>
        <v>2.80878612E9</v>
      </c>
      <c r="W83" s="32" t="str">
        <f>"－"</f>
        <v>－</v>
      </c>
      <c r="X83" s="36" t="n">
        <f>20</f>
        <v>20.0</v>
      </c>
    </row>
    <row r="84">
      <c r="A84" s="27" t="s">
        <v>42</v>
      </c>
      <c r="B84" s="27" t="s">
        <v>292</v>
      </c>
      <c r="C84" s="27" t="s">
        <v>293</v>
      </c>
      <c r="D84" s="27" t="s">
        <v>294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10.0</v>
      </c>
      <c r="K84" s="33" t="n">
        <f>1749</f>
        <v>1749.0</v>
      </c>
      <c r="L84" s="34" t="s">
        <v>48</v>
      </c>
      <c r="M84" s="33" t="n">
        <f>1807</f>
        <v>1807.0</v>
      </c>
      <c r="N84" s="34" t="s">
        <v>69</v>
      </c>
      <c r="O84" s="33" t="n">
        <f>1670</f>
        <v>1670.0</v>
      </c>
      <c r="P84" s="34" t="s">
        <v>50</v>
      </c>
      <c r="Q84" s="33" t="n">
        <f>1709</f>
        <v>1709.0</v>
      </c>
      <c r="R84" s="34" t="s">
        <v>51</v>
      </c>
      <c r="S84" s="35" t="n">
        <f>1747</f>
        <v>1747.0</v>
      </c>
      <c r="T84" s="32" t="n">
        <f>897960</f>
        <v>897960.0</v>
      </c>
      <c r="U84" s="32" t="n">
        <f>30</f>
        <v>30.0</v>
      </c>
      <c r="V84" s="32" t="n">
        <f>1570772726</f>
        <v>1.570772726E9</v>
      </c>
      <c r="W84" s="32" t="n">
        <f>52356</f>
        <v>52356.0</v>
      </c>
      <c r="X84" s="36" t="n">
        <f>22</f>
        <v>22.0</v>
      </c>
    </row>
    <row r="85">
      <c r="A85" s="27" t="s">
        <v>42</v>
      </c>
      <c r="B85" s="27" t="s">
        <v>295</v>
      </c>
      <c r="C85" s="27" t="s">
        <v>296</v>
      </c>
      <c r="D85" s="27" t="s">
        <v>297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1.0</v>
      </c>
      <c r="K85" s="33" t="n">
        <f>27950</f>
        <v>27950.0</v>
      </c>
      <c r="L85" s="34" t="s">
        <v>48</v>
      </c>
      <c r="M85" s="33" t="n">
        <f>29840</f>
        <v>29840.0</v>
      </c>
      <c r="N85" s="34" t="s">
        <v>49</v>
      </c>
      <c r="O85" s="33" t="n">
        <f>27250</f>
        <v>27250.0</v>
      </c>
      <c r="P85" s="34" t="s">
        <v>298</v>
      </c>
      <c r="Q85" s="33" t="n">
        <f>27700</f>
        <v>27700.0</v>
      </c>
      <c r="R85" s="34" t="s">
        <v>51</v>
      </c>
      <c r="S85" s="35" t="n">
        <f>28354.55</f>
        <v>28354.55</v>
      </c>
      <c r="T85" s="32" t="n">
        <f>40584</f>
        <v>40584.0</v>
      </c>
      <c r="U85" s="32" t="str">
        <f>"－"</f>
        <v>－</v>
      </c>
      <c r="V85" s="32" t="n">
        <f>1144401390</f>
        <v>1.14440139E9</v>
      </c>
      <c r="W85" s="32" t="str">
        <f>"－"</f>
        <v>－</v>
      </c>
      <c r="X85" s="36" t="n">
        <f>22</f>
        <v>22.0</v>
      </c>
    </row>
    <row r="86">
      <c r="A86" s="27" t="s">
        <v>42</v>
      </c>
      <c r="B86" s="27" t="s">
        <v>299</v>
      </c>
      <c r="C86" s="27" t="s">
        <v>300</v>
      </c>
      <c r="D86" s="27" t="s">
        <v>301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10.0</v>
      </c>
      <c r="K86" s="33" t="n">
        <f>8400</f>
        <v>8400.0</v>
      </c>
      <c r="L86" s="34" t="s">
        <v>48</v>
      </c>
      <c r="M86" s="33" t="n">
        <f>8450</f>
        <v>8450.0</v>
      </c>
      <c r="N86" s="34" t="s">
        <v>285</v>
      </c>
      <c r="O86" s="33" t="n">
        <f>8260</f>
        <v>8260.0</v>
      </c>
      <c r="P86" s="34" t="s">
        <v>298</v>
      </c>
      <c r="Q86" s="33" t="n">
        <f>8260</f>
        <v>8260.0</v>
      </c>
      <c r="R86" s="34" t="s">
        <v>51</v>
      </c>
      <c r="S86" s="35" t="n">
        <f>8375.71</f>
        <v>8375.71</v>
      </c>
      <c r="T86" s="32" t="n">
        <f>270</f>
        <v>270.0</v>
      </c>
      <c r="U86" s="32" t="str">
        <f>"－"</f>
        <v>－</v>
      </c>
      <c r="V86" s="32" t="n">
        <f>2269500</f>
        <v>2269500.0</v>
      </c>
      <c r="W86" s="32" t="str">
        <f>"－"</f>
        <v>－</v>
      </c>
      <c r="X86" s="36" t="n">
        <f>7</f>
        <v>7.0</v>
      </c>
    </row>
    <row r="87">
      <c r="A87" s="27" t="s">
        <v>42</v>
      </c>
      <c r="B87" s="27" t="s">
        <v>302</v>
      </c>
      <c r="C87" s="27" t="s">
        <v>303</v>
      </c>
      <c r="D87" s="27" t="s">
        <v>304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13160</f>
        <v>13160.0</v>
      </c>
      <c r="L87" s="34" t="s">
        <v>48</v>
      </c>
      <c r="M87" s="33" t="n">
        <f>13550</f>
        <v>13550.0</v>
      </c>
      <c r="N87" s="34" t="s">
        <v>285</v>
      </c>
      <c r="O87" s="33" t="n">
        <f>13000</f>
        <v>13000.0</v>
      </c>
      <c r="P87" s="34" t="s">
        <v>305</v>
      </c>
      <c r="Q87" s="33" t="n">
        <f>13270</f>
        <v>13270.0</v>
      </c>
      <c r="R87" s="34" t="s">
        <v>51</v>
      </c>
      <c r="S87" s="35" t="n">
        <f>13280.91</f>
        <v>13280.91</v>
      </c>
      <c r="T87" s="32" t="n">
        <f>960</f>
        <v>960.0</v>
      </c>
      <c r="U87" s="32" t="str">
        <f>"－"</f>
        <v>－</v>
      </c>
      <c r="V87" s="32" t="n">
        <f>12773000</f>
        <v>1.2773E7</v>
      </c>
      <c r="W87" s="32" t="str">
        <f>"－"</f>
        <v>－</v>
      </c>
      <c r="X87" s="36" t="n">
        <f>22</f>
        <v>22.0</v>
      </c>
    </row>
    <row r="88">
      <c r="A88" s="27" t="s">
        <v>42</v>
      </c>
      <c r="B88" s="27" t="s">
        <v>306</v>
      </c>
      <c r="C88" s="27" t="s">
        <v>307</v>
      </c>
      <c r="D88" s="27" t="s">
        <v>308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13290</f>
        <v>13290.0</v>
      </c>
      <c r="L88" s="34" t="s">
        <v>48</v>
      </c>
      <c r="M88" s="33" t="n">
        <f>13750</f>
        <v>13750.0</v>
      </c>
      <c r="N88" s="34" t="s">
        <v>73</v>
      </c>
      <c r="O88" s="33" t="n">
        <f>12700</f>
        <v>12700.0</v>
      </c>
      <c r="P88" s="34" t="s">
        <v>62</v>
      </c>
      <c r="Q88" s="33" t="n">
        <f>13260</f>
        <v>13260.0</v>
      </c>
      <c r="R88" s="34" t="s">
        <v>51</v>
      </c>
      <c r="S88" s="35" t="n">
        <f>13296.36</f>
        <v>13296.36</v>
      </c>
      <c r="T88" s="32" t="n">
        <f>660</f>
        <v>660.0</v>
      </c>
      <c r="U88" s="32" t="str">
        <f>"－"</f>
        <v>－</v>
      </c>
      <c r="V88" s="32" t="n">
        <f>8769510</f>
        <v>8769510.0</v>
      </c>
      <c r="W88" s="32" t="str">
        <f>"－"</f>
        <v>－</v>
      </c>
      <c r="X88" s="36" t="n">
        <f>22</f>
        <v>22.0</v>
      </c>
    </row>
    <row r="89">
      <c r="A89" s="27" t="s">
        <v>42</v>
      </c>
      <c r="B89" s="27" t="s">
        <v>309</v>
      </c>
      <c r="C89" s="27" t="s">
        <v>310</v>
      </c>
      <c r="D89" s="27" t="s">
        <v>311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1.0</v>
      </c>
      <c r="K89" s="33" t="n">
        <f>15900</f>
        <v>15900.0</v>
      </c>
      <c r="L89" s="34" t="s">
        <v>48</v>
      </c>
      <c r="M89" s="33" t="n">
        <f>16700</f>
        <v>16700.0</v>
      </c>
      <c r="N89" s="34" t="s">
        <v>49</v>
      </c>
      <c r="O89" s="33" t="n">
        <f>15450</f>
        <v>15450.0</v>
      </c>
      <c r="P89" s="34" t="s">
        <v>77</v>
      </c>
      <c r="Q89" s="33" t="n">
        <f>15720</f>
        <v>15720.0</v>
      </c>
      <c r="R89" s="34" t="s">
        <v>51</v>
      </c>
      <c r="S89" s="35" t="n">
        <f>16007.73</f>
        <v>16007.73</v>
      </c>
      <c r="T89" s="32" t="n">
        <f>1581</f>
        <v>1581.0</v>
      </c>
      <c r="U89" s="32" t="str">
        <f>"－"</f>
        <v>－</v>
      </c>
      <c r="V89" s="32" t="n">
        <f>25252370</f>
        <v>2.525237E7</v>
      </c>
      <c r="W89" s="32" t="str">
        <f>"－"</f>
        <v>－</v>
      </c>
      <c r="X89" s="36" t="n">
        <f>22</f>
        <v>22.0</v>
      </c>
    </row>
    <row r="90">
      <c r="A90" s="27" t="s">
        <v>42</v>
      </c>
      <c r="B90" s="27" t="s">
        <v>312</v>
      </c>
      <c r="C90" s="27" t="s">
        <v>313</v>
      </c>
      <c r="D90" s="27" t="s">
        <v>314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10.0</v>
      </c>
      <c r="K90" s="33" t="n">
        <f>9550</f>
        <v>9550.0</v>
      </c>
      <c r="L90" s="34" t="s">
        <v>48</v>
      </c>
      <c r="M90" s="33" t="n">
        <f>10650</f>
        <v>10650.0</v>
      </c>
      <c r="N90" s="34" t="s">
        <v>73</v>
      </c>
      <c r="O90" s="33" t="n">
        <f>9510</f>
        <v>9510.0</v>
      </c>
      <c r="P90" s="34" t="s">
        <v>48</v>
      </c>
      <c r="Q90" s="33" t="n">
        <f>9800</f>
        <v>9800.0</v>
      </c>
      <c r="R90" s="34" t="s">
        <v>51</v>
      </c>
      <c r="S90" s="35" t="n">
        <f>9973.64</f>
        <v>9973.64</v>
      </c>
      <c r="T90" s="32" t="n">
        <f>8510</f>
        <v>8510.0</v>
      </c>
      <c r="U90" s="32" t="n">
        <f>20</f>
        <v>20.0</v>
      </c>
      <c r="V90" s="32" t="n">
        <f>84846800</f>
        <v>8.48468E7</v>
      </c>
      <c r="W90" s="32" t="n">
        <f>205600</f>
        <v>205600.0</v>
      </c>
      <c r="X90" s="36" t="n">
        <f>22</f>
        <v>22.0</v>
      </c>
    </row>
    <row r="91">
      <c r="A91" s="27" t="s">
        <v>42</v>
      </c>
      <c r="B91" s="27" t="s">
        <v>315</v>
      </c>
      <c r="C91" s="27" t="s">
        <v>316</v>
      </c>
      <c r="D91" s="27" t="s">
        <v>317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1.0</v>
      </c>
      <c r="K91" s="33" t="n">
        <f>2596</f>
        <v>2596.0</v>
      </c>
      <c r="L91" s="34" t="s">
        <v>48</v>
      </c>
      <c r="M91" s="33" t="n">
        <f>2717</f>
        <v>2717.0</v>
      </c>
      <c r="N91" s="34" t="s">
        <v>305</v>
      </c>
      <c r="O91" s="33" t="n">
        <f>2565</f>
        <v>2565.0</v>
      </c>
      <c r="P91" s="34" t="s">
        <v>90</v>
      </c>
      <c r="Q91" s="33" t="n">
        <f>2624</f>
        <v>2624.0</v>
      </c>
      <c r="R91" s="34" t="s">
        <v>51</v>
      </c>
      <c r="S91" s="35" t="n">
        <f>2602.05</f>
        <v>2602.05</v>
      </c>
      <c r="T91" s="32" t="n">
        <f>207769</f>
        <v>207769.0</v>
      </c>
      <c r="U91" s="32" t="n">
        <f>40001</f>
        <v>40001.0</v>
      </c>
      <c r="V91" s="32" t="n">
        <f>544394678</f>
        <v>5.44394678E8</v>
      </c>
      <c r="W91" s="32" t="n">
        <f>103506602</f>
        <v>1.03506602E8</v>
      </c>
      <c r="X91" s="36" t="n">
        <f>22</f>
        <v>22.0</v>
      </c>
    </row>
    <row r="92">
      <c r="A92" s="27" t="s">
        <v>42</v>
      </c>
      <c r="B92" s="27" t="s">
        <v>318</v>
      </c>
      <c r="C92" s="27" t="s">
        <v>319</v>
      </c>
      <c r="D92" s="27" t="s">
        <v>320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1.0</v>
      </c>
      <c r="K92" s="33" t="n">
        <f>2253</f>
        <v>2253.0</v>
      </c>
      <c r="L92" s="34" t="s">
        <v>48</v>
      </c>
      <c r="M92" s="33" t="n">
        <f>2306</f>
        <v>2306.0</v>
      </c>
      <c r="N92" s="34" t="s">
        <v>73</v>
      </c>
      <c r="O92" s="33" t="n">
        <f>2207</f>
        <v>2207.0</v>
      </c>
      <c r="P92" s="34" t="s">
        <v>51</v>
      </c>
      <c r="Q92" s="33" t="n">
        <f>2208</f>
        <v>2208.0</v>
      </c>
      <c r="R92" s="34" t="s">
        <v>51</v>
      </c>
      <c r="S92" s="35" t="n">
        <f>2257.45</f>
        <v>2257.45</v>
      </c>
      <c r="T92" s="32" t="n">
        <f>119332</f>
        <v>119332.0</v>
      </c>
      <c r="U92" s="32" t="str">
        <f>"－"</f>
        <v>－</v>
      </c>
      <c r="V92" s="32" t="n">
        <f>269468436</f>
        <v>2.69468436E8</v>
      </c>
      <c r="W92" s="32" t="str">
        <f>"－"</f>
        <v>－</v>
      </c>
      <c r="X92" s="36" t="n">
        <f>22</f>
        <v>22.0</v>
      </c>
    </row>
    <row r="93">
      <c r="A93" s="27" t="s">
        <v>42</v>
      </c>
      <c r="B93" s="27" t="s">
        <v>321</v>
      </c>
      <c r="C93" s="27" t="s">
        <v>322</v>
      </c>
      <c r="D93" s="27" t="s">
        <v>323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1.0</v>
      </c>
      <c r="K93" s="33" t="n">
        <f>11900</f>
        <v>11900.0</v>
      </c>
      <c r="L93" s="34" t="s">
        <v>48</v>
      </c>
      <c r="M93" s="33" t="n">
        <f>12470</f>
        <v>12470.0</v>
      </c>
      <c r="N93" s="34" t="s">
        <v>49</v>
      </c>
      <c r="O93" s="33" t="n">
        <f>11730</f>
        <v>11730.0</v>
      </c>
      <c r="P93" s="34" t="s">
        <v>50</v>
      </c>
      <c r="Q93" s="33" t="n">
        <f>11950</f>
        <v>11950.0</v>
      </c>
      <c r="R93" s="34" t="s">
        <v>51</v>
      </c>
      <c r="S93" s="35" t="n">
        <f>12058.64</f>
        <v>12058.64</v>
      </c>
      <c r="T93" s="32" t="n">
        <f>1867</f>
        <v>1867.0</v>
      </c>
      <c r="U93" s="32" t="str">
        <f>"－"</f>
        <v>－</v>
      </c>
      <c r="V93" s="32" t="n">
        <f>22407790</f>
        <v>2.240779E7</v>
      </c>
      <c r="W93" s="32" t="str">
        <f>"－"</f>
        <v>－</v>
      </c>
      <c r="X93" s="36" t="n">
        <f>22</f>
        <v>22.0</v>
      </c>
    </row>
    <row r="94">
      <c r="A94" s="27" t="s">
        <v>42</v>
      </c>
      <c r="B94" s="27" t="s">
        <v>324</v>
      </c>
      <c r="C94" s="27" t="s">
        <v>325</v>
      </c>
      <c r="D94" s="27" t="s">
        <v>326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1.0</v>
      </c>
      <c r="K94" s="33" t="n">
        <f>8500</f>
        <v>8500.0</v>
      </c>
      <c r="L94" s="34" t="s">
        <v>48</v>
      </c>
      <c r="M94" s="33" t="n">
        <f>8500</f>
        <v>8500.0</v>
      </c>
      <c r="N94" s="34" t="s">
        <v>48</v>
      </c>
      <c r="O94" s="33" t="n">
        <f>8000</f>
        <v>8000.0</v>
      </c>
      <c r="P94" s="34" t="s">
        <v>62</v>
      </c>
      <c r="Q94" s="33" t="n">
        <f>8190</f>
        <v>8190.0</v>
      </c>
      <c r="R94" s="34" t="s">
        <v>51</v>
      </c>
      <c r="S94" s="35" t="n">
        <f>8172.73</f>
        <v>8172.73</v>
      </c>
      <c r="T94" s="32" t="n">
        <f>681</f>
        <v>681.0</v>
      </c>
      <c r="U94" s="32" t="str">
        <f>"－"</f>
        <v>－</v>
      </c>
      <c r="V94" s="32" t="n">
        <f>5563400</f>
        <v>5563400.0</v>
      </c>
      <c r="W94" s="32" t="str">
        <f>"－"</f>
        <v>－</v>
      </c>
      <c r="X94" s="36" t="n">
        <f>22</f>
        <v>22.0</v>
      </c>
    </row>
    <row r="95">
      <c r="A95" s="27" t="s">
        <v>42</v>
      </c>
      <c r="B95" s="27" t="s">
        <v>327</v>
      </c>
      <c r="C95" s="27" t="s">
        <v>328</v>
      </c>
      <c r="D95" s="27" t="s">
        <v>329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1.0</v>
      </c>
      <c r="K95" s="33" t="n">
        <f>5760</f>
        <v>5760.0</v>
      </c>
      <c r="L95" s="34" t="s">
        <v>48</v>
      </c>
      <c r="M95" s="33" t="n">
        <f>6000</f>
        <v>6000.0</v>
      </c>
      <c r="N95" s="34" t="s">
        <v>51</v>
      </c>
      <c r="O95" s="33" t="n">
        <f>5670</f>
        <v>5670.0</v>
      </c>
      <c r="P95" s="34" t="s">
        <v>330</v>
      </c>
      <c r="Q95" s="33" t="n">
        <f>5980</f>
        <v>5980.0</v>
      </c>
      <c r="R95" s="34" t="s">
        <v>51</v>
      </c>
      <c r="S95" s="35" t="n">
        <f>5765.45</f>
        <v>5765.45</v>
      </c>
      <c r="T95" s="32" t="n">
        <f>2888314</f>
        <v>2888314.0</v>
      </c>
      <c r="U95" s="32" t="n">
        <f>141216</f>
        <v>141216.0</v>
      </c>
      <c r="V95" s="32" t="n">
        <f>16689025154</f>
        <v>1.6689025154E10</v>
      </c>
      <c r="W95" s="32" t="n">
        <f>821937984</f>
        <v>8.21937984E8</v>
      </c>
      <c r="X95" s="36" t="n">
        <f>22</f>
        <v>22.0</v>
      </c>
    </row>
    <row r="96">
      <c r="A96" s="27" t="s">
        <v>42</v>
      </c>
      <c r="B96" s="27" t="s">
        <v>331</v>
      </c>
      <c r="C96" s="27" t="s">
        <v>332</v>
      </c>
      <c r="D96" s="27" t="s">
        <v>333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1.0</v>
      </c>
      <c r="K96" s="33" t="n">
        <f>2760</f>
        <v>2760.0</v>
      </c>
      <c r="L96" s="34" t="s">
        <v>48</v>
      </c>
      <c r="M96" s="33" t="n">
        <f>2818</f>
        <v>2818.0</v>
      </c>
      <c r="N96" s="34" t="s">
        <v>90</v>
      </c>
      <c r="O96" s="33" t="n">
        <f>2612</f>
        <v>2612.0</v>
      </c>
      <c r="P96" s="34" t="s">
        <v>50</v>
      </c>
      <c r="Q96" s="33" t="n">
        <f>2720</f>
        <v>2720.0</v>
      </c>
      <c r="R96" s="34" t="s">
        <v>51</v>
      </c>
      <c r="S96" s="35" t="n">
        <f>2719.05</f>
        <v>2719.05</v>
      </c>
      <c r="T96" s="32" t="n">
        <f>548599</f>
        <v>548599.0</v>
      </c>
      <c r="U96" s="32" t="n">
        <f>50</f>
        <v>50.0</v>
      </c>
      <c r="V96" s="32" t="n">
        <f>1490488389</f>
        <v>1.490488389E9</v>
      </c>
      <c r="W96" s="32" t="n">
        <f>136020</f>
        <v>136020.0</v>
      </c>
      <c r="X96" s="36" t="n">
        <f>22</f>
        <v>22.0</v>
      </c>
    </row>
    <row r="97">
      <c r="A97" s="27" t="s">
        <v>42</v>
      </c>
      <c r="B97" s="27" t="s">
        <v>334</v>
      </c>
      <c r="C97" s="27" t="s">
        <v>335</v>
      </c>
      <c r="D97" s="27" t="s">
        <v>336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1.0</v>
      </c>
      <c r="K97" s="33" t="n">
        <f>5820</f>
        <v>5820.0</v>
      </c>
      <c r="L97" s="34" t="s">
        <v>48</v>
      </c>
      <c r="M97" s="33" t="n">
        <f>6300</f>
        <v>6300.0</v>
      </c>
      <c r="N97" s="34" t="s">
        <v>330</v>
      </c>
      <c r="O97" s="33" t="n">
        <f>5740</f>
        <v>5740.0</v>
      </c>
      <c r="P97" s="34" t="s">
        <v>90</v>
      </c>
      <c r="Q97" s="33" t="n">
        <f>5940</f>
        <v>5940.0</v>
      </c>
      <c r="R97" s="34" t="s">
        <v>51</v>
      </c>
      <c r="S97" s="35" t="n">
        <f>5972.73</f>
        <v>5972.73</v>
      </c>
      <c r="T97" s="32" t="n">
        <f>436999</f>
        <v>436999.0</v>
      </c>
      <c r="U97" s="32" t="n">
        <f>458</f>
        <v>458.0</v>
      </c>
      <c r="V97" s="32" t="n">
        <f>2613757195</f>
        <v>2.613757195E9</v>
      </c>
      <c r="W97" s="32" t="n">
        <f>2750665</f>
        <v>2750665.0</v>
      </c>
      <c r="X97" s="36" t="n">
        <f>22</f>
        <v>22.0</v>
      </c>
    </row>
    <row r="98">
      <c r="A98" s="27" t="s">
        <v>42</v>
      </c>
      <c r="B98" s="27" t="s">
        <v>337</v>
      </c>
      <c r="C98" s="27" t="s">
        <v>338</v>
      </c>
      <c r="D98" s="27" t="s">
        <v>339</v>
      </c>
      <c r="E98" s="28" t="s">
        <v>46</v>
      </c>
      <c r="F98" s="29" t="s">
        <v>46</v>
      </c>
      <c r="G98" s="30" t="s">
        <v>46</v>
      </c>
      <c r="H98" s="31"/>
      <c r="I98" s="31" t="s">
        <v>47</v>
      </c>
      <c r="J98" s="32" t="n">
        <v>1.0</v>
      </c>
      <c r="K98" s="33" t="n">
        <f>62300</f>
        <v>62300.0</v>
      </c>
      <c r="L98" s="34" t="s">
        <v>48</v>
      </c>
      <c r="M98" s="33" t="n">
        <f>66500</f>
        <v>66500.0</v>
      </c>
      <c r="N98" s="34" t="s">
        <v>49</v>
      </c>
      <c r="O98" s="33" t="n">
        <f>60200</f>
        <v>60200.0</v>
      </c>
      <c r="P98" s="34" t="s">
        <v>340</v>
      </c>
      <c r="Q98" s="33" t="n">
        <f>60800</f>
        <v>60800.0</v>
      </c>
      <c r="R98" s="34" t="s">
        <v>51</v>
      </c>
      <c r="S98" s="35" t="n">
        <f>62486.36</f>
        <v>62486.36</v>
      </c>
      <c r="T98" s="32" t="n">
        <f>4416</f>
        <v>4416.0</v>
      </c>
      <c r="U98" s="32" t="n">
        <f>4</f>
        <v>4.0</v>
      </c>
      <c r="V98" s="32" t="n">
        <f>278248800</f>
        <v>2.782488E8</v>
      </c>
      <c r="W98" s="32" t="n">
        <f>244800</f>
        <v>244800.0</v>
      </c>
      <c r="X98" s="36" t="n">
        <f>22</f>
        <v>22.0</v>
      </c>
    </row>
    <row r="99">
      <c r="A99" s="27" t="s">
        <v>42</v>
      </c>
      <c r="B99" s="27" t="s">
        <v>341</v>
      </c>
      <c r="C99" s="27" t="s">
        <v>342</v>
      </c>
      <c r="D99" s="27" t="s">
        <v>343</v>
      </c>
      <c r="E99" s="28" t="s">
        <v>46</v>
      </c>
      <c r="F99" s="29" t="s">
        <v>46</v>
      </c>
      <c r="G99" s="30" t="s">
        <v>46</v>
      </c>
      <c r="H99" s="31"/>
      <c r="I99" s="31" t="s">
        <v>47</v>
      </c>
      <c r="J99" s="32" t="n">
        <v>10.0</v>
      </c>
      <c r="K99" s="33" t="n">
        <f>10370</f>
        <v>10370.0</v>
      </c>
      <c r="L99" s="34" t="s">
        <v>48</v>
      </c>
      <c r="M99" s="33" t="n">
        <f>11070</f>
        <v>11070.0</v>
      </c>
      <c r="N99" s="34" t="s">
        <v>132</v>
      </c>
      <c r="O99" s="33" t="n">
        <f>10210</f>
        <v>10210.0</v>
      </c>
      <c r="P99" s="34" t="s">
        <v>50</v>
      </c>
      <c r="Q99" s="33" t="n">
        <f>10890</f>
        <v>10890.0</v>
      </c>
      <c r="R99" s="34" t="s">
        <v>51</v>
      </c>
      <c r="S99" s="35" t="n">
        <f>10759.55</f>
        <v>10759.55</v>
      </c>
      <c r="T99" s="32" t="n">
        <f>2366550</f>
        <v>2366550.0</v>
      </c>
      <c r="U99" s="32" t="n">
        <f>20150</f>
        <v>20150.0</v>
      </c>
      <c r="V99" s="32" t="n">
        <f>25450571404</f>
        <v>2.5450571404E10</v>
      </c>
      <c r="W99" s="32" t="n">
        <f>218519404</f>
        <v>2.18519404E8</v>
      </c>
      <c r="X99" s="36" t="n">
        <f>22</f>
        <v>22.0</v>
      </c>
    </row>
    <row r="100">
      <c r="A100" s="27" t="s">
        <v>42</v>
      </c>
      <c r="B100" s="27" t="s">
        <v>344</v>
      </c>
      <c r="C100" s="27" t="s">
        <v>345</v>
      </c>
      <c r="D100" s="27" t="s">
        <v>346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1.0</v>
      </c>
      <c r="K100" s="33" t="n">
        <f>26560</f>
        <v>26560.0</v>
      </c>
      <c r="L100" s="34" t="s">
        <v>48</v>
      </c>
      <c r="M100" s="33" t="n">
        <f>29210</f>
        <v>29210.0</v>
      </c>
      <c r="N100" s="34" t="s">
        <v>49</v>
      </c>
      <c r="O100" s="33" t="n">
        <f>25820</f>
        <v>25820.0</v>
      </c>
      <c r="P100" s="34" t="s">
        <v>50</v>
      </c>
      <c r="Q100" s="33" t="n">
        <f>26900</f>
        <v>26900.0</v>
      </c>
      <c r="R100" s="34" t="s">
        <v>51</v>
      </c>
      <c r="S100" s="35" t="n">
        <f>27365.45</f>
        <v>27365.45</v>
      </c>
      <c r="T100" s="32" t="n">
        <f>494575</f>
        <v>494575.0</v>
      </c>
      <c r="U100" s="32" t="n">
        <f>851</f>
        <v>851.0</v>
      </c>
      <c r="V100" s="32" t="n">
        <f>13520741775</f>
        <v>1.3520741775E10</v>
      </c>
      <c r="W100" s="32" t="n">
        <f>22847805</f>
        <v>2.2847805E7</v>
      </c>
      <c r="X100" s="36" t="n">
        <f>22</f>
        <v>22.0</v>
      </c>
    </row>
    <row r="101">
      <c r="A101" s="27" t="s">
        <v>42</v>
      </c>
      <c r="B101" s="27" t="s">
        <v>347</v>
      </c>
      <c r="C101" s="27" t="s">
        <v>348</v>
      </c>
      <c r="D101" s="27" t="s">
        <v>349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10.0</v>
      </c>
      <c r="K101" s="33" t="n">
        <f>3540</f>
        <v>3540.0</v>
      </c>
      <c r="L101" s="34" t="s">
        <v>48</v>
      </c>
      <c r="M101" s="33" t="n">
        <f>3815</f>
        <v>3815.0</v>
      </c>
      <c r="N101" s="34" t="s">
        <v>73</v>
      </c>
      <c r="O101" s="33" t="n">
        <f>3425</f>
        <v>3425.0</v>
      </c>
      <c r="P101" s="34" t="s">
        <v>50</v>
      </c>
      <c r="Q101" s="33" t="n">
        <f>3565</f>
        <v>3565.0</v>
      </c>
      <c r="R101" s="34" t="s">
        <v>51</v>
      </c>
      <c r="S101" s="35" t="n">
        <f>3617.27</f>
        <v>3617.27</v>
      </c>
      <c r="T101" s="32" t="n">
        <f>1724480</f>
        <v>1724480.0</v>
      </c>
      <c r="U101" s="32" t="n">
        <f>3350</f>
        <v>3350.0</v>
      </c>
      <c r="V101" s="32" t="n">
        <f>6239234269</f>
        <v>6.239234269E9</v>
      </c>
      <c r="W101" s="32" t="n">
        <f>12137119</f>
        <v>1.2137119E7</v>
      </c>
      <c r="X101" s="36" t="n">
        <f>22</f>
        <v>22.0</v>
      </c>
    </row>
    <row r="102">
      <c r="A102" s="27" t="s">
        <v>42</v>
      </c>
      <c r="B102" s="27" t="s">
        <v>350</v>
      </c>
      <c r="C102" s="27" t="s">
        <v>351</v>
      </c>
      <c r="D102" s="27" t="s">
        <v>352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10.0</v>
      </c>
      <c r="K102" s="33" t="n">
        <f>2350</f>
        <v>2350.0</v>
      </c>
      <c r="L102" s="34" t="s">
        <v>48</v>
      </c>
      <c r="M102" s="33" t="n">
        <f>2522</f>
        <v>2522.0</v>
      </c>
      <c r="N102" s="34" t="s">
        <v>73</v>
      </c>
      <c r="O102" s="33" t="n">
        <f>2254</f>
        <v>2254.0</v>
      </c>
      <c r="P102" s="34" t="s">
        <v>48</v>
      </c>
      <c r="Q102" s="33" t="n">
        <f>2384</f>
        <v>2384.0</v>
      </c>
      <c r="R102" s="34" t="s">
        <v>51</v>
      </c>
      <c r="S102" s="35" t="n">
        <f>2410.09</f>
        <v>2410.09</v>
      </c>
      <c r="T102" s="32" t="n">
        <f>328840</f>
        <v>328840.0</v>
      </c>
      <c r="U102" s="32" t="n">
        <f>73570</f>
        <v>73570.0</v>
      </c>
      <c r="V102" s="32" t="n">
        <f>792227096</f>
        <v>7.92227096E8</v>
      </c>
      <c r="W102" s="32" t="n">
        <f>178243316</f>
        <v>1.78243316E8</v>
      </c>
      <c r="X102" s="36" t="n">
        <f>22</f>
        <v>22.0</v>
      </c>
    </row>
    <row r="103">
      <c r="A103" s="27" t="s">
        <v>42</v>
      </c>
      <c r="B103" s="27" t="s">
        <v>353</v>
      </c>
      <c r="C103" s="27" t="s">
        <v>354</v>
      </c>
      <c r="D103" s="27" t="s">
        <v>355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10.0</v>
      </c>
      <c r="K103" s="33" t="n">
        <f>4330</f>
        <v>4330.0</v>
      </c>
      <c r="L103" s="34" t="s">
        <v>48</v>
      </c>
      <c r="M103" s="33" t="n">
        <f>4500</f>
        <v>4500.0</v>
      </c>
      <c r="N103" s="34" t="s">
        <v>94</v>
      </c>
      <c r="O103" s="33" t="n">
        <f>4115</f>
        <v>4115.0</v>
      </c>
      <c r="P103" s="34" t="s">
        <v>62</v>
      </c>
      <c r="Q103" s="33" t="n">
        <f>4330</f>
        <v>4330.0</v>
      </c>
      <c r="R103" s="34" t="s">
        <v>51</v>
      </c>
      <c r="S103" s="35" t="n">
        <f>4400.68</f>
        <v>4400.68</v>
      </c>
      <c r="T103" s="32" t="n">
        <f>78700</f>
        <v>78700.0</v>
      </c>
      <c r="U103" s="32" t="str">
        <f>"－"</f>
        <v>－</v>
      </c>
      <c r="V103" s="32" t="n">
        <f>344805650</f>
        <v>3.4480565E8</v>
      </c>
      <c r="W103" s="32" t="str">
        <f>"－"</f>
        <v>－</v>
      </c>
      <c r="X103" s="36" t="n">
        <f>22</f>
        <v>22.0</v>
      </c>
    </row>
    <row r="104">
      <c r="A104" s="27" t="s">
        <v>42</v>
      </c>
      <c r="B104" s="27" t="s">
        <v>356</v>
      </c>
      <c r="C104" s="27" t="s">
        <v>357</v>
      </c>
      <c r="D104" s="27" t="s">
        <v>358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1.0</v>
      </c>
      <c r="K104" s="33" t="n">
        <f>11580</f>
        <v>11580.0</v>
      </c>
      <c r="L104" s="34" t="s">
        <v>48</v>
      </c>
      <c r="M104" s="33" t="n">
        <f>15040</f>
        <v>15040.0</v>
      </c>
      <c r="N104" s="34" t="s">
        <v>50</v>
      </c>
      <c r="O104" s="33" t="n">
        <f>10090</f>
        <v>10090.0</v>
      </c>
      <c r="P104" s="34" t="s">
        <v>73</v>
      </c>
      <c r="Q104" s="33" t="n">
        <f>12340</f>
        <v>12340.0</v>
      </c>
      <c r="R104" s="34" t="s">
        <v>51</v>
      </c>
      <c r="S104" s="35" t="n">
        <f>11985.45</f>
        <v>11985.45</v>
      </c>
      <c r="T104" s="32" t="n">
        <f>9130883</f>
        <v>9130883.0</v>
      </c>
      <c r="U104" s="32" t="n">
        <f>15583</f>
        <v>15583.0</v>
      </c>
      <c r="V104" s="32" t="n">
        <f>114981045546</f>
        <v>1.14981045546E11</v>
      </c>
      <c r="W104" s="32" t="n">
        <f>190464046</f>
        <v>1.90464046E8</v>
      </c>
      <c r="X104" s="36" t="n">
        <f>22</f>
        <v>22.0</v>
      </c>
    </row>
    <row r="105">
      <c r="A105" s="27" t="s">
        <v>42</v>
      </c>
      <c r="B105" s="27" t="s">
        <v>359</v>
      </c>
      <c r="C105" s="27" t="s">
        <v>360</v>
      </c>
      <c r="D105" s="27" t="s">
        <v>361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10.0</v>
      </c>
      <c r="K105" s="33" t="n">
        <f>2016</f>
        <v>2016.0</v>
      </c>
      <c r="L105" s="34" t="s">
        <v>48</v>
      </c>
      <c r="M105" s="33" t="n">
        <f>2188</f>
        <v>2188.0</v>
      </c>
      <c r="N105" s="34" t="s">
        <v>73</v>
      </c>
      <c r="O105" s="33" t="n">
        <f>1980</f>
        <v>1980.0</v>
      </c>
      <c r="P105" s="34" t="s">
        <v>50</v>
      </c>
      <c r="Q105" s="33" t="n">
        <f>2060</f>
        <v>2060.0</v>
      </c>
      <c r="R105" s="34" t="s">
        <v>51</v>
      </c>
      <c r="S105" s="35" t="n">
        <f>2084.45</f>
        <v>2084.45</v>
      </c>
      <c r="T105" s="32" t="n">
        <f>94970</f>
        <v>94970.0</v>
      </c>
      <c r="U105" s="32" t="n">
        <f>60</f>
        <v>60.0</v>
      </c>
      <c r="V105" s="32" t="n">
        <f>198147260</f>
        <v>1.9814726E8</v>
      </c>
      <c r="W105" s="32" t="n">
        <f>127880</f>
        <v>127880.0</v>
      </c>
      <c r="X105" s="36" t="n">
        <f>22</f>
        <v>22.0</v>
      </c>
    </row>
    <row r="106">
      <c r="A106" s="27" t="s">
        <v>42</v>
      </c>
      <c r="B106" s="27" t="s">
        <v>362</v>
      </c>
      <c r="C106" s="27" t="s">
        <v>363</v>
      </c>
      <c r="D106" s="27" t="s">
        <v>364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10.0</v>
      </c>
      <c r="K106" s="33" t="n">
        <f>1214</f>
        <v>1214.0</v>
      </c>
      <c r="L106" s="34" t="s">
        <v>48</v>
      </c>
      <c r="M106" s="33" t="n">
        <f>1396</f>
        <v>1396.0</v>
      </c>
      <c r="N106" s="34" t="s">
        <v>49</v>
      </c>
      <c r="O106" s="33" t="n">
        <f>1196</f>
        <v>1196.0</v>
      </c>
      <c r="P106" s="34" t="s">
        <v>48</v>
      </c>
      <c r="Q106" s="33" t="n">
        <f>1229</f>
        <v>1229.0</v>
      </c>
      <c r="R106" s="34" t="s">
        <v>51</v>
      </c>
      <c r="S106" s="35" t="n">
        <f>1276.27</f>
        <v>1276.27</v>
      </c>
      <c r="T106" s="32" t="n">
        <f>441220</f>
        <v>441220.0</v>
      </c>
      <c r="U106" s="32" t="n">
        <f>430</f>
        <v>430.0</v>
      </c>
      <c r="V106" s="32" t="n">
        <f>565486670</f>
        <v>5.6548667E8</v>
      </c>
      <c r="W106" s="32" t="n">
        <f>543050</f>
        <v>543050.0</v>
      </c>
      <c r="X106" s="36" t="n">
        <f>22</f>
        <v>22.0</v>
      </c>
    </row>
    <row r="107">
      <c r="A107" s="27" t="s">
        <v>42</v>
      </c>
      <c r="B107" s="27" t="s">
        <v>365</v>
      </c>
      <c r="C107" s="27" t="s">
        <v>366</v>
      </c>
      <c r="D107" s="27" t="s">
        <v>367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1.0</v>
      </c>
      <c r="K107" s="33" t="n">
        <f>32600</f>
        <v>32600.0</v>
      </c>
      <c r="L107" s="34" t="s">
        <v>48</v>
      </c>
      <c r="M107" s="33" t="n">
        <f>35150</f>
        <v>35150.0</v>
      </c>
      <c r="N107" s="34" t="s">
        <v>73</v>
      </c>
      <c r="O107" s="33" t="n">
        <f>31550</f>
        <v>31550.0</v>
      </c>
      <c r="P107" s="34" t="s">
        <v>50</v>
      </c>
      <c r="Q107" s="33" t="n">
        <f>32750</f>
        <v>32750.0</v>
      </c>
      <c r="R107" s="34" t="s">
        <v>51</v>
      </c>
      <c r="S107" s="35" t="n">
        <f>33320.45</f>
        <v>33320.45</v>
      </c>
      <c r="T107" s="32" t="n">
        <f>266223</f>
        <v>266223.0</v>
      </c>
      <c r="U107" s="32" t="str">
        <f>"－"</f>
        <v>－</v>
      </c>
      <c r="V107" s="32" t="n">
        <f>8867880050</f>
        <v>8.86788005E9</v>
      </c>
      <c r="W107" s="32" t="str">
        <f>"－"</f>
        <v>－</v>
      </c>
      <c r="X107" s="36" t="n">
        <f>22</f>
        <v>22.0</v>
      </c>
    </row>
    <row r="108">
      <c r="A108" s="27" t="s">
        <v>42</v>
      </c>
      <c r="B108" s="27" t="s">
        <v>368</v>
      </c>
      <c r="C108" s="27" t="s">
        <v>369</v>
      </c>
      <c r="D108" s="27" t="s">
        <v>370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1.0</v>
      </c>
      <c r="K108" s="33" t="n">
        <f>2925</f>
        <v>2925.0</v>
      </c>
      <c r="L108" s="34" t="s">
        <v>48</v>
      </c>
      <c r="M108" s="33" t="n">
        <f>3205</f>
        <v>3205.0</v>
      </c>
      <c r="N108" s="34" t="s">
        <v>73</v>
      </c>
      <c r="O108" s="33" t="n">
        <f>2850</f>
        <v>2850.0</v>
      </c>
      <c r="P108" s="34" t="s">
        <v>48</v>
      </c>
      <c r="Q108" s="33" t="n">
        <f>2918</f>
        <v>2918.0</v>
      </c>
      <c r="R108" s="34" t="s">
        <v>51</v>
      </c>
      <c r="S108" s="35" t="n">
        <f>2999.45</f>
        <v>2999.45</v>
      </c>
      <c r="T108" s="32" t="n">
        <f>12249</f>
        <v>12249.0</v>
      </c>
      <c r="U108" s="32" t="n">
        <f>5</f>
        <v>5.0</v>
      </c>
      <c r="V108" s="32" t="n">
        <f>36630765</f>
        <v>3.6630765E7</v>
      </c>
      <c r="W108" s="32" t="n">
        <f>14678</f>
        <v>14678.0</v>
      </c>
      <c r="X108" s="36" t="n">
        <f>22</f>
        <v>22.0</v>
      </c>
    </row>
    <row r="109">
      <c r="A109" s="27" t="s">
        <v>42</v>
      </c>
      <c r="B109" s="27" t="s">
        <v>371</v>
      </c>
      <c r="C109" s="27" t="s">
        <v>372</v>
      </c>
      <c r="D109" s="27" t="s">
        <v>373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1.0</v>
      </c>
      <c r="K109" s="33" t="n">
        <f>3630</f>
        <v>3630.0</v>
      </c>
      <c r="L109" s="34" t="s">
        <v>48</v>
      </c>
      <c r="M109" s="33" t="n">
        <f>4045</f>
        <v>4045.0</v>
      </c>
      <c r="N109" s="34" t="s">
        <v>73</v>
      </c>
      <c r="O109" s="33" t="n">
        <f>3630</f>
        <v>3630.0</v>
      </c>
      <c r="P109" s="34" t="s">
        <v>48</v>
      </c>
      <c r="Q109" s="33" t="n">
        <f>3835</f>
        <v>3835.0</v>
      </c>
      <c r="R109" s="34" t="s">
        <v>51</v>
      </c>
      <c r="S109" s="35" t="n">
        <f>3871.82</f>
        <v>3871.82</v>
      </c>
      <c r="T109" s="32" t="n">
        <f>7195</f>
        <v>7195.0</v>
      </c>
      <c r="U109" s="32" t="str">
        <f>"－"</f>
        <v>－</v>
      </c>
      <c r="V109" s="32" t="n">
        <f>27873085</f>
        <v>2.7873085E7</v>
      </c>
      <c r="W109" s="32" t="str">
        <f>"－"</f>
        <v>－</v>
      </c>
      <c r="X109" s="36" t="n">
        <f>22</f>
        <v>22.0</v>
      </c>
    </row>
    <row r="110">
      <c r="A110" s="27" t="s">
        <v>42</v>
      </c>
      <c r="B110" s="27" t="s">
        <v>374</v>
      </c>
      <c r="C110" s="27" t="s">
        <v>375</v>
      </c>
      <c r="D110" s="27" t="s">
        <v>376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1.0</v>
      </c>
      <c r="K110" s="33" t="n">
        <f>2529</f>
        <v>2529.0</v>
      </c>
      <c r="L110" s="34" t="s">
        <v>48</v>
      </c>
      <c r="M110" s="33" t="n">
        <f>2599</f>
        <v>2599.0</v>
      </c>
      <c r="N110" s="34" t="s">
        <v>285</v>
      </c>
      <c r="O110" s="33" t="n">
        <f>2324</f>
        <v>2324.0</v>
      </c>
      <c r="P110" s="34" t="s">
        <v>50</v>
      </c>
      <c r="Q110" s="33" t="n">
        <f>2452</f>
        <v>2452.0</v>
      </c>
      <c r="R110" s="34" t="s">
        <v>51</v>
      </c>
      <c r="S110" s="35" t="n">
        <f>2490.09</f>
        <v>2490.09</v>
      </c>
      <c r="T110" s="32" t="n">
        <f>370871</f>
        <v>370871.0</v>
      </c>
      <c r="U110" s="32" t="n">
        <f>584</f>
        <v>584.0</v>
      </c>
      <c r="V110" s="32" t="n">
        <f>921581765</f>
        <v>9.21581765E8</v>
      </c>
      <c r="W110" s="32" t="n">
        <f>1489909</f>
        <v>1489909.0</v>
      </c>
      <c r="X110" s="36" t="n">
        <f>22</f>
        <v>22.0</v>
      </c>
    </row>
    <row r="111">
      <c r="A111" s="27" t="s">
        <v>42</v>
      </c>
      <c r="B111" s="27" t="s">
        <v>377</v>
      </c>
      <c r="C111" s="27" t="s">
        <v>378</v>
      </c>
      <c r="D111" s="27" t="s">
        <v>379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1.0</v>
      </c>
      <c r="K111" s="33" t="n">
        <f>43550</f>
        <v>43550.0</v>
      </c>
      <c r="L111" s="34" t="s">
        <v>48</v>
      </c>
      <c r="M111" s="33" t="n">
        <f>45950</f>
        <v>45950.0</v>
      </c>
      <c r="N111" s="34" t="s">
        <v>73</v>
      </c>
      <c r="O111" s="33" t="n">
        <f>43550</f>
        <v>43550.0</v>
      </c>
      <c r="P111" s="34" t="s">
        <v>48</v>
      </c>
      <c r="Q111" s="33" t="n">
        <f>44050</f>
        <v>44050.0</v>
      </c>
      <c r="R111" s="34" t="s">
        <v>51</v>
      </c>
      <c r="S111" s="35" t="n">
        <f>44313.64</f>
        <v>44313.64</v>
      </c>
      <c r="T111" s="32" t="n">
        <f>9634</f>
        <v>9634.0</v>
      </c>
      <c r="U111" s="32" t="n">
        <f>31</f>
        <v>31.0</v>
      </c>
      <c r="V111" s="32" t="n">
        <f>426850308</f>
        <v>4.26850308E8</v>
      </c>
      <c r="W111" s="32" t="n">
        <f>1376508</f>
        <v>1376508.0</v>
      </c>
      <c r="X111" s="36" t="n">
        <f>22</f>
        <v>22.0</v>
      </c>
    </row>
    <row r="112">
      <c r="A112" s="27" t="s">
        <v>42</v>
      </c>
      <c r="B112" s="27" t="s">
        <v>380</v>
      </c>
      <c r="C112" s="27" t="s">
        <v>381</v>
      </c>
      <c r="D112" s="27" t="s">
        <v>382</v>
      </c>
      <c r="E112" s="28" t="s">
        <v>46</v>
      </c>
      <c r="F112" s="29" t="s">
        <v>46</v>
      </c>
      <c r="G112" s="30" t="s">
        <v>46</v>
      </c>
      <c r="H112" s="31"/>
      <c r="I112" s="31" t="s">
        <v>47</v>
      </c>
      <c r="J112" s="32" t="n">
        <v>10.0</v>
      </c>
      <c r="K112" s="33" t="n">
        <f>1092</f>
        <v>1092.0</v>
      </c>
      <c r="L112" s="34" t="s">
        <v>285</v>
      </c>
      <c r="M112" s="33" t="n">
        <f>1279</f>
        <v>1279.0</v>
      </c>
      <c r="N112" s="34" t="s">
        <v>51</v>
      </c>
      <c r="O112" s="33" t="n">
        <f>1082</f>
        <v>1082.0</v>
      </c>
      <c r="P112" s="34" t="s">
        <v>132</v>
      </c>
      <c r="Q112" s="33" t="n">
        <f>1226</f>
        <v>1226.0</v>
      </c>
      <c r="R112" s="34" t="s">
        <v>51</v>
      </c>
      <c r="S112" s="35" t="n">
        <f>1128.55</f>
        <v>1128.55</v>
      </c>
      <c r="T112" s="32" t="n">
        <f>1610</f>
        <v>1610.0</v>
      </c>
      <c r="U112" s="32" t="str">
        <f>"－"</f>
        <v>－</v>
      </c>
      <c r="V112" s="32" t="n">
        <f>1991300</f>
        <v>1991300.0</v>
      </c>
      <c r="W112" s="32" t="str">
        <f>"－"</f>
        <v>－</v>
      </c>
      <c r="X112" s="36" t="n">
        <f>11</f>
        <v>11.0</v>
      </c>
    </row>
    <row r="113">
      <c r="A113" s="27" t="s">
        <v>42</v>
      </c>
      <c r="B113" s="27" t="s">
        <v>383</v>
      </c>
      <c r="C113" s="27" t="s">
        <v>384</v>
      </c>
      <c r="D113" s="27" t="s">
        <v>385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10.0</v>
      </c>
      <c r="K113" s="33" t="n">
        <f>15340</f>
        <v>15340.0</v>
      </c>
      <c r="L113" s="34" t="s">
        <v>48</v>
      </c>
      <c r="M113" s="33" t="n">
        <f>16710</f>
        <v>16710.0</v>
      </c>
      <c r="N113" s="34" t="s">
        <v>49</v>
      </c>
      <c r="O113" s="33" t="n">
        <f>14620</f>
        <v>14620.0</v>
      </c>
      <c r="P113" s="34" t="s">
        <v>50</v>
      </c>
      <c r="Q113" s="33" t="n">
        <f>15110</f>
        <v>15110.0</v>
      </c>
      <c r="R113" s="34" t="s">
        <v>51</v>
      </c>
      <c r="S113" s="35" t="n">
        <f>15707.27</f>
        <v>15707.27</v>
      </c>
      <c r="T113" s="32" t="n">
        <f>3866870</f>
        <v>3866870.0</v>
      </c>
      <c r="U113" s="32" t="n">
        <f>31370</f>
        <v>31370.0</v>
      </c>
      <c r="V113" s="32" t="n">
        <f>60927477275</f>
        <v>6.0927477275E10</v>
      </c>
      <c r="W113" s="32" t="n">
        <f>498119375</f>
        <v>4.98119375E8</v>
      </c>
      <c r="X113" s="36" t="n">
        <f>22</f>
        <v>22.0</v>
      </c>
    </row>
    <row r="114">
      <c r="A114" s="27" t="s">
        <v>42</v>
      </c>
      <c r="B114" s="27" t="s">
        <v>386</v>
      </c>
      <c r="C114" s="27" t="s">
        <v>387</v>
      </c>
      <c r="D114" s="27" t="s">
        <v>388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10.0</v>
      </c>
      <c r="K114" s="33" t="n">
        <f>2962</f>
        <v>2962.0</v>
      </c>
      <c r="L114" s="34" t="s">
        <v>48</v>
      </c>
      <c r="M114" s="33" t="n">
        <f>3015</f>
        <v>3015.0</v>
      </c>
      <c r="N114" s="34" t="s">
        <v>50</v>
      </c>
      <c r="O114" s="33" t="n">
        <f>2833</f>
        <v>2833.0</v>
      </c>
      <c r="P114" s="34" t="s">
        <v>49</v>
      </c>
      <c r="Q114" s="33" t="n">
        <f>2957</f>
        <v>2957.0</v>
      </c>
      <c r="R114" s="34" t="s">
        <v>51</v>
      </c>
      <c r="S114" s="35" t="n">
        <f>2910.36</f>
        <v>2910.36</v>
      </c>
      <c r="T114" s="32" t="n">
        <f>834420</f>
        <v>834420.0</v>
      </c>
      <c r="U114" s="32" t="n">
        <f>68430</f>
        <v>68430.0</v>
      </c>
      <c r="V114" s="32" t="n">
        <f>2425175710</f>
        <v>2.42517571E9</v>
      </c>
      <c r="W114" s="32" t="n">
        <f>200595230</f>
        <v>2.0059523E8</v>
      </c>
      <c r="X114" s="36" t="n">
        <f>22</f>
        <v>22.0</v>
      </c>
    </row>
    <row r="115">
      <c r="A115" s="27" t="s">
        <v>42</v>
      </c>
      <c r="B115" s="27" t="s">
        <v>389</v>
      </c>
      <c r="C115" s="27" t="s">
        <v>390</v>
      </c>
      <c r="D115" s="27" t="s">
        <v>391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1.0</v>
      </c>
      <c r="K115" s="33" t="n">
        <f>18490</f>
        <v>18490.0</v>
      </c>
      <c r="L115" s="34" t="s">
        <v>48</v>
      </c>
      <c r="M115" s="33" t="n">
        <f>20640</f>
        <v>20640.0</v>
      </c>
      <c r="N115" s="34" t="s">
        <v>49</v>
      </c>
      <c r="O115" s="33" t="n">
        <f>17710</f>
        <v>17710.0</v>
      </c>
      <c r="P115" s="34" t="s">
        <v>50</v>
      </c>
      <c r="Q115" s="33" t="n">
        <f>18980</f>
        <v>18980.0</v>
      </c>
      <c r="R115" s="34" t="s">
        <v>51</v>
      </c>
      <c r="S115" s="35" t="n">
        <f>19358.64</f>
        <v>19358.64</v>
      </c>
      <c r="T115" s="32" t="n">
        <f>258480765</f>
        <v>2.58480765E8</v>
      </c>
      <c r="U115" s="32" t="n">
        <f>677729</f>
        <v>677729.0</v>
      </c>
      <c r="V115" s="32" t="n">
        <f>4996713734202</f>
        <v>4.996713734202E12</v>
      </c>
      <c r="W115" s="32" t="n">
        <f>13086199692</f>
        <v>1.3086199692E10</v>
      </c>
      <c r="X115" s="36" t="n">
        <f>22</f>
        <v>22.0</v>
      </c>
    </row>
    <row r="116">
      <c r="A116" s="27" t="s">
        <v>42</v>
      </c>
      <c r="B116" s="27" t="s">
        <v>392</v>
      </c>
      <c r="C116" s="27" t="s">
        <v>393</v>
      </c>
      <c r="D116" s="27" t="s">
        <v>394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1.0</v>
      </c>
      <c r="K116" s="33" t="n">
        <f>1422</f>
        <v>1422.0</v>
      </c>
      <c r="L116" s="34" t="s">
        <v>48</v>
      </c>
      <c r="M116" s="33" t="n">
        <f>1446</f>
        <v>1446.0</v>
      </c>
      <c r="N116" s="34" t="s">
        <v>50</v>
      </c>
      <c r="O116" s="33" t="n">
        <f>1343</f>
        <v>1343.0</v>
      </c>
      <c r="P116" s="34" t="s">
        <v>73</v>
      </c>
      <c r="Q116" s="33" t="n">
        <f>1386</f>
        <v>1386.0</v>
      </c>
      <c r="R116" s="34" t="s">
        <v>51</v>
      </c>
      <c r="S116" s="35" t="n">
        <f>1381.64</f>
        <v>1381.64</v>
      </c>
      <c r="T116" s="32" t="n">
        <f>51584547</f>
        <v>5.1584547E7</v>
      </c>
      <c r="U116" s="32" t="n">
        <f>1278046</f>
        <v>1278046.0</v>
      </c>
      <c r="V116" s="32" t="n">
        <f>71414686530</f>
        <v>7.141468653E10</v>
      </c>
      <c r="W116" s="32" t="n">
        <f>1752657621</f>
        <v>1.752657621E9</v>
      </c>
      <c r="X116" s="36" t="n">
        <f>22</f>
        <v>22.0</v>
      </c>
    </row>
    <row r="117">
      <c r="A117" s="27" t="s">
        <v>42</v>
      </c>
      <c r="B117" s="27" t="s">
        <v>395</v>
      </c>
      <c r="C117" s="27" t="s">
        <v>396</v>
      </c>
      <c r="D117" s="27" t="s">
        <v>397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10.0</v>
      </c>
      <c r="K117" s="33" t="n">
        <f>8870</f>
        <v>8870.0</v>
      </c>
      <c r="L117" s="34" t="s">
        <v>48</v>
      </c>
      <c r="M117" s="33" t="n">
        <f>10490</f>
        <v>10490.0</v>
      </c>
      <c r="N117" s="34" t="s">
        <v>73</v>
      </c>
      <c r="O117" s="33" t="n">
        <f>8870</f>
        <v>8870.0</v>
      </c>
      <c r="P117" s="34" t="s">
        <v>48</v>
      </c>
      <c r="Q117" s="33" t="n">
        <f>9220</f>
        <v>9220.0</v>
      </c>
      <c r="R117" s="34" t="s">
        <v>51</v>
      </c>
      <c r="S117" s="35" t="n">
        <f>9478.18</f>
        <v>9478.18</v>
      </c>
      <c r="T117" s="32" t="n">
        <f>12480</f>
        <v>12480.0</v>
      </c>
      <c r="U117" s="32" t="n">
        <f>360</f>
        <v>360.0</v>
      </c>
      <c r="V117" s="32" t="n">
        <f>119586300</f>
        <v>1.195863E8</v>
      </c>
      <c r="W117" s="32" t="n">
        <f>3459600</f>
        <v>3459600.0</v>
      </c>
      <c r="X117" s="36" t="n">
        <f>22</f>
        <v>22.0</v>
      </c>
    </row>
    <row r="118">
      <c r="A118" s="27" t="s">
        <v>42</v>
      </c>
      <c r="B118" s="27" t="s">
        <v>398</v>
      </c>
      <c r="C118" s="27" t="s">
        <v>399</v>
      </c>
      <c r="D118" s="27" t="s">
        <v>400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10.0</v>
      </c>
      <c r="K118" s="33" t="n">
        <f>8120</f>
        <v>8120.0</v>
      </c>
      <c r="L118" s="34" t="s">
        <v>48</v>
      </c>
      <c r="M118" s="33" t="n">
        <f>8120</f>
        <v>8120.0</v>
      </c>
      <c r="N118" s="34" t="s">
        <v>48</v>
      </c>
      <c r="O118" s="33" t="n">
        <f>7500</f>
        <v>7500.0</v>
      </c>
      <c r="P118" s="34" t="s">
        <v>69</v>
      </c>
      <c r="Q118" s="33" t="n">
        <f>7830</f>
        <v>7830.0</v>
      </c>
      <c r="R118" s="34" t="s">
        <v>51</v>
      </c>
      <c r="S118" s="35" t="n">
        <f>7692.27</f>
        <v>7692.27</v>
      </c>
      <c r="T118" s="32" t="n">
        <f>11250</f>
        <v>11250.0</v>
      </c>
      <c r="U118" s="32" t="n">
        <f>10</f>
        <v>10.0</v>
      </c>
      <c r="V118" s="32" t="n">
        <f>86509900</f>
        <v>8.65099E7</v>
      </c>
      <c r="W118" s="32" t="n">
        <f>77900</f>
        <v>77900.0</v>
      </c>
      <c r="X118" s="36" t="n">
        <f>22</f>
        <v>22.0</v>
      </c>
    </row>
    <row r="119">
      <c r="A119" s="27" t="s">
        <v>42</v>
      </c>
      <c r="B119" s="27" t="s">
        <v>401</v>
      </c>
      <c r="C119" s="27" t="s">
        <v>402</v>
      </c>
      <c r="D119" s="27" t="s">
        <v>403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10.0</v>
      </c>
      <c r="K119" s="33" t="n">
        <f>1401</f>
        <v>1401.0</v>
      </c>
      <c r="L119" s="34" t="s">
        <v>285</v>
      </c>
      <c r="M119" s="33" t="n">
        <f>1450</f>
        <v>1450.0</v>
      </c>
      <c r="N119" s="34" t="s">
        <v>305</v>
      </c>
      <c r="O119" s="33" t="n">
        <f>1387</f>
        <v>1387.0</v>
      </c>
      <c r="P119" s="34" t="s">
        <v>62</v>
      </c>
      <c r="Q119" s="33" t="n">
        <f>1394</f>
        <v>1394.0</v>
      </c>
      <c r="R119" s="34" t="s">
        <v>278</v>
      </c>
      <c r="S119" s="35" t="n">
        <f>1415.5</f>
        <v>1415.5</v>
      </c>
      <c r="T119" s="32" t="n">
        <f>340</f>
        <v>340.0</v>
      </c>
      <c r="U119" s="32" t="str">
        <f>"－"</f>
        <v>－</v>
      </c>
      <c r="V119" s="32" t="n">
        <f>479050</f>
        <v>479050.0</v>
      </c>
      <c r="W119" s="32" t="str">
        <f>"－"</f>
        <v>－</v>
      </c>
      <c r="X119" s="36" t="n">
        <f>6</f>
        <v>6.0</v>
      </c>
    </row>
    <row r="120">
      <c r="A120" s="27" t="s">
        <v>42</v>
      </c>
      <c r="B120" s="27" t="s">
        <v>404</v>
      </c>
      <c r="C120" s="27" t="s">
        <v>405</v>
      </c>
      <c r="D120" s="27" t="s">
        <v>406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10.0</v>
      </c>
      <c r="K120" s="33" t="n">
        <f>620</f>
        <v>620.0</v>
      </c>
      <c r="L120" s="34" t="s">
        <v>48</v>
      </c>
      <c r="M120" s="33" t="n">
        <f>635</f>
        <v>635.0</v>
      </c>
      <c r="N120" s="34" t="s">
        <v>298</v>
      </c>
      <c r="O120" s="33" t="n">
        <f>580</f>
        <v>580.0</v>
      </c>
      <c r="P120" s="34" t="s">
        <v>48</v>
      </c>
      <c r="Q120" s="33" t="n">
        <f>622</f>
        <v>622.0</v>
      </c>
      <c r="R120" s="34" t="s">
        <v>51</v>
      </c>
      <c r="S120" s="35" t="n">
        <f>616.67</f>
        <v>616.67</v>
      </c>
      <c r="T120" s="32" t="n">
        <f>19580</f>
        <v>19580.0</v>
      </c>
      <c r="U120" s="32" t="str">
        <f>"－"</f>
        <v>－</v>
      </c>
      <c r="V120" s="32" t="n">
        <f>12009390</f>
        <v>1.200939E7</v>
      </c>
      <c r="W120" s="32" t="str">
        <f>"－"</f>
        <v>－</v>
      </c>
      <c r="X120" s="36" t="n">
        <f>21</f>
        <v>21.0</v>
      </c>
    </row>
    <row r="121">
      <c r="A121" s="27" t="s">
        <v>42</v>
      </c>
      <c r="B121" s="27" t="s">
        <v>407</v>
      </c>
      <c r="C121" s="27" t="s">
        <v>408</v>
      </c>
      <c r="D121" s="27" t="s">
        <v>409</v>
      </c>
      <c r="E121" s="28" t="s">
        <v>46</v>
      </c>
      <c r="F121" s="29" t="s">
        <v>46</v>
      </c>
      <c r="G121" s="30" t="s">
        <v>46</v>
      </c>
      <c r="H121" s="31"/>
      <c r="I121" s="31" t="s">
        <v>47</v>
      </c>
      <c r="J121" s="32" t="n">
        <v>10.0</v>
      </c>
      <c r="K121" s="33" t="n">
        <f>574</f>
        <v>574.0</v>
      </c>
      <c r="L121" s="34" t="s">
        <v>48</v>
      </c>
      <c r="M121" s="33" t="n">
        <f>608</f>
        <v>608.0</v>
      </c>
      <c r="N121" s="34" t="s">
        <v>49</v>
      </c>
      <c r="O121" s="33" t="n">
        <f>574</f>
        <v>574.0</v>
      </c>
      <c r="P121" s="34" t="s">
        <v>48</v>
      </c>
      <c r="Q121" s="33" t="n">
        <f>596</f>
        <v>596.0</v>
      </c>
      <c r="R121" s="34" t="s">
        <v>51</v>
      </c>
      <c r="S121" s="35" t="n">
        <f>589.67</f>
        <v>589.67</v>
      </c>
      <c r="T121" s="32" t="n">
        <f>10410</f>
        <v>10410.0</v>
      </c>
      <c r="U121" s="32" t="str">
        <f>"－"</f>
        <v>－</v>
      </c>
      <c r="V121" s="32" t="n">
        <f>6126930</f>
        <v>6126930.0</v>
      </c>
      <c r="W121" s="32" t="str">
        <f>"－"</f>
        <v>－</v>
      </c>
      <c r="X121" s="36" t="n">
        <f>18</f>
        <v>18.0</v>
      </c>
    </row>
    <row r="122">
      <c r="A122" s="27" t="s">
        <v>42</v>
      </c>
      <c r="B122" s="27" t="s">
        <v>410</v>
      </c>
      <c r="C122" s="27" t="s">
        <v>411</v>
      </c>
      <c r="D122" s="27" t="s">
        <v>412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1.0</v>
      </c>
      <c r="K122" s="33" t="n">
        <f>18650</f>
        <v>18650.0</v>
      </c>
      <c r="L122" s="34" t="s">
        <v>48</v>
      </c>
      <c r="M122" s="33" t="n">
        <f>19970</f>
        <v>19970.0</v>
      </c>
      <c r="N122" s="34" t="s">
        <v>49</v>
      </c>
      <c r="O122" s="33" t="n">
        <f>17870</f>
        <v>17870.0</v>
      </c>
      <c r="P122" s="34" t="s">
        <v>77</v>
      </c>
      <c r="Q122" s="33" t="n">
        <f>18150</f>
        <v>18150.0</v>
      </c>
      <c r="R122" s="34" t="s">
        <v>51</v>
      </c>
      <c r="S122" s="35" t="n">
        <f>18776.36</f>
        <v>18776.36</v>
      </c>
      <c r="T122" s="32" t="n">
        <f>46017</f>
        <v>46017.0</v>
      </c>
      <c r="U122" s="32" t="n">
        <f>27</f>
        <v>27.0</v>
      </c>
      <c r="V122" s="32" t="n">
        <f>864590818</f>
        <v>8.64590818E8</v>
      </c>
      <c r="W122" s="32" t="n">
        <f>505538</f>
        <v>505538.0</v>
      </c>
      <c r="X122" s="36" t="n">
        <f>22</f>
        <v>22.0</v>
      </c>
    </row>
    <row r="123">
      <c r="A123" s="27" t="s">
        <v>42</v>
      </c>
      <c r="B123" s="27" t="s">
        <v>413</v>
      </c>
      <c r="C123" s="27" t="s">
        <v>414</v>
      </c>
      <c r="D123" s="27" t="s">
        <v>415</v>
      </c>
      <c r="E123" s="28" t="s">
        <v>46</v>
      </c>
      <c r="F123" s="29" t="s">
        <v>46</v>
      </c>
      <c r="G123" s="30" t="s">
        <v>46</v>
      </c>
      <c r="H123" s="31"/>
      <c r="I123" s="31" t="s">
        <v>47</v>
      </c>
      <c r="J123" s="32" t="n">
        <v>1.0</v>
      </c>
      <c r="K123" s="33" t="n">
        <f>1764</f>
        <v>1764.0</v>
      </c>
      <c r="L123" s="34" t="s">
        <v>48</v>
      </c>
      <c r="M123" s="33" t="n">
        <f>1867</f>
        <v>1867.0</v>
      </c>
      <c r="N123" s="34" t="s">
        <v>73</v>
      </c>
      <c r="O123" s="33" t="n">
        <f>1733</f>
        <v>1733.0</v>
      </c>
      <c r="P123" s="34" t="s">
        <v>50</v>
      </c>
      <c r="Q123" s="33" t="n">
        <f>1807</f>
        <v>1807.0</v>
      </c>
      <c r="R123" s="34" t="s">
        <v>51</v>
      </c>
      <c r="S123" s="35" t="n">
        <f>1810.77</f>
        <v>1810.77</v>
      </c>
      <c r="T123" s="32" t="n">
        <f>214277</f>
        <v>214277.0</v>
      </c>
      <c r="U123" s="32" t="str">
        <f>"－"</f>
        <v>－</v>
      </c>
      <c r="V123" s="32" t="n">
        <f>383282159</f>
        <v>3.83282159E8</v>
      </c>
      <c r="W123" s="32" t="str">
        <f>"－"</f>
        <v>－</v>
      </c>
      <c r="X123" s="36" t="n">
        <f>22</f>
        <v>22.0</v>
      </c>
    </row>
    <row r="124">
      <c r="A124" s="27" t="s">
        <v>42</v>
      </c>
      <c r="B124" s="27" t="s">
        <v>416</v>
      </c>
      <c r="C124" s="27" t="s">
        <v>417</v>
      </c>
      <c r="D124" s="27" t="s">
        <v>418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10.0</v>
      </c>
      <c r="K124" s="33" t="n">
        <f>19700</f>
        <v>19700.0</v>
      </c>
      <c r="L124" s="34" t="s">
        <v>48</v>
      </c>
      <c r="M124" s="33" t="n">
        <f>21970</f>
        <v>21970.0</v>
      </c>
      <c r="N124" s="34" t="s">
        <v>49</v>
      </c>
      <c r="O124" s="33" t="n">
        <f>18840</f>
        <v>18840.0</v>
      </c>
      <c r="P124" s="34" t="s">
        <v>50</v>
      </c>
      <c r="Q124" s="33" t="n">
        <f>20170</f>
        <v>20170.0</v>
      </c>
      <c r="R124" s="34" t="s">
        <v>51</v>
      </c>
      <c r="S124" s="35" t="n">
        <f>20602.73</f>
        <v>20602.73</v>
      </c>
      <c r="T124" s="32" t="n">
        <f>15780830</f>
        <v>1.578083E7</v>
      </c>
      <c r="U124" s="32" t="n">
        <f>11490</f>
        <v>11490.0</v>
      </c>
      <c r="V124" s="32" t="n">
        <f>324807134463</f>
        <v>3.24807134463E11</v>
      </c>
      <c r="W124" s="32" t="n">
        <f>230812963</f>
        <v>2.30812963E8</v>
      </c>
      <c r="X124" s="36" t="n">
        <f>22</f>
        <v>22.0</v>
      </c>
    </row>
    <row r="125">
      <c r="A125" s="27" t="s">
        <v>42</v>
      </c>
      <c r="B125" s="27" t="s">
        <v>419</v>
      </c>
      <c r="C125" s="27" t="s">
        <v>420</v>
      </c>
      <c r="D125" s="27" t="s">
        <v>421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10.0</v>
      </c>
      <c r="K125" s="33" t="n">
        <f>3785</f>
        <v>3785.0</v>
      </c>
      <c r="L125" s="34" t="s">
        <v>48</v>
      </c>
      <c r="M125" s="33" t="n">
        <f>3850</f>
        <v>3850.0</v>
      </c>
      <c r="N125" s="34" t="s">
        <v>50</v>
      </c>
      <c r="O125" s="33" t="n">
        <f>3580</f>
        <v>3580.0</v>
      </c>
      <c r="P125" s="34" t="s">
        <v>73</v>
      </c>
      <c r="Q125" s="33" t="n">
        <f>3700</f>
        <v>3700.0</v>
      </c>
      <c r="R125" s="34" t="s">
        <v>51</v>
      </c>
      <c r="S125" s="35" t="n">
        <f>3680</f>
        <v>3680.0</v>
      </c>
      <c r="T125" s="32" t="n">
        <f>1013350</f>
        <v>1013350.0</v>
      </c>
      <c r="U125" s="32" t="n">
        <f>5110</f>
        <v>5110.0</v>
      </c>
      <c r="V125" s="32" t="n">
        <f>3740732863</f>
        <v>3.740732863E9</v>
      </c>
      <c r="W125" s="32" t="n">
        <f>19174713</f>
        <v>1.9174713E7</v>
      </c>
      <c r="X125" s="36" t="n">
        <f>22</f>
        <v>22.0</v>
      </c>
    </row>
    <row r="126">
      <c r="A126" s="27" t="s">
        <v>42</v>
      </c>
      <c r="B126" s="27" t="s">
        <v>422</v>
      </c>
      <c r="C126" s="27" t="s">
        <v>423</v>
      </c>
      <c r="D126" s="27" t="s">
        <v>424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10.0</v>
      </c>
      <c r="K126" s="33" t="n">
        <f>650</f>
        <v>650.0</v>
      </c>
      <c r="L126" s="34" t="s">
        <v>61</v>
      </c>
      <c r="M126" s="33" t="n">
        <f>670</f>
        <v>670.0</v>
      </c>
      <c r="N126" s="34" t="s">
        <v>73</v>
      </c>
      <c r="O126" s="33" t="n">
        <f>610</f>
        <v>610.0</v>
      </c>
      <c r="P126" s="34" t="s">
        <v>50</v>
      </c>
      <c r="Q126" s="33" t="n">
        <f>622</f>
        <v>622.0</v>
      </c>
      <c r="R126" s="34" t="s">
        <v>77</v>
      </c>
      <c r="S126" s="35" t="n">
        <f>647.91</f>
        <v>647.91</v>
      </c>
      <c r="T126" s="32" t="n">
        <f>1870</f>
        <v>1870.0</v>
      </c>
      <c r="U126" s="32" t="str">
        <f>"－"</f>
        <v>－</v>
      </c>
      <c r="V126" s="32" t="n">
        <f>1212910</f>
        <v>1212910.0</v>
      </c>
      <c r="W126" s="32" t="str">
        <f>"－"</f>
        <v>－</v>
      </c>
      <c r="X126" s="36" t="n">
        <f>11</f>
        <v>11.0</v>
      </c>
    </row>
    <row r="127">
      <c r="A127" s="27" t="s">
        <v>42</v>
      </c>
      <c r="B127" s="27" t="s">
        <v>425</v>
      </c>
      <c r="C127" s="27" t="s">
        <v>426</v>
      </c>
      <c r="D127" s="27" t="s">
        <v>427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10.0</v>
      </c>
      <c r="K127" s="33" t="n">
        <f>1239</f>
        <v>1239.0</v>
      </c>
      <c r="L127" s="34" t="s">
        <v>48</v>
      </c>
      <c r="M127" s="33" t="n">
        <f>1281</f>
        <v>1281.0</v>
      </c>
      <c r="N127" s="34" t="s">
        <v>69</v>
      </c>
      <c r="O127" s="33" t="n">
        <f>1226</f>
        <v>1226.0</v>
      </c>
      <c r="P127" s="34" t="s">
        <v>62</v>
      </c>
      <c r="Q127" s="33" t="n">
        <f>1247</f>
        <v>1247.0</v>
      </c>
      <c r="R127" s="34" t="s">
        <v>51</v>
      </c>
      <c r="S127" s="35" t="n">
        <f>1254.4</f>
        <v>1254.4</v>
      </c>
      <c r="T127" s="32" t="n">
        <f>710</f>
        <v>710.0</v>
      </c>
      <c r="U127" s="32" t="str">
        <f>"－"</f>
        <v>－</v>
      </c>
      <c r="V127" s="32" t="n">
        <f>893300</f>
        <v>893300.0</v>
      </c>
      <c r="W127" s="32" t="str">
        <f>"－"</f>
        <v>－</v>
      </c>
      <c r="X127" s="36" t="n">
        <f>10</f>
        <v>10.0</v>
      </c>
    </row>
    <row r="128">
      <c r="A128" s="27" t="s">
        <v>42</v>
      </c>
      <c r="B128" s="27" t="s">
        <v>428</v>
      </c>
      <c r="C128" s="27" t="s">
        <v>429</v>
      </c>
      <c r="D128" s="27" t="s">
        <v>430</v>
      </c>
      <c r="E128" s="28" t="s">
        <v>46</v>
      </c>
      <c r="F128" s="29" t="s">
        <v>46</v>
      </c>
      <c r="G128" s="30" t="s">
        <v>46</v>
      </c>
      <c r="H128" s="31"/>
      <c r="I128" s="31" t="s">
        <v>47</v>
      </c>
      <c r="J128" s="32" t="n">
        <v>1.0</v>
      </c>
      <c r="K128" s="33" t="n">
        <f>1346</f>
        <v>1346.0</v>
      </c>
      <c r="L128" s="34" t="s">
        <v>48</v>
      </c>
      <c r="M128" s="33" t="n">
        <f>1490</f>
        <v>1490.0</v>
      </c>
      <c r="N128" s="34" t="s">
        <v>61</v>
      </c>
      <c r="O128" s="33" t="n">
        <f>1346</f>
        <v>1346.0</v>
      </c>
      <c r="P128" s="34" t="s">
        <v>48</v>
      </c>
      <c r="Q128" s="33" t="n">
        <f>1414</f>
        <v>1414.0</v>
      </c>
      <c r="R128" s="34" t="s">
        <v>77</v>
      </c>
      <c r="S128" s="35" t="n">
        <f>1418.79</f>
        <v>1418.79</v>
      </c>
      <c r="T128" s="32" t="n">
        <f>672</f>
        <v>672.0</v>
      </c>
      <c r="U128" s="32" t="str">
        <f>"－"</f>
        <v>－</v>
      </c>
      <c r="V128" s="32" t="n">
        <f>963221</f>
        <v>963221.0</v>
      </c>
      <c r="W128" s="32" t="str">
        <f>"－"</f>
        <v>－</v>
      </c>
      <c r="X128" s="36" t="n">
        <f>14</f>
        <v>14.0</v>
      </c>
    </row>
    <row r="129">
      <c r="A129" s="27" t="s">
        <v>42</v>
      </c>
      <c r="B129" s="27" t="s">
        <v>431</v>
      </c>
      <c r="C129" s="27" t="s">
        <v>432</v>
      </c>
      <c r="D129" s="27" t="s">
        <v>433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1.0</v>
      </c>
      <c r="K129" s="33" t="n">
        <f>14130</f>
        <v>14130.0</v>
      </c>
      <c r="L129" s="34" t="s">
        <v>48</v>
      </c>
      <c r="M129" s="33" t="n">
        <f>14720</f>
        <v>14720.0</v>
      </c>
      <c r="N129" s="34" t="s">
        <v>49</v>
      </c>
      <c r="O129" s="33" t="n">
        <f>13820</f>
        <v>13820.0</v>
      </c>
      <c r="P129" s="34" t="s">
        <v>50</v>
      </c>
      <c r="Q129" s="33" t="n">
        <f>14030</f>
        <v>14030.0</v>
      </c>
      <c r="R129" s="34" t="s">
        <v>51</v>
      </c>
      <c r="S129" s="35" t="n">
        <f>14296.82</f>
        <v>14296.82</v>
      </c>
      <c r="T129" s="32" t="n">
        <f>258642</f>
        <v>258642.0</v>
      </c>
      <c r="U129" s="32" t="n">
        <f>130082</f>
        <v>130082.0</v>
      </c>
      <c r="V129" s="32" t="n">
        <f>3733776120</f>
        <v>3.73377612E9</v>
      </c>
      <c r="W129" s="32" t="n">
        <f>1882479050</f>
        <v>1.88247905E9</v>
      </c>
      <c r="X129" s="36" t="n">
        <f>22</f>
        <v>22.0</v>
      </c>
    </row>
    <row r="130">
      <c r="A130" s="27" t="s">
        <v>42</v>
      </c>
      <c r="B130" s="27" t="s">
        <v>434</v>
      </c>
      <c r="C130" s="27" t="s">
        <v>435</v>
      </c>
      <c r="D130" s="27" t="s">
        <v>436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1.0</v>
      </c>
      <c r="K130" s="33" t="n">
        <f>1303</f>
        <v>1303.0</v>
      </c>
      <c r="L130" s="34" t="s">
        <v>48</v>
      </c>
      <c r="M130" s="33" t="n">
        <f>1358</f>
        <v>1358.0</v>
      </c>
      <c r="N130" s="34" t="s">
        <v>73</v>
      </c>
      <c r="O130" s="33" t="n">
        <f>1276</f>
        <v>1276.0</v>
      </c>
      <c r="P130" s="34" t="s">
        <v>50</v>
      </c>
      <c r="Q130" s="33" t="n">
        <f>1294</f>
        <v>1294.0</v>
      </c>
      <c r="R130" s="34" t="s">
        <v>51</v>
      </c>
      <c r="S130" s="35" t="n">
        <f>1318.59</f>
        <v>1318.59</v>
      </c>
      <c r="T130" s="32" t="n">
        <f>538416</f>
        <v>538416.0</v>
      </c>
      <c r="U130" s="32" t="n">
        <f>17</f>
        <v>17.0</v>
      </c>
      <c r="V130" s="32" t="n">
        <f>709475331</f>
        <v>7.09475331E8</v>
      </c>
      <c r="W130" s="32" t="n">
        <f>22591</f>
        <v>22591.0</v>
      </c>
      <c r="X130" s="36" t="n">
        <f>22</f>
        <v>22.0</v>
      </c>
    </row>
    <row r="131">
      <c r="A131" s="27" t="s">
        <v>42</v>
      </c>
      <c r="B131" s="27" t="s">
        <v>437</v>
      </c>
      <c r="C131" s="27" t="s">
        <v>438</v>
      </c>
      <c r="D131" s="27" t="s">
        <v>439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1.0</v>
      </c>
      <c r="K131" s="33" t="n">
        <f>14500</f>
        <v>14500.0</v>
      </c>
      <c r="L131" s="34" t="s">
        <v>48</v>
      </c>
      <c r="M131" s="33" t="n">
        <f>15200</f>
        <v>15200.0</v>
      </c>
      <c r="N131" s="34" t="s">
        <v>73</v>
      </c>
      <c r="O131" s="33" t="n">
        <f>14260</f>
        <v>14260.0</v>
      </c>
      <c r="P131" s="34" t="s">
        <v>50</v>
      </c>
      <c r="Q131" s="33" t="n">
        <f>14530</f>
        <v>14530.0</v>
      </c>
      <c r="R131" s="34" t="s">
        <v>51</v>
      </c>
      <c r="S131" s="35" t="n">
        <f>14749.09</f>
        <v>14749.09</v>
      </c>
      <c r="T131" s="32" t="n">
        <f>29045</f>
        <v>29045.0</v>
      </c>
      <c r="U131" s="32" t="n">
        <f>13</f>
        <v>13.0</v>
      </c>
      <c r="V131" s="32" t="n">
        <f>427725120</f>
        <v>4.2772512E8</v>
      </c>
      <c r="W131" s="32" t="n">
        <f>189730</f>
        <v>189730.0</v>
      </c>
      <c r="X131" s="36" t="n">
        <f>22</f>
        <v>22.0</v>
      </c>
    </row>
    <row r="132">
      <c r="A132" s="27" t="s">
        <v>42</v>
      </c>
      <c r="B132" s="27" t="s">
        <v>440</v>
      </c>
      <c r="C132" s="27" t="s">
        <v>441</v>
      </c>
      <c r="D132" s="27" t="s">
        <v>442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10.0</v>
      </c>
      <c r="K132" s="33" t="n">
        <f>1722</f>
        <v>1722.0</v>
      </c>
      <c r="L132" s="34" t="s">
        <v>48</v>
      </c>
      <c r="M132" s="33" t="n">
        <f>1795</f>
        <v>1795.0</v>
      </c>
      <c r="N132" s="34" t="s">
        <v>49</v>
      </c>
      <c r="O132" s="33" t="n">
        <f>1666</f>
        <v>1666.0</v>
      </c>
      <c r="P132" s="34" t="s">
        <v>62</v>
      </c>
      <c r="Q132" s="33" t="n">
        <f>1698</f>
        <v>1698.0</v>
      </c>
      <c r="R132" s="34" t="s">
        <v>51</v>
      </c>
      <c r="S132" s="35" t="n">
        <f>1735</f>
        <v>1735.0</v>
      </c>
      <c r="T132" s="32" t="n">
        <f>1152420</f>
        <v>1152420.0</v>
      </c>
      <c r="U132" s="32" t="n">
        <f>380000</f>
        <v>380000.0</v>
      </c>
      <c r="V132" s="32" t="n">
        <f>1993354970</f>
        <v>1.99335497E9</v>
      </c>
      <c r="W132" s="32" t="n">
        <f>649168400</f>
        <v>6.491684E8</v>
      </c>
      <c r="X132" s="36" t="n">
        <f>22</f>
        <v>22.0</v>
      </c>
    </row>
    <row r="133">
      <c r="A133" s="27" t="s">
        <v>42</v>
      </c>
      <c r="B133" s="27" t="s">
        <v>443</v>
      </c>
      <c r="C133" s="27" t="s">
        <v>444</v>
      </c>
      <c r="D133" s="27" t="s">
        <v>445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10.0</v>
      </c>
      <c r="K133" s="33" t="n">
        <f>1388</f>
        <v>1388.0</v>
      </c>
      <c r="L133" s="34" t="s">
        <v>48</v>
      </c>
      <c r="M133" s="33" t="n">
        <f>1436</f>
        <v>1436.0</v>
      </c>
      <c r="N133" s="34" t="s">
        <v>69</v>
      </c>
      <c r="O133" s="33" t="n">
        <f>1387</f>
        <v>1387.0</v>
      </c>
      <c r="P133" s="34" t="s">
        <v>77</v>
      </c>
      <c r="Q133" s="33" t="n">
        <f>1387</f>
        <v>1387.0</v>
      </c>
      <c r="R133" s="34" t="s">
        <v>77</v>
      </c>
      <c r="S133" s="35" t="n">
        <f>1408.25</f>
        <v>1408.25</v>
      </c>
      <c r="T133" s="32" t="n">
        <f>80</f>
        <v>80.0</v>
      </c>
      <c r="U133" s="32" t="str">
        <f>"－"</f>
        <v>－</v>
      </c>
      <c r="V133" s="32" t="n">
        <f>112320</f>
        <v>112320.0</v>
      </c>
      <c r="W133" s="32" t="str">
        <f>"－"</f>
        <v>－</v>
      </c>
      <c r="X133" s="36" t="n">
        <f>4</f>
        <v>4.0</v>
      </c>
    </row>
    <row r="134">
      <c r="A134" s="27" t="s">
        <v>42</v>
      </c>
      <c r="B134" s="27" t="s">
        <v>446</v>
      </c>
      <c r="C134" s="27" t="s">
        <v>447</v>
      </c>
      <c r="D134" s="27" t="s">
        <v>448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10.0</v>
      </c>
      <c r="K134" s="33" t="n">
        <f>1736</f>
        <v>1736.0</v>
      </c>
      <c r="L134" s="34" t="s">
        <v>48</v>
      </c>
      <c r="M134" s="33" t="n">
        <f>1800</f>
        <v>1800.0</v>
      </c>
      <c r="N134" s="34" t="s">
        <v>61</v>
      </c>
      <c r="O134" s="33" t="n">
        <f>1669</f>
        <v>1669.0</v>
      </c>
      <c r="P134" s="34" t="s">
        <v>50</v>
      </c>
      <c r="Q134" s="33" t="n">
        <f>1703</f>
        <v>1703.0</v>
      </c>
      <c r="R134" s="34" t="s">
        <v>51</v>
      </c>
      <c r="S134" s="35" t="n">
        <f>1737.27</f>
        <v>1737.27</v>
      </c>
      <c r="T134" s="32" t="n">
        <f>633950</f>
        <v>633950.0</v>
      </c>
      <c r="U134" s="32" t="n">
        <f>99990</f>
        <v>99990.0</v>
      </c>
      <c r="V134" s="32" t="n">
        <f>1100414055</f>
        <v>1.100414055E9</v>
      </c>
      <c r="W134" s="32" t="n">
        <f>171541525</f>
        <v>1.71541525E8</v>
      </c>
      <c r="X134" s="36" t="n">
        <f>22</f>
        <v>22.0</v>
      </c>
    </row>
    <row r="135">
      <c r="A135" s="27" t="s">
        <v>42</v>
      </c>
      <c r="B135" s="27" t="s">
        <v>449</v>
      </c>
      <c r="C135" s="27" t="s">
        <v>450</v>
      </c>
      <c r="D135" s="27" t="s">
        <v>451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1.0</v>
      </c>
      <c r="K135" s="33" t="n">
        <f>15740</f>
        <v>15740.0</v>
      </c>
      <c r="L135" s="34" t="s">
        <v>90</v>
      </c>
      <c r="M135" s="33" t="n">
        <f>16000</f>
        <v>16000.0</v>
      </c>
      <c r="N135" s="34" t="s">
        <v>330</v>
      </c>
      <c r="O135" s="33" t="n">
        <f>15690</f>
        <v>15690.0</v>
      </c>
      <c r="P135" s="34" t="s">
        <v>104</v>
      </c>
      <c r="Q135" s="33" t="n">
        <f>15690</f>
        <v>15690.0</v>
      </c>
      <c r="R135" s="34" t="s">
        <v>104</v>
      </c>
      <c r="S135" s="35" t="n">
        <f>15834.29</f>
        <v>15834.29</v>
      </c>
      <c r="T135" s="32" t="n">
        <f>32</f>
        <v>32.0</v>
      </c>
      <c r="U135" s="32" t="str">
        <f>"－"</f>
        <v>－</v>
      </c>
      <c r="V135" s="32" t="n">
        <f>504760</f>
        <v>504760.0</v>
      </c>
      <c r="W135" s="32" t="str">
        <f>"－"</f>
        <v>－</v>
      </c>
      <c r="X135" s="36" t="n">
        <f>7</f>
        <v>7.0</v>
      </c>
    </row>
    <row r="136">
      <c r="A136" s="27" t="s">
        <v>42</v>
      </c>
      <c r="B136" s="27" t="s">
        <v>452</v>
      </c>
      <c r="C136" s="27" t="s">
        <v>453</v>
      </c>
      <c r="D136" s="27" t="s">
        <v>454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14410</f>
        <v>14410.0</v>
      </c>
      <c r="L136" s="34" t="s">
        <v>48</v>
      </c>
      <c r="M136" s="33" t="n">
        <f>15200</f>
        <v>15200.0</v>
      </c>
      <c r="N136" s="34" t="s">
        <v>62</v>
      </c>
      <c r="O136" s="33" t="n">
        <f>14200</f>
        <v>14200.0</v>
      </c>
      <c r="P136" s="34" t="s">
        <v>50</v>
      </c>
      <c r="Q136" s="33" t="n">
        <f>14400</f>
        <v>14400.0</v>
      </c>
      <c r="R136" s="34" t="s">
        <v>51</v>
      </c>
      <c r="S136" s="35" t="n">
        <f>14653.64</f>
        <v>14653.64</v>
      </c>
      <c r="T136" s="32" t="n">
        <f>3203</f>
        <v>3203.0</v>
      </c>
      <c r="U136" s="32" t="str">
        <f>"－"</f>
        <v>－</v>
      </c>
      <c r="V136" s="32" t="n">
        <f>47162450</f>
        <v>4.716245E7</v>
      </c>
      <c r="W136" s="32" t="str">
        <f>"－"</f>
        <v>－</v>
      </c>
      <c r="X136" s="36" t="n">
        <f>22</f>
        <v>22.0</v>
      </c>
    </row>
    <row r="137">
      <c r="A137" s="27" t="s">
        <v>42</v>
      </c>
      <c r="B137" s="27" t="s">
        <v>455</v>
      </c>
      <c r="C137" s="27" t="s">
        <v>456</v>
      </c>
      <c r="D137" s="27" t="s">
        <v>457</v>
      </c>
      <c r="E137" s="28" t="s">
        <v>458</v>
      </c>
      <c r="F137" s="29" t="s">
        <v>459</v>
      </c>
      <c r="G137" s="30" t="s">
        <v>460</v>
      </c>
      <c r="H137" s="31" t="s">
        <v>461</v>
      </c>
      <c r="I137" s="31"/>
      <c r="J137" s="32" t="n">
        <v>10.0</v>
      </c>
      <c r="K137" s="33" t="n">
        <f>2331</f>
        <v>2331.0</v>
      </c>
      <c r="L137" s="34" t="s">
        <v>48</v>
      </c>
      <c r="M137" s="33" t="n">
        <f>2505</f>
        <v>2505.0</v>
      </c>
      <c r="N137" s="34" t="s">
        <v>330</v>
      </c>
      <c r="O137" s="33" t="n">
        <f>2331</f>
        <v>2331.0</v>
      </c>
      <c r="P137" s="34" t="s">
        <v>48</v>
      </c>
      <c r="Q137" s="33" t="n">
        <f>2500</f>
        <v>2500.0</v>
      </c>
      <c r="R137" s="34" t="s">
        <v>62</v>
      </c>
      <c r="S137" s="35" t="n">
        <f>2423.7</f>
        <v>2423.7</v>
      </c>
      <c r="T137" s="32" t="n">
        <f>14980</f>
        <v>14980.0</v>
      </c>
      <c r="U137" s="32" t="str">
        <f>"－"</f>
        <v>－</v>
      </c>
      <c r="V137" s="32" t="n">
        <f>36615060</f>
        <v>3.661506E7</v>
      </c>
      <c r="W137" s="32" t="str">
        <f>"－"</f>
        <v>－</v>
      </c>
      <c r="X137" s="36" t="n">
        <f>10</f>
        <v>10.0</v>
      </c>
    </row>
    <row r="138">
      <c r="A138" s="27" t="s">
        <v>42</v>
      </c>
      <c r="B138" s="27" t="s">
        <v>462</v>
      </c>
      <c r="C138" s="27" t="s">
        <v>463</v>
      </c>
      <c r="D138" s="27" t="s">
        <v>464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100.0</v>
      </c>
      <c r="K138" s="33" t="n">
        <f>126</f>
        <v>126.0</v>
      </c>
      <c r="L138" s="34" t="s">
        <v>48</v>
      </c>
      <c r="M138" s="33" t="n">
        <f>138</f>
        <v>138.0</v>
      </c>
      <c r="N138" s="34" t="s">
        <v>49</v>
      </c>
      <c r="O138" s="33" t="n">
        <f>122</f>
        <v>122.0</v>
      </c>
      <c r="P138" s="34" t="s">
        <v>298</v>
      </c>
      <c r="Q138" s="33" t="n">
        <f>124</f>
        <v>124.0</v>
      </c>
      <c r="R138" s="34" t="s">
        <v>51</v>
      </c>
      <c r="S138" s="35" t="n">
        <f>128.05</f>
        <v>128.05</v>
      </c>
      <c r="T138" s="32" t="n">
        <f>24512000</f>
        <v>2.4512E7</v>
      </c>
      <c r="U138" s="32" t="n">
        <f>18400</f>
        <v>18400.0</v>
      </c>
      <c r="V138" s="32" t="n">
        <f>3141698600</f>
        <v>3.1416986E9</v>
      </c>
      <c r="W138" s="32" t="n">
        <f>2306700</f>
        <v>2306700.0</v>
      </c>
      <c r="X138" s="36" t="n">
        <f>22</f>
        <v>22.0</v>
      </c>
    </row>
    <row r="139">
      <c r="A139" s="27" t="s">
        <v>42</v>
      </c>
      <c r="B139" s="27" t="s">
        <v>465</v>
      </c>
      <c r="C139" s="27" t="s">
        <v>466</v>
      </c>
      <c r="D139" s="27" t="s">
        <v>467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27230</f>
        <v>27230.0</v>
      </c>
      <c r="L139" s="34" t="s">
        <v>48</v>
      </c>
      <c r="M139" s="33" t="n">
        <f>28170</f>
        <v>28170.0</v>
      </c>
      <c r="N139" s="34" t="s">
        <v>49</v>
      </c>
      <c r="O139" s="33" t="n">
        <f>26760</f>
        <v>26760.0</v>
      </c>
      <c r="P139" s="34" t="s">
        <v>77</v>
      </c>
      <c r="Q139" s="33" t="n">
        <f>26980</f>
        <v>26980.0</v>
      </c>
      <c r="R139" s="34" t="s">
        <v>51</v>
      </c>
      <c r="S139" s="35" t="n">
        <f>27375.24</f>
        <v>27375.24</v>
      </c>
      <c r="T139" s="32" t="n">
        <f>5054</f>
        <v>5054.0</v>
      </c>
      <c r="U139" s="32" t="str">
        <f>"－"</f>
        <v>－</v>
      </c>
      <c r="V139" s="32" t="n">
        <f>138813490</f>
        <v>1.3881349E8</v>
      </c>
      <c r="W139" s="32" t="str">
        <f>"－"</f>
        <v>－</v>
      </c>
      <c r="X139" s="36" t="n">
        <f>21</f>
        <v>21.0</v>
      </c>
    </row>
    <row r="140">
      <c r="A140" s="27" t="s">
        <v>42</v>
      </c>
      <c r="B140" s="27" t="s">
        <v>468</v>
      </c>
      <c r="C140" s="27" t="s">
        <v>469</v>
      </c>
      <c r="D140" s="27" t="s">
        <v>470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9090</f>
        <v>9090.0</v>
      </c>
      <c r="L140" s="34" t="s">
        <v>48</v>
      </c>
      <c r="M140" s="33" t="n">
        <f>9700</f>
        <v>9700.0</v>
      </c>
      <c r="N140" s="34" t="s">
        <v>73</v>
      </c>
      <c r="O140" s="33" t="n">
        <f>8480</f>
        <v>8480.0</v>
      </c>
      <c r="P140" s="34" t="s">
        <v>62</v>
      </c>
      <c r="Q140" s="33" t="n">
        <f>8700</f>
        <v>8700.0</v>
      </c>
      <c r="R140" s="34" t="s">
        <v>51</v>
      </c>
      <c r="S140" s="35" t="n">
        <f>9011.82</f>
        <v>9011.82</v>
      </c>
      <c r="T140" s="32" t="n">
        <f>4658</f>
        <v>4658.0</v>
      </c>
      <c r="U140" s="32" t="n">
        <f>3</f>
        <v>3.0</v>
      </c>
      <c r="V140" s="32" t="n">
        <f>42380730</f>
        <v>4.238073E7</v>
      </c>
      <c r="W140" s="32" t="n">
        <f>26580</f>
        <v>26580.0</v>
      </c>
      <c r="X140" s="36" t="n">
        <f>22</f>
        <v>22.0</v>
      </c>
    </row>
    <row r="141">
      <c r="A141" s="27" t="s">
        <v>42</v>
      </c>
      <c r="B141" s="27" t="s">
        <v>471</v>
      </c>
      <c r="C141" s="27" t="s">
        <v>472</v>
      </c>
      <c r="D141" s="27" t="s">
        <v>473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1.0</v>
      </c>
      <c r="K141" s="33" t="n">
        <f>19130</f>
        <v>19130.0</v>
      </c>
      <c r="L141" s="34" t="s">
        <v>48</v>
      </c>
      <c r="M141" s="33" t="n">
        <f>20210</f>
        <v>20210.0</v>
      </c>
      <c r="N141" s="34" t="s">
        <v>49</v>
      </c>
      <c r="O141" s="33" t="n">
        <f>18590</f>
        <v>18590.0</v>
      </c>
      <c r="P141" s="34" t="s">
        <v>298</v>
      </c>
      <c r="Q141" s="33" t="n">
        <f>19060</f>
        <v>19060.0</v>
      </c>
      <c r="R141" s="34" t="s">
        <v>51</v>
      </c>
      <c r="S141" s="35" t="n">
        <f>19356.36</f>
        <v>19356.36</v>
      </c>
      <c r="T141" s="32" t="n">
        <f>1309</f>
        <v>1309.0</v>
      </c>
      <c r="U141" s="32" t="n">
        <f>2</f>
        <v>2.0</v>
      </c>
      <c r="V141" s="32" t="n">
        <f>25429720</f>
        <v>2.542972E7</v>
      </c>
      <c r="W141" s="32" t="n">
        <f>37340</f>
        <v>37340.0</v>
      </c>
      <c r="X141" s="36" t="n">
        <f>22</f>
        <v>22.0</v>
      </c>
    </row>
    <row r="142">
      <c r="A142" s="27" t="s">
        <v>42</v>
      </c>
      <c r="B142" s="27" t="s">
        <v>474</v>
      </c>
      <c r="C142" s="27" t="s">
        <v>475</v>
      </c>
      <c r="D142" s="27" t="s">
        <v>476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1.0</v>
      </c>
      <c r="K142" s="33" t="n">
        <f>23030</f>
        <v>23030.0</v>
      </c>
      <c r="L142" s="34" t="s">
        <v>48</v>
      </c>
      <c r="M142" s="33" t="n">
        <f>23920</f>
        <v>23920.0</v>
      </c>
      <c r="N142" s="34" t="s">
        <v>73</v>
      </c>
      <c r="O142" s="33" t="n">
        <f>22740</f>
        <v>22740.0</v>
      </c>
      <c r="P142" s="34" t="s">
        <v>50</v>
      </c>
      <c r="Q142" s="33" t="n">
        <f>23160</f>
        <v>23160.0</v>
      </c>
      <c r="R142" s="34" t="s">
        <v>51</v>
      </c>
      <c r="S142" s="35" t="n">
        <f>23360.59</f>
        <v>23360.59</v>
      </c>
      <c r="T142" s="32" t="n">
        <f>948</f>
        <v>948.0</v>
      </c>
      <c r="U142" s="32" t="str">
        <f>"－"</f>
        <v>－</v>
      </c>
      <c r="V142" s="32" t="n">
        <f>22353780</f>
        <v>2.235378E7</v>
      </c>
      <c r="W142" s="32" t="str">
        <f>"－"</f>
        <v>－</v>
      </c>
      <c r="X142" s="36" t="n">
        <f>17</f>
        <v>17.0</v>
      </c>
    </row>
    <row r="143">
      <c r="A143" s="27" t="s">
        <v>42</v>
      </c>
      <c r="B143" s="27" t="s">
        <v>477</v>
      </c>
      <c r="C143" s="27" t="s">
        <v>478</v>
      </c>
      <c r="D143" s="27" t="s">
        <v>479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1.0</v>
      </c>
      <c r="K143" s="33" t="n">
        <f>26930</f>
        <v>26930.0</v>
      </c>
      <c r="L143" s="34" t="s">
        <v>48</v>
      </c>
      <c r="M143" s="33" t="n">
        <f>26930</f>
        <v>26930.0</v>
      </c>
      <c r="N143" s="34" t="s">
        <v>48</v>
      </c>
      <c r="O143" s="33" t="n">
        <f>24500</f>
        <v>24500.0</v>
      </c>
      <c r="P143" s="34" t="s">
        <v>62</v>
      </c>
      <c r="Q143" s="33" t="n">
        <f>26100</f>
        <v>26100.0</v>
      </c>
      <c r="R143" s="34" t="s">
        <v>51</v>
      </c>
      <c r="S143" s="35" t="n">
        <f>26358.64</f>
        <v>26358.64</v>
      </c>
      <c r="T143" s="32" t="n">
        <f>4273</f>
        <v>4273.0</v>
      </c>
      <c r="U143" s="32" t="n">
        <f>4</f>
        <v>4.0</v>
      </c>
      <c r="V143" s="32" t="n">
        <f>112311230</f>
        <v>1.1231123E8</v>
      </c>
      <c r="W143" s="32" t="n">
        <f>106610</f>
        <v>106610.0</v>
      </c>
      <c r="X143" s="36" t="n">
        <f>22</f>
        <v>22.0</v>
      </c>
    </row>
    <row r="144">
      <c r="A144" s="27" t="s">
        <v>42</v>
      </c>
      <c r="B144" s="27" t="s">
        <v>480</v>
      </c>
      <c r="C144" s="27" t="s">
        <v>481</v>
      </c>
      <c r="D144" s="27" t="s">
        <v>482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1.0</v>
      </c>
      <c r="K144" s="33" t="n">
        <f>17770</f>
        <v>17770.0</v>
      </c>
      <c r="L144" s="34" t="s">
        <v>48</v>
      </c>
      <c r="M144" s="33" t="n">
        <f>19160</f>
        <v>19160.0</v>
      </c>
      <c r="N144" s="34" t="s">
        <v>73</v>
      </c>
      <c r="O144" s="33" t="n">
        <f>17530</f>
        <v>17530.0</v>
      </c>
      <c r="P144" s="34" t="s">
        <v>77</v>
      </c>
      <c r="Q144" s="33" t="n">
        <f>17640</f>
        <v>17640.0</v>
      </c>
      <c r="R144" s="34" t="s">
        <v>51</v>
      </c>
      <c r="S144" s="35" t="n">
        <f>18210.45</f>
        <v>18210.45</v>
      </c>
      <c r="T144" s="32" t="n">
        <f>2581</f>
        <v>2581.0</v>
      </c>
      <c r="U144" s="32" t="str">
        <f>"－"</f>
        <v>－</v>
      </c>
      <c r="V144" s="32" t="n">
        <f>46917360</f>
        <v>4.691736E7</v>
      </c>
      <c r="W144" s="32" t="str">
        <f>"－"</f>
        <v>－</v>
      </c>
      <c r="X144" s="36" t="n">
        <f>22</f>
        <v>22.0</v>
      </c>
    </row>
    <row r="145">
      <c r="A145" s="27" t="s">
        <v>42</v>
      </c>
      <c r="B145" s="27" t="s">
        <v>483</v>
      </c>
      <c r="C145" s="27" t="s">
        <v>484</v>
      </c>
      <c r="D145" s="27" t="s">
        <v>485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1.0</v>
      </c>
      <c r="K145" s="33" t="n">
        <f>10650</f>
        <v>10650.0</v>
      </c>
      <c r="L145" s="34" t="s">
        <v>48</v>
      </c>
      <c r="M145" s="33" t="n">
        <f>11950</f>
        <v>11950.0</v>
      </c>
      <c r="N145" s="34" t="s">
        <v>49</v>
      </c>
      <c r="O145" s="33" t="n">
        <f>10510</f>
        <v>10510.0</v>
      </c>
      <c r="P145" s="34" t="s">
        <v>77</v>
      </c>
      <c r="Q145" s="33" t="n">
        <f>10670</f>
        <v>10670.0</v>
      </c>
      <c r="R145" s="34" t="s">
        <v>51</v>
      </c>
      <c r="S145" s="35" t="n">
        <f>11149.55</f>
        <v>11149.55</v>
      </c>
      <c r="T145" s="32" t="n">
        <f>8611</f>
        <v>8611.0</v>
      </c>
      <c r="U145" s="32" t="n">
        <f>1</f>
        <v>1.0</v>
      </c>
      <c r="V145" s="32" t="n">
        <f>96241800</f>
        <v>9.62418E7</v>
      </c>
      <c r="W145" s="32" t="n">
        <f>11110</f>
        <v>11110.0</v>
      </c>
      <c r="X145" s="36" t="n">
        <f>22</f>
        <v>22.0</v>
      </c>
    </row>
    <row r="146">
      <c r="A146" s="27" t="s">
        <v>42</v>
      </c>
      <c r="B146" s="27" t="s">
        <v>486</v>
      </c>
      <c r="C146" s="27" t="s">
        <v>487</v>
      </c>
      <c r="D146" s="27" t="s">
        <v>488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1.0</v>
      </c>
      <c r="K146" s="33" t="n">
        <f>31700</f>
        <v>31700.0</v>
      </c>
      <c r="L146" s="34" t="s">
        <v>48</v>
      </c>
      <c r="M146" s="33" t="n">
        <f>33400</f>
        <v>33400.0</v>
      </c>
      <c r="N146" s="34" t="s">
        <v>49</v>
      </c>
      <c r="O146" s="33" t="n">
        <f>31400</f>
        <v>31400.0</v>
      </c>
      <c r="P146" s="34" t="s">
        <v>50</v>
      </c>
      <c r="Q146" s="33" t="n">
        <f>32300</f>
        <v>32300.0</v>
      </c>
      <c r="R146" s="34" t="s">
        <v>77</v>
      </c>
      <c r="S146" s="35" t="n">
        <f>32463.33</f>
        <v>32463.33</v>
      </c>
      <c r="T146" s="32" t="n">
        <f>139</f>
        <v>139.0</v>
      </c>
      <c r="U146" s="32" t="str">
        <f>"－"</f>
        <v>－</v>
      </c>
      <c r="V146" s="32" t="n">
        <f>4520650</f>
        <v>4520650.0</v>
      </c>
      <c r="W146" s="32" t="str">
        <f>"－"</f>
        <v>－</v>
      </c>
      <c r="X146" s="36" t="n">
        <f>15</f>
        <v>15.0</v>
      </c>
    </row>
    <row r="147">
      <c r="A147" s="27" t="s">
        <v>42</v>
      </c>
      <c r="B147" s="27" t="s">
        <v>489</v>
      </c>
      <c r="C147" s="27" t="s">
        <v>490</v>
      </c>
      <c r="D147" s="27" t="s">
        <v>491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1.0</v>
      </c>
      <c r="K147" s="33" t="n">
        <f>20000</f>
        <v>20000.0</v>
      </c>
      <c r="L147" s="34" t="s">
        <v>48</v>
      </c>
      <c r="M147" s="33" t="n">
        <f>21050</f>
        <v>21050.0</v>
      </c>
      <c r="N147" s="34" t="s">
        <v>69</v>
      </c>
      <c r="O147" s="33" t="n">
        <f>19740</f>
        <v>19740.0</v>
      </c>
      <c r="P147" s="34" t="s">
        <v>50</v>
      </c>
      <c r="Q147" s="33" t="n">
        <f>20710</f>
        <v>20710.0</v>
      </c>
      <c r="R147" s="34" t="s">
        <v>51</v>
      </c>
      <c r="S147" s="35" t="n">
        <f>20616.82</f>
        <v>20616.82</v>
      </c>
      <c r="T147" s="32" t="n">
        <f>353</f>
        <v>353.0</v>
      </c>
      <c r="U147" s="32" t="str">
        <f>"－"</f>
        <v>－</v>
      </c>
      <c r="V147" s="32" t="n">
        <f>7252140</f>
        <v>7252140.0</v>
      </c>
      <c r="W147" s="32" t="str">
        <f>"－"</f>
        <v>－</v>
      </c>
      <c r="X147" s="36" t="n">
        <f>22</f>
        <v>22.0</v>
      </c>
    </row>
    <row r="148">
      <c r="A148" s="27" t="s">
        <v>42</v>
      </c>
      <c r="B148" s="27" t="s">
        <v>492</v>
      </c>
      <c r="C148" s="27" t="s">
        <v>493</v>
      </c>
      <c r="D148" s="27" t="s">
        <v>494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1.0</v>
      </c>
      <c r="K148" s="33" t="n">
        <f>23660</f>
        <v>23660.0</v>
      </c>
      <c r="L148" s="34" t="s">
        <v>48</v>
      </c>
      <c r="M148" s="33" t="n">
        <f>24600</f>
        <v>24600.0</v>
      </c>
      <c r="N148" s="34" t="s">
        <v>184</v>
      </c>
      <c r="O148" s="33" t="n">
        <f>23490</f>
        <v>23490.0</v>
      </c>
      <c r="P148" s="34" t="s">
        <v>62</v>
      </c>
      <c r="Q148" s="33" t="n">
        <f>23970</f>
        <v>23970.0</v>
      </c>
      <c r="R148" s="34" t="s">
        <v>51</v>
      </c>
      <c r="S148" s="35" t="n">
        <f>24135.45</f>
        <v>24135.45</v>
      </c>
      <c r="T148" s="32" t="n">
        <f>3000</f>
        <v>3000.0</v>
      </c>
      <c r="U148" s="32" t="str">
        <f>"－"</f>
        <v>－</v>
      </c>
      <c r="V148" s="32" t="n">
        <f>72435140</f>
        <v>7.243514E7</v>
      </c>
      <c r="W148" s="32" t="str">
        <f>"－"</f>
        <v>－</v>
      </c>
      <c r="X148" s="36" t="n">
        <f>22</f>
        <v>22.0</v>
      </c>
    </row>
    <row r="149">
      <c r="A149" s="27" t="s">
        <v>42</v>
      </c>
      <c r="B149" s="27" t="s">
        <v>495</v>
      </c>
      <c r="C149" s="27" t="s">
        <v>496</v>
      </c>
      <c r="D149" s="27" t="s">
        <v>497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1.0</v>
      </c>
      <c r="K149" s="33" t="n">
        <f>6630</f>
        <v>6630.0</v>
      </c>
      <c r="L149" s="34" t="s">
        <v>48</v>
      </c>
      <c r="M149" s="33" t="n">
        <f>6760</f>
        <v>6760.0</v>
      </c>
      <c r="N149" s="34" t="s">
        <v>285</v>
      </c>
      <c r="O149" s="33" t="n">
        <f>6340</f>
        <v>6340.0</v>
      </c>
      <c r="P149" s="34" t="s">
        <v>298</v>
      </c>
      <c r="Q149" s="33" t="n">
        <f>6420</f>
        <v>6420.0</v>
      </c>
      <c r="R149" s="34" t="s">
        <v>51</v>
      </c>
      <c r="S149" s="35" t="n">
        <f>6539.09</f>
        <v>6539.09</v>
      </c>
      <c r="T149" s="32" t="n">
        <f>4448</f>
        <v>4448.0</v>
      </c>
      <c r="U149" s="32" t="str">
        <f>"－"</f>
        <v>－</v>
      </c>
      <c r="V149" s="32" t="n">
        <f>28972810</f>
        <v>2.897281E7</v>
      </c>
      <c r="W149" s="32" t="str">
        <f>"－"</f>
        <v>－</v>
      </c>
      <c r="X149" s="36" t="n">
        <f>22</f>
        <v>22.0</v>
      </c>
    </row>
    <row r="150">
      <c r="A150" s="27" t="s">
        <v>42</v>
      </c>
      <c r="B150" s="27" t="s">
        <v>498</v>
      </c>
      <c r="C150" s="27" t="s">
        <v>499</v>
      </c>
      <c r="D150" s="27" t="s">
        <v>500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1.0</v>
      </c>
      <c r="K150" s="33" t="n">
        <f>16170</f>
        <v>16170.0</v>
      </c>
      <c r="L150" s="34" t="s">
        <v>48</v>
      </c>
      <c r="M150" s="33" t="n">
        <f>16560</f>
        <v>16560.0</v>
      </c>
      <c r="N150" s="34" t="s">
        <v>49</v>
      </c>
      <c r="O150" s="33" t="n">
        <f>14960</f>
        <v>14960.0</v>
      </c>
      <c r="P150" s="34" t="s">
        <v>77</v>
      </c>
      <c r="Q150" s="33" t="n">
        <f>15050</f>
        <v>15050.0</v>
      </c>
      <c r="R150" s="34" t="s">
        <v>51</v>
      </c>
      <c r="S150" s="35" t="n">
        <f>15725.91</f>
        <v>15725.91</v>
      </c>
      <c r="T150" s="32" t="n">
        <f>3498</f>
        <v>3498.0</v>
      </c>
      <c r="U150" s="32" t="str">
        <f>"－"</f>
        <v>－</v>
      </c>
      <c r="V150" s="32" t="n">
        <f>55683520</f>
        <v>5.568352E7</v>
      </c>
      <c r="W150" s="32" t="str">
        <f>"－"</f>
        <v>－</v>
      </c>
      <c r="X150" s="36" t="n">
        <f>22</f>
        <v>22.0</v>
      </c>
    </row>
    <row r="151">
      <c r="A151" s="27" t="s">
        <v>42</v>
      </c>
      <c r="B151" s="27" t="s">
        <v>501</v>
      </c>
      <c r="C151" s="27" t="s">
        <v>502</v>
      </c>
      <c r="D151" s="27" t="s">
        <v>503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1.0</v>
      </c>
      <c r="K151" s="33" t="n">
        <f>31000</f>
        <v>31000.0</v>
      </c>
      <c r="L151" s="34" t="s">
        <v>48</v>
      </c>
      <c r="M151" s="33" t="n">
        <f>32250</f>
        <v>32250.0</v>
      </c>
      <c r="N151" s="34" t="s">
        <v>73</v>
      </c>
      <c r="O151" s="33" t="n">
        <f>29770</f>
        <v>29770.0</v>
      </c>
      <c r="P151" s="34" t="s">
        <v>298</v>
      </c>
      <c r="Q151" s="33" t="n">
        <f>30200</f>
        <v>30200.0</v>
      </c>
      <c r="R151" s="34" t="s">
        <v>51</v>
      </c>
      <c r="S151" s="35" t="n">
        <f>30966.19</f>
        <v>30966.19</v>
      </c>
      <c r="T151" s="32" t="n">
        <f>595</f>
        <v>595.0</v>
      </c>
      <c r="U151" s="32" t="str">
        <f>"－"</f>
        <v>－</v>
      </c>
      <c r="V151" s="32" t="n">
        <f>18375210</f>
        <v>1.837521E7</v>
      </c>
      <c r="W151" s="32" t="str">
        <f>"－"</f>
        <v>－</v>
      </c>
      <c r="X151" s="36" t="n">
        <f>21</f>
        <v>21.0</v>
      </c>
    </row>
    <row r="152">
      <c r="A152" s="27" t="s">
        <v>42</v>
      </c>
      <c r="B152" s="27" t="s">
        <v>504</v>
      </c>
      <c r="C152" s="27" t="s">
        <v>505</v>
      </c>
      <c r="D152" s="27" t="s">
        <v>506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1.0</v>
      </c>
      <c r="K152" s="33" t="n">
        <f>20210</f>
        <v>20210.0</v>
      </c>
      <c r="L152" s="34" t="s">
        <v>48</v>
      </c>
      <c r="M152" s="33" t="n">
        <f>20760</f>
        <v>20760.0</v>
      </c>
      <c r="N152" s="34" t="s">
        <v>49</v>
      </c>
      <c r="O152" s="33" t="n">
        <f>20010</f>
        <v>20010.0</v>
      </c>
      <c r="P152" s="34" t="s">
        <v>62</v>
      </c>
      <c r="Q152" s="33" t="n">
        <f>20460</f>
        <v>20460.0</v>
      </c>
      <c r="R152" s="34" t="s">
        <v>51</v>
      </c>
      <c r="S152" s="35" t="n">
        <f>20470.63</f>
        <v>20470.63</v>
      </c>
      <c r="T152" s="32" t="n">
        <f>44</f>
        <v>44.0</v>
      </c>
      <c r="U152" s="32" t="str">
        <f>"－"</f>
        <v>－</v>
      </c>
      <c r="V152" s="32" t="n">
        <f>899390</f>
        <v>899390.0</v>
      </c>
      <c r="W152" s="32" t="str">
        <f>"－"</f>
        <v>－</v>
      </c>
      <c r="X152" s="36" t="n">
        <f>16</f>
        <v>16.0</v>
      </c>
    </row>
    <row r="153">
      <c r="A153" s="27" t="s">
        <v>42</v>
      </c>
      <c r="B153" s="27" t="s">
        <v>507</v>
      </c>
      <c r="C153" s="27" t="s">
        <v>508</v>
      </c>
      <c r="D153" s="27" t="s">
        <v>509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1.0</v>
      </c>
      <c r="K153" s="33" t="n">
        <f>7190</f>
        <v>7190.0</v>
      </c>
      <c r="L153" s="34" t="s">
        <v>48</v>
      </c>
      <c r="M153" s="33" t="n">
        <f>7860</f>
        <v>7860.0</v>
      </c>
      <c r="N153" s="34" t="s">
        <v>49</v>
      </c>
      <c r="O153" s="33" t="n">
        <f>6950</f>
        <v>6950.0</v>
      </c>
      <c r="P153" s="34" t="s">
        <v>77</v>
      </c>
      <c r="Q153" s="33" t="n">
        <f>6960</f>
        <v>6960.0</v>
      </c>
      <c r="R153" s="34" t="s">
        <v>51</v>
      </c>
      <c r="S153" s="35" t="n">
        <f>7250.91</f>
        <v>7250.91</v>
      </c>
      <c r="T153" s="32" t="n">
        <f>13675</f>
        <v>13675.0</v>
      </c>
      <c r="U153" s="32" t="str">
        <f>"－"</f>
        <v>－</v>
      </c>
      <c r="V153" s="32" t="n">
        <f>99067120</f>
        <v>9.906712E7</v>
      </c>
      <c r="W153" s="32" t="str">
        <f>"－"</f>
        <v>－</v>
      </c>
      <c r="X153" s="36" t="n">
        <f>22</f>
        <v>22.0</v>
      </c>
    </row>
    <row r="154">
      <c r="A154" s="27" t="s">
        <v>42</v>
      </c>
      <c r="B154" s="27" t="s">
        <v>510</v>
      </c>
      <c r="C154" s="27" t="s">
        <v>511</v>
      </c>
      <c r="D154" s="27" t="s">
        <v>512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1.0</v>
      </c>
      <c r="K154" s="33" t="n">
        <f>10890</f>
        <v>10890.0</v>
      </c>
      <c r="L154" s="34" t="s">
        <v>48</v>
      </c>
      <c r="M154" s="33" t="n">
        <f>12180</f>
        <v>12180.0</v>
      </c>
      <c r="N154" s="34" t="s">
        <v>73</v>
      </c>
      <c r="O154" s="33" t="n">
        <f>10650</f>
        <v>10650.0</v>
      </c>
      <c r="P154" s="34" t="s">
        <v>77</v>
      </c>
      <c r="Q154" s="33" t="n">
        <f>10860</f>
        <v>10860.0</v>
      </c>
      <c r="R154" s="34" t="s">
        <v>51</v>
      </c>
      <c r="S154" s="35" t="n">
        <f>11027.73</f>
        <v>11027.73</v>
      </c>
      <c r="T154" s="32" t="n">
        <f>1014</f>
        <v>1014.0</v>
      </c>
      <c r="U154" s="32" t="str">
        <f>"－"</f>
        <v>－</v>
      </c>
      <c r="V154" s="32" t="n">
        <f>11174440</f>
        <v>1.117444E7</v>
      </c>
      <c r="W154" s="32" t="str">
        <f>"－"</f>
        <v>－</v>
      </c>
      <c r="X154" s="36" t="n">
        <f>22</f>
        <v>22.0</v>
      </c>
    </row>
    <row r="155">
      <c r="A155" s="27" t="s">
        <v>42</v>
      </c>
      <c r="B155" s="27" t="s">
        <v>513</v>
      </c>
      <c r="C155" s="27" t="s">
        <v>514</v>
      </c>
      <c r="D155" s="27" t="s">
        <v>515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1.0</v>
      </c>
      <c r="K155" s="33" t="n">
        <f>25010</f>
        <v>25010.0</v>
      </c>
      <c r="L155" s="34" t="s">
        <v>48</v>
      </c>
      <c r="M155" s="33" t="n">
        <f>27480</f>
        <v>27480.0</v>
      </c>
      <c r="N155" s="34" t="s">
        <v>49</v>
      </c>
      <c r="O155" s="33" t="n">
        <f>23400</f>
        <v>23400.0</v>
      </c>
      <c r="P155" s="34" t="s">
        <v>51</v>
      </c>
      <c r="Q155" s="33" t="n">
        <f>24000</f>
        <v>24000.0</v>
      </c>
      <c r="R155" s="34" t="s">
        <v>51</v>
      </c>
      <c r="S155" s="35" t="n">
        <f>25260.45</f>
        <v>25260.45</v>
      </c>
      <c r="T155" s="32" t="n">
        <f>4361</f>
        <v>4361.0</v>
      </c>
      <c r="U155" s="32" t="str">
        <f>"－"</f>
        <v>－</v>
      </c>
      <c r="V155" s="32" t="n">
        <f>112803100</f>
        <v>1.128031E8</v>
      </c>
      <c r="W155" s="32" t="str">
        <f>"－"</f>
        <v>－</v>
      </c>
      <c r="X155" s="36" t="n">
        <f>22</f>
        <v>22.0</v>
      </c>
    </row>
    <row r="156">
      <c r="A156" s="27" t="s">
        <v>42</v>
      </c>
      <c r="B156" s="27" t="s">
        <v>516</v>
      </c>
      <c r="C156" s="27" t="s">
        <v>517</v>
      </c>
      <c r="D156" s="27" t="s">
        <v>518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10.0</v>
      </c>
      <c r="K156" s="33" t="n">
        <f>840</f>
        <v>840.0</v>
      </c>
      <c r="L156" s="34" t="s">
        <v>48</v>
      </c>
      <c r="M156" s="33" t="n">
        <f>893</f>
        <v>893.0</v>
      </c>
      <c r="N156" s="34" t="s">
        <v>49</v>
      </c>
      <c r="O156" s="33" t="n">
        <f>815</f>
        <v>815.0</v>
      </c>
      <c r="P156" s="34" t="s">
        <v>77</v>
      </c>
      <c r="Q156" s="33" t="n">
        <f>824</f>
        <v>824.0</v>
      </c>
      <c r="R156" s="34" t="s">
        <v>51</v>
      </c>
      <c r="S156" s="35" t="n">
        <f>847.86</f>
        <v>847.86</v>
      </c>
      <c r="T156" s="32" t="n">
        <f>169420</f>
        <v>169420.0</v>
      </c>
      <c r="U156" s="32" t="str">
        <f>"－"</f>
        <v>－</v>
      </c>
      <c r="V156" s="32" t="n">
        <f>144342130</f>
        <v>1.4434213E8</v>
      </c>
      <c r="W156" s="32" t="str">
        <f>"－"</f>
        <v>－</v>
      </c>
      <c r="X156" s="36" t="n">
        <f>22</f>
        <v>22.0</v>
      </c>
    </row>
    <row r="157">
      <c r="A157" s="27" t="s">
        <v>42</v>
      </c>
      <c r="B157" s="27" t="s">
        <v>519</v>
      </c>
      <c r="C157" s="27" t="s">
        <v>520</v>
      </c>
      <c r="D157" s="27" t="s">
        <v>521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10.0</v>
      </c>
      <c r="K157" s="33" t="n">
        <f>1988</f>
        <v>1988.0</v>
      </c>
      <c r="L157" s="34" t="s">
        <v>48</v>
      </c>
      <c r="M157" s="33" t="n">
        <f>2058</f>
        <v>2058.0</v>
      </c>
      <c r="N157" s="34" t="s">
        <v>69</v>
      </c>
      <c r="O157" s="33" t="n">
        <f>1981</f>
        <v>1981.0</v>
      </c>
      <c r="P157" s="34" t="s">
        <v>522</v>
      </c>
      <c r="Q157" s="33" t="n">
        <f>2003</f>
        <v>2003.0</v>
      </c>
      <c r="R157" s="34" t="s">
        <v>51</v>
      </c>
      <c r="S157" s="35" t="n">
        <f>2003.4</f>
        <v>2003.4</v>
      </c>
      <c r="T157" s="32" t="n">
        <f>2380</f>
        <v>2380.0</v>
      </c>
      <c r="U157" s="32" t="str">
        <f>"－"</f>
        <v>－</v>
      </c>
      <c r="V157" s="32" t="n">
        <f>4823920</f>
        <v>4823920.0</v>
      </c>
      <c r="W157" s="32" t="str">
        <f>"－"</f>
        <v>－</v>
      </c>
      <c r="X157" s="36" t="n">
        <f>10</f>
        <v>10.0</v>
      </c>
    </row>
    <row r="158">
      <c r="A158" s="27" t="s">
        <v>42</v>
      </c>
      <c r="B158" s="27" t="s">
        <v>523</v>
      </c>
      <c r="C158" s="27" t="s">
        <v>524</v>
      </c>
      <c r="D158" s="27" t="s">
        <v>525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10.0</v>
      </c>
      <c r="K158" s="33" t="n">
        <f>2010</f>
        <v>2010.0</v>
      </c>
      <c r="L158" s="34" t="s">
        <v>48</v>
      </c>
      <c r="M158" s="33" t="n">
        <f>2092</f>
        <v>2092.0</v>
      </c>
      <c r="N158" s="34" t="s">
        <v>73</v>
      </c>
      <c r="O158" s="33" t="n">
        <f>1980</f>
        <v>1980.0</v>
      </c>
      <c r="P158" s="34" t="s">
        <v>50</v>
      </c>
      <c r="Q158" s="33" t="n">
        <f>2021</f>
        <v>2021.0</v>
      </c>
      <c r="R158" s="34" t="s">
        <v>51</v>
      </c>
      <c r="S158" s="35" t="n">
        <f>2034.78</f>
        <v>2034.78</v>
      </c>
      <c r="T158" s="32" t="n">
        <f>22450</f>
        <v>22450.0</v>
      </c>
      <c r="U158" s="32" t="str">
        <f>"－"</f>
        <v>－</v>
      </c>
      <c r="V158" s="32" t="n">
        <f>46121720</f>
        <v>4.612172E7</v>
      </c>
      <c r="W158" s="32" t="str">
        <f>"－"</f>
        <v>－</v>
      </c>
      <c r="X158" s="36" t="n">
        <f>18</f>
        <v>18.0</v>
      </c>
    </row>
    <row r="159">
      <c r="A159" s="27" t="s">
        <v>42</v>
      </c>
      <c r="B159" s="27" t="s">
        <v>526</v>
      </c>
      <c r="C159" s="27" t="s">
        <v>527</v>
      </c>
      <c r="D159" s="27" t="s">
        <v>528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10.0</v>
      </c>
      <c r="K159" s="33" t="n">
        <f>1188</f>
        <v>1188.0</v>
      </c>
      <c r="L159" s="34" t="s">
        <v>48</v>
      </c>
      <c r="M159" s="33" t="n">
        <f>1237</f>
        <v>1237.0</v>
      </c>
      <c r="N159" s="34" t="s">
        <v>73</v>
      </c>
      <c r="O159" s="33" t="n">
        <f>1170</f>
        <v>1170.0</v>
      </c>
      <c r="P159" s="34" t="s">
        <v>50</v>
      </c>
      <c r="Q159" s="33" t="n">
        <f>1188</f>
        <v>1188.0</v>
      </c>
      <c r="R159" s="34" t="s">
        <v>51</v>
      </c>
      <c r="S159" s="35" t="n">
        <f>1195.94</f>
        <v>1195.94</v>
      </c>
      <c r="T159" s="32" t="n">
        <f>2670</f>
        <v>2670.0</v>
      </c>
      <c r="U159" s="32" t="str">
        <f>"－"</f>
        <v>－</v>
      </c>
      <c r="V159" s="32" t="n">
        <f>3178740</f>
        <v>3178740.0</v>
      </c>
      <c r="W159" s="32" t="str">
        <f>"－"</f>
        <v>－</v>
      </c>
      <c r="X159" s="36" t="n">
        <f>17</f>
        <v>17.0</v>
      </c>
    </row>
    <row r="160">
      <c r="A160" s="27" t="s">
        <v>42</v>
      </c>
      <c r="B160" s="27" t="s">
        <v>529</v>
      </c>
      <c r="C160" s="27" t="s">
        <v>530</v>
      </c>
      <c r="D160" s="27" t="s">
        <v>531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1.0</v>
      </c>
      <c r="K160" s="33" t="n">
        <f>2334</f>
        <v>2334.0</v>
      </c>
      <c r="L160" s="34" t="s">
        <v>48</v>
      </c>
      <c r="M160" s="33" t="n">
        <f>2518</f>
        <v>2518.0</v>
      </c>
      <c r="N160" s="34" t="s">
        <v>73</v>
      </c>
      <c r="O160" s="33" t="n">
        <f>2262</f>
        <v>2262.0</v>
      </c>
      <c r="P160" s="34" t="s">
        <v>50</v>
      </c>
      <c r="Q160" s="33" t="n">
        <f>2356</f>
        <v>2356.0</v>
      </c>
      <c r="R160" s="34" t="s">
        <v>51</v>
      </c>
      <c r="S160" s="35" t="n">
        <f>2389.95</f>
        <v>2389.95</v>
      </c>
      <c r="T160" s="32" t="n">
        <f>4775617</f>
        <v>4775617.0</v>
      </c>
      <c r="U160" s="32" t="n">
        <f>83004</f>
        <v>83004.0</v>
      </c>
      <c r="V160" s="32" t="n">
        <f>11412307416</f>
        <v>1.1412307416E10</v>
      </c>
      <c r="W160" s="32" t="n">
        <f>206608431</f>
        <v>2.06608431E8</v>
      </c>
      <c r="X160" s="36" t="n">
        <f>22</f>
        <v>22.0</v>
      </c>
    </row>
    <row r="161">
      <c r="A161" s="27" t="s">
        <v>42</v>
      </c>
      <c r="B161" s="27" t="s">
        <v>532</v>
      </c>
      <c r="C161" s="27" t="s">
        <v>533</v>
      </c>
      <c r="D161" s="27" t="s">
        <v>534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1.0</v>
      </c>
      <c r="K161" s="33" t="n">
        <f>2736</f>
        <v>2736.0</v>
      </c>
      <c r="L161" s="34" t="s">
        <v>48</v>
      </c>
      <c r="M161" s="33" t="n">
        <f>2756</f>
        <v>2756.0</v>
      </c>
      <c r="N161" s="34" t="s">
        <v>285</v>
      </c>
      <c r="O161" s="33" t="n">
        <f>2689</f>
        <v>2689.0</v>
      </c>
      <c r="P161" s="34" t="s">
        <v>132</v>
      </c>
      <c r="Q161" s="33" t="n">
        <f>2738</f>
        <v>2738.0</v>
      </c>
      <c r="R161" s="34" t="s">
        <v>51</v>
      </c>
      <c r="S161" s="35" t="n">
        <f>2717.86</f>
        <v>2717.86</v>
      </c>
      <c r="T161" s="32" t="n">
        <f>251331</f>
        <v>251331.0</v>
      </c>
      <c r="U161" s="32" t="n">
        <f>183000</f>
        <v>183000.0</v>
      </c>
      <c r="V161" s="32" t="n">
        <f>684980726</f>
        <v>6.84980726E8</v>
      </c>
      <c r="W161" s="32" t="n">
        <f>499535100</f>
        <v>4.995351E8</v>
      </c>
      <c r="X161" s="36" t="n">
        <f>22</f>
        <v>22.0</v>
      </c>
    </row>
    <row r="162">
      <c r="A162" s="27" t="s">
        <v>42</v>
      </c>
      <c r="B162" s="27" t="s">
        <v>535</v>
      </c>
      <c r="C162" s="27" t="s">
        <v>536</v>
      </c>
      <c r="D162" s="27" t="s">
        <v>537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1.0</v>
      </c>
      <c r="K162" s="33" t="n">
        <f>2092</f>
        <v>2092.0</v>
      </c>
      <c r="L162" s="34" t="s">
        <v>48</v>
      </c>
      <c r="M162" s="33" t="n">
        <f>2272</f>
        <v>2272.0</v>
      </c>
      <c r="N162" s="34" t="s">
        <v>73</v>
      </c>
      <c r="O162" s="33" t="n">
        <f>2035</f>
        <v>2035.0</v>
      </c>
      <c r="P162" s="34" t="s">
        <v>50</v>
      </c>
      <c r="Q162" s="33" t="n">
        <f>2131</f>
        <v>2131.0</v>
      </c>
      <c r="R162" s="34" t="s">
        <v>51</v>
      </c>
      <c r="S162" s="35" t="n">
        <f>2157.27</f>
        <v>2157.27</v>
      </c>
      <c r="T162" s="32" t="n">
        <f>270124</f>
        <v>270124.0</v>
      </c>
      <c r="U162" s="32" t="n">
        <f>93000</f>
        <v>93000.0</v>
      </c>
      <c r="V162" s="32" t="n">
        <f>583316845</f>
        <v>5.83316845E8</v>
      </c>
      <c r="W162" s="32" t="n">
        <f>202163800</f>
        <v>2.021638E8</v>
      </c>
      <c r="X162" s="36" t="n">
        <f>22</f>
        <v>22.0</v>
      </c>
    </row>
    <row r="163">
      <c r="A163" s="27" t="s">
        <v>42</v>
      </c>
      <c r="B163" s="27" t="s">
        <v>538</v>
      </c>
      <c r="C163" s="27" t="s">
        <v>539</v>
      </c>
      <c r="D163" s="27" t="s">
        <v>540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1.0</v>
      </c>
      <c r="K163" s="33" t="n">
        <f>1620</f>
        <v>1620.0</v>
      </c>
      <c r="L163" s="34" t="s">
        <v>48</v>
      </c>
      <c r="M163" s="33" t="n">
        <f>1801</f>
        <v>1801.0</v>
      </c>
      <c r="N163" s="34" t="s">
        <v>132</v>
      </c>
      <c r="O163" s="33" t="n">
        <f>1617</f>
        <v>1617.0</v>
      </c>
      <c r="P163" s="34" t="s">
        <v>48</v>
      </c>
      <c r="Q163" s="33" t="n">
        <f>1741</f>
        <v>1741.0</v>
      </c>
      <c r="R163" s="34" t="s">
        <v>51</v>
      </c>
      <c r="S163" s="35" t="n">
        <f>1725.27</f>
        <v>1725.27</v>
      </c>
      <c r="T163" s="32" t="n">
        <f>69241</f>
        <v>69241.0</v>
      </c>
      <c r="U163" s="32" t="str">
        <f>"－"</f>
        <v>－</v>
      </c>
      <c r="V163" s="32" t="n">
        <f>119732233</f>
        <v>1.19732233E8</v>
      </c>
      <c r="W163" s="32" t="str">
        <f>"－"</f>
        <v>－</v>
      </c>
      <c r="X163" s="36" t="n">
        <f>22</f>
        <v>22.0</v>
      </c>
    </row>
    <row r="164">
      <c r="A164" s="27" t="s">
        <v>42</v>
      </c>
      <c r="B164" s="27" t="s">
        <v>541</v>
      </c>
      <c r="C164" s="27" t="s">
        <v>542</v>
      </c>
      <c r="D164" s="27" t="s">
        <v>543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1.0</v>
      </c>
      <c r="K164" s="33" t="n">
        <f>1692</f>
        <v>1692.0</v>
      </c>
      <c r="L164" s="34" t="s">
        <v>48</v>
      </c>
      <c r="M164" s="33" t="n">
        <f>1966</f>
        <v>1966.0</v>
      </c>
      <c r="N164" s="34" t="s">
        <v>49</v>
      </c>
      <c r="O164" s="33" t="n">
        <f>1690</f>
        <v>1690.0</v>
      </c>
      <c r="P164" s="34" t="s">
        <v>77</v>
      </c>
      <c r="Q164" s="33" t="n">
        <f>1732</f>
        <v>1732.0</v>
      </c>
      <c r="R164" s="34" t="s">
        <v>51</v>
      </c>
      <c r="S164" s="35" t="n">
        <f>1790.91</f>
        <v>1790.91</v>
      </c>
      <c r="T164" s="32" t="n">
        <f>454618</f>
        <v>454618.0</v>
      </c>
      <c r="U164" s="32" t="n">
        <f>46</f>
        <v>46.0</v>
      </c>
      <c r="V164" s="32" t="n">
        <f>819439902</f>
        <v>8.19439902E8</v>
      </c>
      <c r="W164" s="32" t="n">
        <f>82017</f>
        <v>82017.0</v>
      </c>
      <c r="X164" s="36" t="n">
        <f>22</f>
        <v>22.0</v>
      </c>
    </row>
    <row r="165">
      <c r="A165" s="27" t="s">
        <v>42</v>
      </c>
      <c r="B165" s="27" t="s">
        <v>544</v>
      </c>
      <c r="C165" s="27" t="s">
        <v>545</v>
      </c>
      <c r="D165" s="27" t="s">
        <v>546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1.0</v>
      </c>
      <c r="K165" s="33" t="n">
        <f>9000</f>
        <v>9000.0</v>
      </c>
      <c r="L165" s="34" t="s">
        <v>48</v>
      </c>
      <c r="M165" s="33" t="n">
        <f>9390</f>
        <v>9390.0</v>
      </c>
      <c r="N165" s="34" t="s">
        <v>49</v>
      </c>
      <c r="O165" s="33" t="n">
        <f>8630</f>
        <v>8630.0</v>
      </c>
      <c r="P165" s="34" t="s">
        <v>62</v>
      </c>
      <c r="Q165" s="33" t="n">
        <f>8980</f>
        <v>8980.0</v>
      </c>
      <c r="R165" s="34" t="s">
        <v>51</v>
      </c>
      <c r="S165" s="35" t="n">
        <f>9083.18</f>
        <v>9083.18</v>
      </c>
      <c r="T165" s="32" t="n">
        <f>44499</f>
        <v>44499.0</v>
      </c>
      <c r="U165" s="32" t="n">
        <f>114</f>
        <v>114.0</v>
      </c>
      <c r="V165" s="32" t="n">
        <f>403149050</f>
        <v>4.0314905E8</v>
      </c>
      <c r="W165" s="32" t="n">
        <f>1037220</f>
        <v>1037220.0</v>
      </c>
      <c r="X165" s="36" t="n">
        <f>22</f>
        <v>22.0</v>
      </c>
    </row>
    <row r="166">
      <c r="A166" s="27" t="s">
        <v>42</v>
      </c>
      <c r="B166" s="27" t="s">
        <v>547</v>
      </c>
      <c r="C166" s="27" t="s">
        <v>548</v>
      </c>
      <c r="D166" s="27" t="s">
        <v>549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100.0</v>
      </c>
      <c r="K166" s="33" t="n">
        <f>119</f>
        <v>119.0</v>
      </c>
      <c r="L166" s="34" t="s">
        <v>48</v>
      </c>
      <c r="M166" s="33" t="n">
        <f>123</f>
        <v>123.0</v>
      </c>
      <c r="N166" s="34" t="s">
        <v>73</v>
      </c>
      <c r="O166" s="33" t="n">
        <f>112</f>
        <v>112.0</v>
      </c>
      <c r="P166" s="34" t="s">
        <v>62</v>
      </c>
      <c r="Q166" s="33" t="n">
        <f>114</f>
        <v>114.0</v>
      </c>
      <c r="R166" s="34" t="s">
        <v>77</v>
      </c>
      <c r="S166" s="35" t="n">
        <f>118.4</f>
        <v>118.4</v>
      </c>
      <c r="T166" s="32" t="n">
        <f>26100</f>
        <v>26100.0</v>
      </c>
      <c r="U166" s="32" t="str">
        <f>"－"</f>
        <v>－</v>
      </c>
      <c r="V166" s="32" t="n">
        <f>3075000</f>
        <v>3075000.0</v>
      </c>
      <c r="W166" s="32" t="str">
        <f>"－"</f>
        <v>－</v>
      </c>
      <c r="X166" s="36" t="n">
        <f>20</f>
        <v>20.0</v>
      </c>
    </row>
    <row r="167">
      <c r="A167" s="27" t="s">
        <v>42</v>
      </c>
      <c r="B167" s="27" t="s">
        <v>550</v>
      </c>
      <c r="C167" s="27" t="s">
        <v>551</v>
      </c>
      <c r="D167" s="27" t="s">
        <v>552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1.0</v>
      </c>
      <c r="K167" s="33" t="n">
        <f>769</f>
        <v>769.0</v>
      </c>
      <c r="L167" s="34" t="s">
        <v>48</v>
      </c>
      <c r="M167" s="33" t="n">
        <f>893</f>
        <v>893.0</v>
      </c>
      <c r="N167" s="34" t="s">
        <v>73</v>
      </c>
      <c r="O167" s="33" t="n">
        <f>746</f>
        <v>746.0</v>
      </c>
      <c r="P167" s="34" t="s">
        <v>62</v>
      </c>
      <c r="Q167" s="33" t="n">
        <f>847</f>
        <v>847.0</v>
      </c>
      <c r="R167" s="34" t="s">
        <v>51</v>
      </c>
      <c r="S167" s="35" t="n">
        <f>823.27</f>
        <v>823.27</v>
      </c>
      <c r="T167" s="32" t="n">
        <f>174117241</f>
        <v>1.74117241E8</v>
      </c>
      <c r="U167" s="32" t="n">
        <f>444632</f>
        <v>444632.0</v>
      </c>
      <c r="V167" s="32" t="n">
        <f>143089033999</f>
        <v>1.43089033999E11</v>
      </c>
      <c r="W167" s="32" t="n">
        <f>361355774</f>
        <v>3.61355774E8</v>
      </c>
      <c r="X167" s="36" t="n">
        <f>22</f>
        <v>22.0</v>
      </c>
    </row>
    <row r="168">
      <c r="A168" s="27" t="s">
        <v>42</v>
      </c>
      <c r="B168" s="27" t="s">
        <v>553</v>
      </c>
      <c r="C168" s="27" t="s">
        <v>554</v>
      </c>
      <c r="D168" s="27" t="s">
        <v>555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1.0</v>
      </c>
      <c r="K168" s="33" t="n">
        <f>17990</f>
        <v>17990.0</v>
      </c>
      <c r="L168" s="34" t="s">
        <v>48</v>
      </c>
      <c r="M168" s="33" t="n">
        <f>18270</f>
        <v>18270.0</v>
      </c>
      <c r="N168" s="34" t="s">
        <v>51</v>
      </c>
      <c r="O168" s="33" t="n">
        <f>17430</f>
        <v>17430.0</v>
      </c>
      <c r="P168" s="34" t="s">
        <v>62</v>
      </c>
      <c r="Q168" s="33" t="n">
        <f>18260</f>
        <v>18260.0</v>
      </c>
      <c r="R168" s="34" t="s">
        <v>51</v>
      </c>
      <c r="S168" s="35" t="n">
        <f>17900.91</f>
        <v>17900.91</v>
      </c>
      <c r="T168" s="32" t="n">
        <f>3595</f>
        <v>3595.0</v>
      </c>
      <c r="U168" s="32" t="str">
        <f>"－"</f>
        <v>－</v>
      </c>
      <c r="V168" s="32" t="n">
        <f>64491470</f>
        <v>6.449147E7</v>
      </c>
      <c r="W168" s="32" t="str">
        <f>"－"</f>
        <v>－</v>
      </c>
      <c r="X168" s="36" t="n">
        <f>22</f>
        <v>22.0</v>
      </c>
    </row>
    <row r="169">
      <c r="A169" s="27" t="s">
        <v>42</v>
      </c>
      <c r="B169" s="27" t="s">
        <v>556</v>
      </c>
      <c r="C169" s="27" t="s">
        <v>557</v>
      </c>
      <c r="D169" s="27" t="s">
        <v>558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10.0</v>
      </c>
      <c r="K169" s="33" t="n">
        <f>1758</f>
        <v>1758.0</v>
      </c>
      <c r="L169" s="34" t="s">
        <v>48</v>
      </c>
      <c r="M169" s="33" t="n">
        <f>2256</f>
        <v>2256.0</v>
      </c>
      <c r="N169" s="34" t="s">
        <v>285</v>
      </c>
      <c r="O169" s="33" t="n">
        <f>1751</f>
        <v>1751.0</v>
      </c>
      <c r="P169" s="34" t="s">
        <v>62</v>
      </c>
      <c r="Q169" s="33" t="n">
        <f>1872</f>
        <v>1872.0</v>
      </c>
      <c r="R169" s="34" t="s">
        <v>51</v>
      </c>
      <c r="S169" s="35" t="n">
        <f>1915.27</f>
        <v>1915.27</v>
      </c>
      <c r="T169" s="32" t="n">
        <f>31440</f>
        <v>31440.0</v>
      </c>
      <c r="U169" s="32" t="str">
        <f>"－"</f>
        <v>－</v>
      </c>
      <c r="V169" s="32" t="n">
        <f>62713660</f>
        <v>6.271366E7</v>
      </c>
      <c r="W169" s="32" t="str">
        <f>"－"</f>
        <v>－</v>
      </c>
      <c r="X169" s="36" t="n">
        <f>22</f>
        <v>22.0</v>
      </c>
    </row>
    <row r="170">
      <c r="A170" s="27" t="s">
        <v>42</v>
      </c>
      <c r="B170" s="27" t="s">
        <v>559</v>
      </c>
      <c r="C170" s="27" t="s">
        <v>560</v>
      </c>
      <c r="D170" s="27" t="s">
        <v>561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1.0</v>
      </c>
      <c r="K170" s="33" t="n">
        <f>11400</f>
        <v>11400.0</v>
      </c>
      <c r="L170" s="34" t="s">
        <v>48</v>
      </c>
      <c r="M170" s="33" t="n">
        <f>11400</f>
        <v>11400.0</v>
      </c>
      <c r="N170" s="34" t="s">
        <v>48</v>
      </c>
      <c r="O170" s="33" t="n">
        <f>9160</f>
        <v>9160.0</v>
      </c>
      <c r="P170" s="34" t="s">
        <v>340</v>
      </c>
      <c r="Q170" s="33" t="n">
        <f>10090</f>
        <v>10090.0</v>
      </c>
      <c r="R170" s="34" t="s">
        <v>51</v>
      </c>
      <c r="S170" s="35" t="n">
        <f>10055.5</f>
        <v>10055.5</v>
      </c>
      <c r="T170" s="32" t="n">
        <f>1317</f>
        <v>1317.0</v>
      </c>
      <c r="U170" s="32" t="str">
        <f>"－"</f>
        <v>－</v>
      </c>
      <c r="V170" s="32" t="n">
        <f>13719280</f>
        <v>1.371928E7</v>
      </c>
      <c r="W170" s="32" t="str">
        <f>"－"</f>
        <v>－</v>
      </c>
      <c r="X170" s="36" t="n">
        <f>20</f>
        <v>20.0</v>
      </c>
    </row>
    <row r="171">
      <c r="A171" s="27" t="s">
        <v>42</v>
      </c>
      <c r="B171" s="27" t="s">
        <v>562</v>
      </c>
      <c r="C171" s="27" t="s">
        <v>563</v>
      </c>
      <c r="D171" s="27" t="s">
        <v>564</v>
      </c>
      <c r="E171" s="28" t="s">
        <v>46</v>
      </c>
      <c r="F171" s="29" t="s">
        <v>46</v>
      </c>
      <c r="G171" s="30" t="s">
        <v>46</v>
      </c>
      <c r="H171" s="31"/>
      <c r="I171" s="31" t="s">
        <v>47</v>
      </c>
      <c r="J171" s="32" t="n">
        <v>1.0</v>
      </c>
      <c r="K171" s="33" t="n">
        <f>23490</f>
        <v>23490.0</v>
      </c>
      <c r="L171" s="34" t="s">
        <v>48</v>
      </c>
      <c r="M171" s="33" t="n">
        <f>24480</f>
        <v>24480.0</v>
      </c>
      <c r="N171" s="34" t="s">
        <v>49</v>
      </c>
      <c r="O171" s="33" t="n">
        <f>19410</f>
        <v>19410.0</v>
      </c>
      <c r="P171" s="34" t="s">
        <v>62</v>
      </c>
      <c r="Q171" s="33" t="n">
        <f>22390</f>
        <v>22390.0</v>
      </c>
      <c r="R171" s="34" t="s">
        <v>51</v>
      </c>
      <c r="S171" s="35" t="n">
        <f>23203.75</f>
        <v>23203.75</v>
      </c>
      <c r="T171" s="32" t="n">
        <f>428</f>
        <v>428.0</v>
      </c>
      <c r="U171" s="32" t="str">
        <f>"－"</f>
        <v>－</v>
      </c>
      <c r="V171" s="32" t="n">
        <f>9664960</f>
        <v>9664960.0</v>
      </c>
      <c r="W171" s="32" t="str">
        <f>"－"</f>
        <v>－</v>
      </c>
      <c r="X171" s="36" t="n">
        <f>16</f>
        <v>16.0</v>
      </c>
    </row>
    <row r="172">
      <c r="A172" s="27" t="s">
        <v>42</v>
      </c>
      <c r="B172" s="27" t="s">
        <v>565</v>
      </c>
      <c r="C172" s="27" t="s">
        <v>566</v>
      </c>
      <c r="D172" s="27" t="s">
        <v>567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1.0</v>
      </c>
      <c r="K172" s="33" t="n">
        <f>13100</f>
        <v>13100.0</v>
      </c>
      <c r="L172" s="34" t="s">
        <v>48</v>
      </c>
      <c r="M172" s="33" t="n">
        <f>14330</f>
        <v>14330.0</v>
      </c>
      <c r="N172" s="34" t="s">
        <v>73</v>
      </c>
      <c r="O172" s="33" t="n">
        <f>13100</f>
        <v>13100.0</v>
      </c>
      <c r="P172" s="34" t="s">
        <v>48</v>
      </c>
      <c r="Q172" s="33" t="n">
        <f>14330</f>
        <v>14330.0</v>
      </c>
      <c r="R172" s="34" t="s">
        <v>73</v>
      </c>
      <c r="S172" s="35" t="n">
        <f>13715</f>
        <v>13715.0</v>
      </c>
      <c r="T172" s="32" t="n">
        <f>4</f>
        <v>4.0</v>
      </c>
      <c r="U172" s="32" t="str">
        <f>"－"</f>
        <v>－</v>
      </c>
      <c r="V172" s="32" t="n">
        <f>54860</f>
        <v>54860.0</v>
      </c>
      <c r="W172" s="32" t="str">
        <f>"－"</f>
        <v>－</v>
      </c>
      <c r="X172" s="36" t="n">
        <f>2</f>
        <v>2.0</v>
      </c>
    </row>
    <row r="173">
      <c r="A173" s="27" t="s">
        <v>42</v>
      </c>
      <c r="B173" s="27" t="s">
        <v>568</v>
      </c>
      <c r="C173" s="27" t="s">
        <v>569</v>
      </c>
      <c r="D173" s="27" t="s">
        <v>570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10.0</v>
      </c>
      <c r="K173" s="33" t="n">
        <f>50700</f>
        <v>50700.0</v>
      </c>
      <c r="L173" s="34" t="s">
        <v>48</v>
      </c>
      <c r="M173" s="33" t="n">
        <f>51600</f>
        <v>51600.0</v>
      </c>
      <c r="N173" s="34" t="s">
        <v>94</v>
      </c>
      <c r="O173" s="33" t="n">
        <f>48900</f>
        <v>48900.0</v>
      </c>
      <c r="P173" s="34" t="s">
        <v>48</v>
      </c>
      <c r="Q173" s="33" t="n">
        <f>51100</f>
        <v>51100.0</v>
      </c>
      <c r="R173" s="34" t="s">
        <v>51</v>
      </c>
      <c r="S173" s="35" t="n">
        <f>50928.57</f>
        <v>50928.57</v>
      </c>
      <c r="T173" s="32" t="n">
        <f>11910</f>
        <v>11910.0</v>
      </c>
      <c r="U173" s="32" t="n">
        <f>6870</f>
        <v>6870.0</v>
      </c>
      <c r="V173" s="32" t="n">
        <f>605643446</f>
        <v>6.05643446E8</v>
      </c>
      <c r="W173" s="32" t="n">
        <f>350186446</f>
        <v>3.50186446E8</v>
      </c>
      <c r="X173" s="36" t="n">
        <f>21</f>
        <v>21.0</v>
      </c>
    </row>
    <row r="174">
      <c r="A174" s="27" t="s">
        <v>42</v>
      </c>
      <c r="B174" s="27" t="s">
        <v>571</v>
      </c>
      <c r="C174" s="27" t="s">
        <v>572</v>
      </c>
      <c r="D174" s="27" t="s">
        <v>573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100.0</v>
      </c>
      <c r="K174" s="33" t="n">
        <f>123</f>
        <v>123.0</v>
      </c>
      <c r="L174" s="34" t="s">
        <v>48</v>
      </c>
      <c r="M174" s="33" t="n">
        <f>135</f>
        <v>135.0</v>
      </c>
      <c r="N174" s="34" t="s">
        <v>73</v>
      </c>
      <c r="O174" s="33" t="n">
        <f>118</f>
        <v>118.0</v>
      </c>
      <c r="P174" s="34" t="s">
        <v>62</v>
      </c>
      <c r="Q174" s="33" t="n">
        <f>131</f>
        <v>131.0</v>
      </c>
      <c r="R174" s="34" t="s">
        <v>51</v>
      </c>
      <c r="S174" s="35" t="n">
        <f>128.5</f>
        <v>128.5</v>
      </c>
      <c r="T174" s="32" t="n">
        <f>14960300</f>
        <v>1.49603E7</v>
      </c>
      <c r="U174" s="32" t="n">
        <f>65900</f>
        <v>65900.0</v>
      </c>
      <c r="V174" s="32" t="n">
        <f>1922850518</f>
        <v>1.922850518E9</v>
      </c>
      <c r="W174" s="32" t="n">
        <f>8515318</f>
        <v>8515318.0</v>
      </c>
      <c r="X174" s="36" t="n">
        <f>22</f>
        <v>22.0</v>
      </c>
    </row>
    <row r="175">
      <c r="A175" s="27" t="s">
        <v>42</v>
      </c>
      <c r="B175" s="27" t="s">
        <v>574</v>
      </c>
      <c r="C175" s="27" t="s">
        <v>575</v>
      </c>
      <c r="D175" s="27" t="s">
        <v>576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10.0</v>
      </c>
      <c r="K175" s="33" t="n">
        <f>24270</f>
        <v>24270.0</v>
      </c>
      <c r="L175" s="34" t="s">
        <v>48</v>
      </c>
      <c r="M175" s="33" t="n">
        <f>26680</f>
        <v>26680.0</v>
      </c>
      <c r="N175" s="34" t="s">
        <v>49</v>
      </c>
      <c r="O175" s="33" t="n">
        <f>23600</f>
        <v>23600.0</v>
      </c>
      <c r="P175" s="34" t="s">
        <v>50</v>
      </c>
      <c r="Q175" s="33" t="n">
        <f>24540</f>
        <v>24540.0</v>
      </c>
      <c r="R175" s="34" t="s">
        <v>51</v>
      </c>
      <c r="S175" s="35" t="n">
        <f>24984.09</f>
        <v>24984.09</v>
      </c>
      <c r="T175" s="32" t="n">
        <f>21940</f>
        <v>21940.0</v>
      </c>
      <c r="U175" s="32" t="str">
        <f>"－"</f>
        <v>－</v>
      </c>
      <c r="V175" s="32" t="n">
        <f>546747400</f>
        <v>5.467474E8</v>
      </c>
      <c r="W175" s="32" t="str">
        <f>"－"</f>
        <v>－</v>
      </c>
      <c r="X175" s="36" t="n">
        <f>22</f>
        <v>22.0</v>
      </c>
    </row>
    <row r="176">
      <c r="A176" s="27" t="s">
        <v>42</v>
      </c>
      <c r="B176" s="27" t="s">
        <v>577</v>
      </c>
      <c r="C176" s="27" t="s">
        <v>578</v>
      </c>
      <c r="D176" s="27" t="s">
        <v>579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10.0</v>
      </c>
      <c r="K176" s="33" t="n">
        <f>2387</f>
        <v>2387.0</v>
      </c>
      <c r="L176" s="34" t="s">
        <v>48</v>
      </c>
      <c r="M176" s="33" t="n">
        <f>2590</f>
        <v>2590.0</v>
      </c>
      <c r="N176" s="34" t="s">
        <v>73</v>
      </c>
      <c r="O176" s="33" t="n">
        <f>2330</f>
        <v>2330.0</v>
      </c>
      <c r="P176" s="34" t="s">
        <v>50</v>
      </c>
      <c r="Q176" s="33" t="n">
        <f>2438</f>
        <v>2438.0</v>
      </c>
      <c r="R176" s="34" t="s">
        <v>51</v>
      </c>
      <c r="S176" s="35" t="n">
        <f>2461.36</f>
        <v>2461.36</v>
      </c>
      <c r="T176" s="32" t="n">
        <f>135520</f>
        <v>135520.0</v>
      </c>
      <c r="U176" s="32" t="str">
        <f>"－"</f>
        <v>－</v>
      </c>
      <c r="V176" s="32" t="n">
        <f>333697970</f>
        <v>3.3369797E8</v>
      </c>
      <c r="W176" s="32" t="str">
        <f>"－"</f>
        <v>－</v>
      </c>
      <c r="X176" s="36" t="n">
        <f>22</f>
        <v>22.0</v>
      </c>
    </row>
    <row r="177">
      <c r="A177" s="27" t="s">
        <v>42</v>
      </c>
      <c r="B177" s="27" t="s">
        <v>580</v>
      </c>
      <c r="C177" s="27" t="s">
        <v>581</v>
      </c>
      <c r="D177" s="27" t="s">
        <v>582</v>
      </c>
      <c r="E177" s="28" t="s">
        <v>46</v>
      </c>
      <c r="F177" s="29" t="s">
        <v>46</v>
      </c>
      <c r="G177" s="30" t="s">
        <v>46</v>
      </c>
      <c r="H177" s="31"/>
      <c r="I177" s="31" t="s">
        <v>47</v>
      </c>
      <c r="J177" s="32" t="n">
        <v>10.0</v>
      </c>
      <c r="K177" s="33" t="n">
        <f>1254</f>
        <v>1254.0</v>
      </c>
      <c r="L177" s="34" t="s">
        <v>48</v>
      </c>
      <c r="M177" s="33" t="n">
        <f>1409</f>
        <v>1409.0</v>
      </c>
      <c r="N177" s="34" t="s">
        <v>73</v>
      </c>
      <c r="O177" s="33" t="n">
        <f>1254</f>
        <v>1254.0</v>
      </c>
      <c r="P177" s="34" t="s">
        <v>48</v>
      </c>
      <c r="Q177" s="33" t="n">
        <f>1350</f>
        <v>1350.0</v>
      </c>
      <c r="R177" s="34" t="s">
        <v>51</v>
      </c>
      <c r="S177" s="35" t="n">
        <f>1344.64</f>
        <v>1344.64</v>
      </c>
      <c r="T177" s="32" t="n">
        <f>265740</f>
        <v>265740.0</v>
      </c>
      <c r="U177" s="32" t="n">
        <f>150</f>
        <v>150.0</v>
      </c>
      <c r="V177" s="32" t="n">
        <f>357249530</f>
        <v>3.5724953E8</v>
      </c>
      <c r="W177" s="32" t="n">
        <f>202530</f>
        <v>202530.0</v>
      </c>
      <c r="X177" s="36" t="n">
        <f>22</f>
        <v>22.0</v>
      </c>
    </row>
    <row r="178">
      <c r="A178" s="27" t="s">
        <v>42</v>
      </c>
      <c r="B178" s="27" t="s">
        <v>583</v>
      </c>
      <c r="C178" s="27" t="s">
        <v>584</v>
      </c>
      <c r="D178" s="27" t="s">
        <v>585</v>
      </c>
      <c r="E178" s="28" t="s">
        <v>46</v>
      </c>
      <c r="F178" s="29" t="s">
        <v>46</v>
      </c>
      <c r="G178" s="30" t="s">
        <v>46</v>
      </c>
      <c r="H178" s="31"/>
      <c r="I178" s="31" t="s">
        <v>47</v>
      </c>
      <c r="J178" s="32" t="n">
        <v>100.0</v>
      </c>
      <c r="K178" s="33" t="n">
        <f>154</f>
        <v>154.0</v>
      </c>
      <c r="L178" s="34" t="s">
        <v>48</v>
      </c>
      <c r="M178" s="33" t="n">
        <f>159</f>
        <v>159.0</v>
      </c>
      <c r="N178" s="34" t="s">
        <v>90</v>
      </c>
      <c r="O178" s="33" t="n">
        <f>146</f>
        <v>146.0</v>
      </c>
      <c r="P178" s="34" t="s">
        <v>50</v>
      </c>
      <c r="Q178" s="33" t="n">
        <f>153</f>
        <v>153.0</v>
      </c>
      <c r="R178" s="34" t="s">
        <v>51</v>
      </c>
      <c r="S178" s="35" t="n">
        <f>153.32</f>
        <v>153.32</v>
      </c>
      <c r="T178" s="32" t="n">
        <f>274000</f>
        <v>274000.0</v>
      </c>
      <c r="U178" s="32" t="str">
        <f>"－"</f>
        <v>－</v>
      </c>
      <c r="V178" s="32" t="n">
        <f>42094900</f>
        <v>4.20949E7</v>
      </c>
      <c r="W178" s="32" t="str">
        <f>"－"</f>
        <v>－</v>
      </c>
      <c r="X178" s="36" t="n">
        <f>22</f>
        <v>22.0</v>
      </c>
    </row>
    <row r="179">
      <c r="A179" s="27" t="s">
        <v>42</v>
      </c>
      <c r="B179" s="27" t="s">
        <v>586</v>
      </c>
      <c r="C179" s="27" t="s">
        <v>587</v>
      </c>
      <c r="D179" s="27" t="s">
        <v>588</v>
      </c>
      <c r="E179" s="28" t="s">
        <v>46</v>
      </c>
      <c r="F179" s="29" t="s">
        <v>46</v>
      </c>
      <c r="G179" s="30" t="s">
        <v>46</v>
      </c>
      <c r="H179" s="31" t="s">
        <v>461</v>
      </c>
      <c r="I179" s="31" t="s">
        <v>47</v>
      </c>
      <c r="J179" s="32" t="n">
        <v>10.0</v>
      </c>
      <c r="K179" s="33" t="n">
        <f>5140</f>
        <v>5140.0</v>
      </c>
      <c r="L179" s="34" t="s">
        <v>48</v>
      </c>
      <c r="M179" s="33" t="n">
        <f>5470</f>
        <v>5470.0</v>
      </c>
      <c r="N179" s="34" t="s">
        <v>285</v>
      </c>
      <c r="O179" s="33" t="n">
        <f>5070</f>
        <v>5070.0</v>
      </c>
      <c r="P179" s="34" t="s">
        <v>589</v>
      </c>
      <c r="Q179" s="33" t="n">
        <f>5350</f>
        <v>5350.0</v>
      </c>
      <c r="R179" s="34" t="s">
        <v>77</v>
      </c>
      <c r="S179" s="35" t="n">
        <f>5220.56</f>
        <v>5220.56</v>
      </c>
      <c r="T179" s="32" t="n">
        <f>2200</f>
        <v>2200.0</v>
      </c>
      <c r="U179" s="32" t="str">
        <f>"－"</f>
        <v>－</v>
      </c>
      <c r="V179" s="32" t="n">
        <f>11432300</f>
        <v>1.14323E7</v>
      </c>
      <c r="W179" s="32" t="str">
        <f>"－"</f>
        <v>－</v>
      </c>
      <c r="X179" s="36" t="n">
        <f>18</f>
        <v>18.0</v>
      </c>
    </row>
    <row r="180">
      <c r="A180" s="27" t="s">
        <v>42</v>
      </c>
      <c r="B180" s="27" t="s">
        <v>590</v>
      </c>
      <c r="C180" s="27" t="s">
        <v>591</v>
      </c>
      <c r="D180" s="27" t="s">
        <v>592</v>
      </c>
      <c r="E180" s="28" t="s">
        <v>46</v>
      </c>
      <c r="F180" s="29" t="s">
        <v>46</v>
      </c>
      <c r="G180" s="30" t="s">
        <v>46</v>
      </c>
      <c r="H180" s="31"/>
      <c r="I180" s="31" t="s">
        <v>47</v>
      </c>
      <c r="J180" s="32" t="n">
        <v>10.0</v>
      </c>
      <c r="K180" s="33" t="str">
        <f>"－"</f>
        <v>－</v>
      </c>
      <c r="L180" s="34"/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5" t="str">
        <f>"－"</f>
        <v>－</v>
      </c>
      <c r="T180" s="32" t="str">
        <f>"－"</f>
        <v>－</v>
      </c>
      <c r="U180" s="32" t="str">
        <f>"－"</f>
        <v>－</v>
      </c>
      <c r="V180" s="32" t="str">
        <f>"－"</f>
        <v>－</v>
      </c>
      <c r="W180" s="32" t="str">
        <f>"－"</f>
        <v>－</v>
      </c>
      <c r="X180" s="36" t="str">
        <f>"－"</f>
        <v>－</v>
      </c>
    </row>
    <row r="181">
      <c r="A181" s="27" t="s">
        <v>42</v>
      </c>
      <c r="B181" s="27" t="s">
        <v>593</v>
      </c>
      <c r="C181" s="27" t="s">
        <v>594</v>
      </c>
      <c r="D181" s="27" t="s">
        <v>595</v>
      </c>
      <c r="E181" s="28" t="s">
        <v>46</v>
      </c>
      <c r="F181" s="29" t="s">
        <v>46</v>
      </c>
      <c r="G181" s="30" t="s">
        <v>46</v>
      </c>
      <c r="H181" s="31"/>
      <c r="I181" s="31" t="s">
        <v>47</v>
      </c>
      <c r="J181" s="32" t="n">
        <v>10.0</v>
      </c>
      <c r="K181" s="33" t="n">
        <f>248</f>
        <v>248.0</v>
      </c>
      <c r="L181" s="34" t="s">
        <v>48</v>
      </c>
      <c r="M181" s="33" t="n">
        <f>303</f>
        <v>303.0</v>
      </c>
      <c r="N181" s="34" t="s">
        <v>49</v>
      </c>
      <c r="O181" s="33" t="n">
        <f>200</f>
        <v>200.0</v>
      </c>
      <c r="P181" s="34" t="s">
        <v>51</v>
      </c>
      <c r="Q181" s="33" t="n">
        <f>262</f>
        <v>262.0</v>
      </c>
      <c r="R181" s="34" t="s">
        <v>51</v>
      </c>
      <c r="S181" s="35" t="n">
        <f>276.57</f>
        <v>276.57</v>
      </c>
      <c r="T181" s="32" t="n">
        <f>19240</f>
        <v>19240.0</v>
      </c>
      <c r="U181" s="32" t="str">
        <f>"－"</f>
        <v>－</v>
      </c>
      <c r="V181" s="32" t="n">
        <f>5168850</f>
        <v>5168850.0</v>
      </c>
      <c r="W181" s="32" t="str">
        <f>"－"</f>
        <v>－</v>
      </c>
      <c r="X181" s="36" t="n">
        <f>21</f>
        <v>21.0</v>
      </c>
    </row>
    <row r="182">
      <c r="A182" s="27" t="s">
        <v>42</v>
      </c>
      <c r="B182" s="27" t="s">
        <v>596</v>
      </c>
      <c r="C182" s="27" t="s">
        <v>597</v>
      </c>
      <c r="D182" s="27" t="s">
        <v>598</v>
      </c>
      <c r="E182" s="28" t="s">
        <v>46</v>
      </c>
      <c r="F182" s="29" t="s">
        <v>46</v>
      </c>
      <c r="G182" s="30" t="s">
        <v>46</v>
      </c>
      <c r="H182" s="31"/>
      <c r="I182" s="31" t="s">
        <v>47</v>
      </c>
      <c r="J182" s="32" t="n">
        <v>10.0</v>
      </c>
      <c r="K182" s="33" t="n">
        <f>1060</f>
        <v>1060.0</v>
      </c>
      <c r="L182" s="34" t="s">
        <v>73</v>
      </c>
      <c r="M182" s="33" t="n">
        <f>1080</f>
        <v>1080.0</v>
      </c>
      <c r="N182" s="34" t="s">
        <v>73</v>
      </c>
      <c r="O182" s="33" t="n">
        <f>1022</f>
        <v>1022.0</v>
      </c>
      <c r="P182" s="34" t="s">
        <v>132</v>
      </c>
      <c r="Q182" s="33" t="n">
        <f>1022</f>
        <v>1022.0</v>
      </c>
      <c r="R182" s="34" t="s">
        <v>132</v>
      </c>
      <c r="S182" s="35" t="n">
        <f>1060.67</f>
        <v>1060.67</v>
      </c>
      <c r="T182" s="32" t="n">
        <f>200</f>
        <v>200.0</v>
      </c>
      <c r="U182" s="32" t="str">
        <f>"－"</f>
        <v>－</v>
      </c>
      <c r="V182" s="32" t="n">
        <f>214040</f>
        <v>214040.0</v>
      </c>
      <c r="W182" s="32" t="str">
        <f>"－"</f>
        <v>－</v>
      </c>
      <c r="X182" s="36" t="n">
        <f>3</f>
        <v>3.0</v>
      </c>
    </row>
    <row r="183">
      <c r="A183" s="27" t="s">
        <v>42</v>
      </c>
      <c r="B183" s="27" t="s">
        <v>599</v>
      </c>
      <c r="C183" s="27" t="s">
        <v>600</v>
      </c>
      <c r="D183" s="27" t="s">
        <v>601</v>
      </c>
      <c r="E183" s="28" t="s">
        <v>46</v>
      </c>
      <c r="F183" s="29" t="s">
        <v>46</v>
      </c>
      <c r="G183" s="30" t="s">
        <v>46</v>
      </c>
      <c r="H183" s="31"/>
      <c r="I183" s="31" t="s">
        <v>47</v>
      </c>
      <c r="J183" s="32" t="n">
        <v>10.0</v>
      </c>
      <c r="K183" s="33" t="n">
        <f>432</f>
        <v>432.0</v>
      </c>
      <c r="L183" s="34" t="s">
        <v>48</v>
      </c>
      <c r="M183" s="33" t="n">
        <f>475</f>
        <v>475.0</v>
      </c>
      <c r="N183" s="34" t="s">
        <v>50</v>
      </c>
      <c r="O183" s="33" t="n">
        <f>412</f>
        <v>412.0</v>
      </c>
      <c r="P183" s="34" t="s">
        <v>340</v>
      </c>
      <c r="Q183" s="33" t="n">
        <f>428</f>
        <v>428.0</v>
      </c>
      <c r="R183" s="34" t="s">
        <v>51</v>
      </c>
      <c r="S183" s="35" t="n">
        <f>437.59</f>
        <v>437.59</v>
      </c>
      <c r="T183" s="32" t="n">
        <f>8880</f>
        <v>8880.0</v>
      </c>
      <c r="U183" s="32" t="str">
        <f>"－"</f>
        <v>－</v>
      </c>
      <c r="V183" s="32" t="n">
        <f>3933950</f>
        <v>3933950.0</v>
      </c>
      <c r="W183" s="32" t="str">
        <f>"－"</f>
        <v>－</v>
      </c>
      <c r="X183" s="36" t="n">
        <f>22</f>
        <v>22.0</v>
      </c>
    </row>
    <row r="184">
      <c r="A184" s="27" t="s">
        <v>42</v>
      </c>
      <c r="B184" s="27" t="s">
        <v>602</v>
      </c>
      <c r="C184" s="27" t="s">
        <v>603</v>
      </c>
      <c r="D184" s="27" t="s">
        <v>604</v>
      </c>
      <c r="E184" s="28" t="s">
        <v>46</v>
      </c>
      <c r="F184" s="29" t="s">
        <v>46</v>
      </c>
      <c r="G184" s="30" t="s">
        <v>46</v>
      </c>
      <c r="H184" s="31"/>
      <c r="I184" s="31" t="s">
        <v>47</v>
      </c>
      <c r="J184" s="32" t="n">
        <v>10.0</v>
      </c>
      <c r="K184" s="33" t="n">
        <f>278</f>
        <v>278.0</v>
      </c>
      <c r="L184" s="34" t="s">
        <v>48</v>
      </c>
      <c r="M184" s="33" t="n">
        <f>296</f>
        <v>296.0</v>
      </c>
      <c r="N184" s="34" t="s">
        <v>73</v>
      </c>
      <c r="O184" s="33" t="n">
        <f>267</f>
        <v>267.0</v>
      </c>
      <c r="P184" s="34" t="s">
        <v>77</v>
      </c>
      <c r="Q184" s="33" t="n">
        <f>273</f>
        <v>273.0</v>
      </c>
      <c r="R184" s="34" t="s">
        <v>51</v>
      </c>
      <c r="S184" s="35" t="n">
        <f>279.32</f>
        <v>279.32</v>
      </c>
      <c r="T184" s="32" t="n">
        <f>979340</f>
        <v>979340.0</v>
      </c>
      <c r="U184" s="32" t="str">
        <f>"－"</f>
        <v>－</v>
      </c>
      <c r="V184" s="32" t="n">
        <f>274691410</f>
        <v>2.7469141E8</v>
      </c>
      <c r="W184" s="32" t="str">
        <f>"－"</f>
        <v>－</v>
      </c>
      <c r="X184" s="36" t="n">
        <f>22</f>
        <v>22.0</v>
      </c>
    </row>
    <row r="185">
      <c r="A185" s="27" t="s">
        <v>42</v>
      </c>
      <c r="B185" s="27" t="s">
        <v>605</v>
      </c>
      <c r="C185" s="27" t="s">
        <v>606</v>
      </c>
      <c r="D185" s="27" t="s">
        <v>607</v>
      </c>
      <c r="E185" s="28" t="s">
        <v>46</v>
      </c>
      <c r="F185" s="29" t="s">
        <v>46</v>
      </c>
      <c r="G185" s="30" t="s">
        <v>46</v>
      </c>
      <c r="H185" s="31"/>
      <c r="I185" s="31" t="s">
        <v>47</v>
      </c>
      <c r="J185" s="32" t="n">
        <v>100.0</v>
      </c>
      <c r="K185" s="33" t="n">
        <f>2</f>
        <v>2.0</v>
      </c>
      <c r="L185" s="34" t="s">
        <v>48</v>
      </c>
      <c r="M185" s="33" t="n">
        <f>2</f>
        <v>2.0</v>
      </c>
      <c r="N185" s="34" t="s">
        <v>48</v>
      </c>
      <c r="O185" s="33" t="n">
        <f>1</f>
        <v>1.0</v>
      </c>
      <c r="P185" s="34" t="s">
        <v>48</v>
      </c>
      <c r="Q185" s="33" t="n">
        <f>2</f>
        <v>2.0</v>
      </c>
      <c r="R185" s="34" t="s">
        <v>51</v>
      </c>
      <c r="S185" s="35" t="n">
        <f>1.73</f>
        <v>1.73</v>
      </c>
      <c r="T185" s="32" t="n">
        <f>224761800</f>
        <v>2.247618E8</v>
      </c>
      <c r="U185" s="32" t="str">
        <f>"－"</f>
        <v>－</v>
      </c>
      <c r="V185" s="32" t="n">
        <f>415887600</f>
        <v>4.158876E8</v>
      </c>
      <c r="W185" s="32" t="str">
        <f>"－"</f>
        <v>－</v>
      </c>
      <c r="X185" s="36" t="n">
        <f>22</f>
        <v>22.0</v>
      </c>
    </row>
    <row r="186">
      <c r="A186" s="27" t="s">
        <v>42</v>
      </c>
      <c r="B186" s="27" t="s">
        <v>608</v>
      </c>
      <c r="C186" s="27" t="s">
        <v>609</v>
      </c>
      <c r="D186" s="27" t="s">
        <v>610</v>
      </c>
      <c r="E186" s="28" t="s">
        <v>46</v>
      </c>
      <c r="F186" s="29" t="s">
        <v>46</v>
      </c>
      <c r="G186" s="30" t="s">
        <v>46</v>
      </c>
      <c r="H186" s="31"/>
      <c r="I186" s="31" t="s">
        <v>47</v>
      </c>
      <c r="J186" s="32" t="n">
        <v>10.0</v>
      </c>
      <c r="K186" s="33" t="n">
        <f>362</f>
        <v>362.0</v>
      </c>
      <c r="L186" s="34" t="s">
        <v>48</v>
      </c>
      <c r="M186" s="33" t="n">
        <f>422</f>
        <v>422.0</v>
      </c>
      <c r="N186" s="34" t="s">
        <v>73</v>
      </c>
      <c r="O186" s="33" t="n">
        <f>338</f>
        <v>338.0</v>
      </c>
      <c r="P186" s="34" t="s">
        <v>62</v>
      </c>
      <c r="Q186" s="33" t="n">
        <f>398</f>
        <v>398.0</v>
      </c>
      <c r="R186" s="34" t="s">
        <v>51</v>
      </c>
      <c r="S186" s="35" t="n">
        <f>386.45</f>
        <v>386.45</v>
      </c>
      <c r="T186" s="32" t="n">
        <f>8175830</f>
        <v>8175830.0</v>
      </c>
      <c r="U186" s="32" t="str">
        <f>"－"</f>
        <v>－</v>
      </c>
      <c r="V186" s="32" t="n">
        <f>3158078700</f>
        <v>3.1580787E9</v>
      </c>
      <c r="W186" s="32" t="str">
        <f>"－"</f>
        <v>－</v>
      </c>
      <c r="X186" s="36" t="n">
        <f>22</f>
        <v>22.0</v>
      </c>
    </row>
    <row r="187">
      <c r="A187" s="27" t="s">
        <v>42</v>
      </c>
      <c r="B187" s="27" t="s">
        <v>611</v>
      </c>
      <c r="C187" s="27" t="s">
        <v>612</v>
      </c>
      <c r="D187" s="27" t="s">
        <v>613</v>
      </c>
      <c r="E187" s="28" t="s">
        <v>46</v>
      </c>
      <c r="F187" s="29" t="s">
        <v>46</v>
      </c>
      <c r="G187" s="30" t="s">
        <v>46</v>
      </c>
      <c r="H187" s="31"/>
      <c r="I187" s="31" t="s">
        <v>47</v>
      </c>
      <c r="J187" s="32" t="n">
        <v>1.0</v>
      </c>
      <c r="K187" s="33" t="n">
        <f>1650</f>
        <v>1650.0</v>
      </c>
      <c r="L187" s="34" t="s">
        <v>48</v>
      </c>
      <c r="M187" s="33" t="n">
        <f>2100</f>
        <v>2100.0</v>
      </c>
      <c r="N187" s="34" t="s">
        <v>132</v>
      </c>
      <c r="O187" s="33" t="n">
        <f>1650</f>
        <v>1650.0</v>
      </c>
      <c r="P187" s="34" t="s">
        <v>48</v>
      </c>
      <c r="Q187" s="33" t="n">
        <f>1940</f>
        <v>1940.0</v>
      </c>
      <c r="R187" s="34" t="s">
        <v>51</v>
      </c>
      <c r="S187" s="35" t="n">
        <f>1947.9</f>
        <v>1947.9</v>
      </c>
      <c r="T187" s="32" t="n">
        <f>3716</f>
        <v>3716.0</v>
      </c>
      <c r="U187" s="32" t="str">
        <f>"－"</f>
        <v>－</v>
      </c>
      <c r="V187" s="32" t="n">
        <f>7335411</f>
        <v>7335411.0</v>
      </c>
      <c r="W187" s="32" t="str">
        <f>"－"</f>
        <v>－</v>
      </c>
      <c r="X187" s="36" t="n">
        <f>21</f>
        <v>21.0</v>
      </c>
    </row>
    <row r="188">
      <c r="A188" s="27" t="s">
        <v>42</v>
      </c>
      <c r="B188" s="27" t="s">
        <v>614</v>
      </c>
      <c r="C188" s="27" t="s">
        <v>615</v>
      </c>
      <c r="D188" s="27" t="s">
        <v>616</v>
      </c>
      <c r="E188" s="28" t="s">
        <v>46</v>
      </c>
      <c r="F188" s="29" t="s">
        <v>46</v>
      </c>
      <c r="G188" s="30" t="s">
        <v>46</v>
      </c>
      <c r="H188" s="31"/>
      <c r="I188" s="31" t="s">
        <v>47</v>
      </c>
      <c r="J188" s="32" t="n">
        <v>100.0</v>
      </c>
      <c r="K188" s="33" t="n">
        <f>264</f>
        <v>264.0</v>
      </c>
      <c r="L188" s="34" t="s">
        <v>48</v>
      </c>
      <c r="M188" s="33" t="n">
        <f>273</f>
        <v>273.0</v>
      </c>
      <c r="N188" s="34" t="s">
        <v>73</v>
      </c>
      <c r="O188" s="33" t="n">
        <f>263</f>
        <v>263.0</v>
      </c>
      <c r="P188" s="34" t="s">
        <v>48</v>
      </c>
      <c r="Q188" s="33" t="n">
        <f>269</f>
        <v>269.0</v>
      </c>
      <c r="R188" s="34" t="s">
        <v>305</v>
      </c>
      <c r="S188" s="35" t="n">
        <f>269.5</f>
        <v>269.5</v>
      </c>
      <c r="T188" s="32" t="n">
        <f>2700</f>
        <v>2700.0</v>
      </c>
      <c r="U188" s="32" t="str">
        <f>"－"</f>
        <v>－</v>
      </c>
      <c r="V188" s="32" t="n">
        <f>723200</f>
        <v>723200.0</v>
      </c>
      <c r="W188" s="32" t="str">
        <f>"－"</f>
        <v>－</v>
      </c>
      <c r="X188" s="36" t="n">
        <f>8</f>
        <v>8.0</v>
      </c>
    </row>
    <row r="189">
      <c r="A189" s="27" t="s">
        <v>42</v>
      </c>
      <c r="B189" s="27" t="s">
        <v>617</v>
      </c>
      <c r="C189" s="27" t="s">
        <v>618</v>
      </c>
      <c r="D189" s="27" t="s">
        <v>619</v>
      </c>
      <c r="E189" s="28" t="s">
        <v>46</v>
      </c>
      <c r="F189" s="29" t="s">
        <v>46</v>
      </c>
      <c r="G189" s="30" t="s">
        <v>46</v>
      </c>
      <c r="H189" s="31"/>
      <c r="I189" s="31" t="s">
        <v>47</v>
      </c>
      <c r="J189" s="32" t="n">
        <v>10.0</v>
      </c>
      <c r="K189" s="33" t="n">
        <f>2607</f>
        <v>2607.0</v>
      </c>
      <c r="L189" s="34" t="s">
        <v>48</v>
      </c>
      <c r="M189" s="33" t="n">
        <f>3200</f>
        <v>3200.0</v>
      </c>
      <c r="N189" s="34" t="s">
        <v>77</v>
      </c>
      <c r="O189" s="33" t="n">
        <f>2607</f>
        <v>2607.0</v>
      </c>
      <c r="P189" s="34" t="s">
        <v>48</v>
      </c>
      <c r="Q189" s="33" t="n">
        <f>3200</f>
        <v>3200.0</v>
      </c>
      <c r="R189" s="34" t="s">
        <v>51</v>
      </c>
      <c r="S189" s="35" t="n">
        <f>2852.41</f>
        <v>2852.41</v>
      </c>
      <c r="T189" s="32" t="n">
        <f>2100</f>
        <v>2100.0</v>
      </c>
      <c r="U189" s="32" t="str">
        <f>"－"</f>
        <v>－</v>
      </c>
      <c r="V189" s="32" t="n">
        <f>6038210</f>
        <v>6038210.0</v>
      </c>
      <c r="W189" s="32" t="str">
        <f>"－"</f>
        <v>－</v>
      </c>
      <c r="X189" s="36" t="n">
        <f>17</f>
        <v>17.0</v>
      </c>
    </row>
    <row r="190">
      <c r="A190" s="27" t="s">
        <v>42</v>
      </c>
      <c r="B190" s="27" t="s">
        <v>620</v>
      </c>
      <c r="C190" s="27" t="s">
        <v>621</v>
      </c>
      <c r="D190" s="27" t="s">
        <v>622</v>
      </c>
      <c r="E190" s="28" t="s">
        <v>46</v>
      </c>
      <c r="F190" s="29" t="s">
        <v>46</v>
      </c>
      <c r="G190" s="30" t="s">
        <v>46</v>
      </c>
      <c r="H190" s="31"/>
      <c r="I190" s="31" t="s">
        <v>47</v>
      </c>
      <c r="J190" s="32" t="n">
        <v>10.0</v>
      </c>
      <c r="K190" s="33" t="n">
        <f>1313</f>
        <v>1313.0</v>
      </c>
      <c r="L190" s="34" t="s">
        <v>285</v>
      </c>
      <c r="M190" s="33" t="n">
        <f>1351</f>
        <v>1351.0</v>
      </c>
      <c r="N190" s="34" t="s">
        <v>69</v>
      </c>
      <c r="O190" s="33" t="n">
        <f>1256</f>
        <v>1256.0</v>
      </c>
      <c r="P190" s="34" t="s">
        <v>278</v>
      </c>
      <c r="Q190" s="33" t="n">
        <f>1256</f>
        <v>1256.0</v>
      </c>
      <c r="R190" s="34" t="s">
        <v>298</v>
      </c>
      <c r="S190" s="35" t="n">
        <f>1303.8</f>
        <v>1303.8</v>
      </c>
      <c r="T190" s="32" t="n">
        <f>480</f>
        <v>480.0</v>
      </c>
      <c r="U190" s="32" t="str">
        <f>"－"</f>
        <v>－</v>
      </c>
      <c r="V190" s="32" t="n">
        <f>632260</f>
        <v>632260.0</v>
      </c>
      <c r="W190" s="32" t="str">
        <f>"－"</f>
        <v>－</v>
      </c>
      <c r="X190" s="36" t="n">
        <f>10</f>
        <v>10.0</v>
      </c>
    </row>
    <row r="191">
      <c r="A191" s="27" t="s">
        <v>42</v>
      </c>
      <c r="B191" s="27" t="s">
        <v>623</v>
      </c>
      <c r="C191" s="27" t="s">
        <v>624</v>
      </c>
      <c r="D191" s="27" t="s">
        <v>625</v>
      </c>
      <c r="E191" s="28" t="s">
        <v>46</v>
      </c>
      <c r="F191" s="29" t="s">
        <v>46</v>
      </c>
      <c r="G191" s="30" t="s">
        <v>46</v>
      </c>
      <c r="H191" s="31"/>
      <c r="I191" s="31" t="s">
        <v>47</v>
      </c>
      <c r="J191" s="32" t="n">
        <v>100.0</v>
      </c>
      <c r="K191" s="33" t="n">
        <f>66</f>
        <v>66.0</v>
      </c>
      <c r="L191" s="34" t="s">
        <v>48</v>
      </c>
      <c r="M191" s="33" t="n">
        <f>69</f>
        <v>69.0</v>
      </c>
      <c r="N191" s="34" t="s">
        <v>94</v>
      </c>
      <c r="O191" s="33" t="n">
        <f>59</f>
        <v>59.0</v>
      </c>
      <c r="P191" s="34" t="s">
        <v>77</v>
      </c>
      <c r="Q191" s="33" t="n">
        <f>62</f>
        <v>62.0</v>
      </c>
      <c r="R191" s="34" t="s">
        <v>51</v>
      </c>
      <c r="S191" s="35" t="n">
        <f>64</f>
        <v>64.0</v>
      </c>
      <c r="T191" s="32" t="n">
        <f>11629400</f>
        <v>1.16294E7</v>
      </c>
      <c r="U191" s="32" t="str">
        <f>"－"</f>
        <v>－</v>
      </c>
      <c r="V191" s="32" t="n">
        <f>741388900</f>
        <v>7.413889E8</v>
      </c>
      <c r="W191" s="32" t="str">
        <f>"－"</f>
        <v>－</v>
      </c>
      <c r="X191" s="36" t="n">
        <f>22</f>
        <v>22.0</v>
      </c>
    </row>
    <row r="192">
      <c r="A192" s="27" t="s">
        <v>42</v>
      </c>
      <c r="B192" s="27" t="s">
        <v>626</v>
      </c>
      <c r="C192" s="27" t="s">
        <v>627</v>
      </c>
      <c r="D192" s="27" t="s">
        <v>628</v>
      </c>
      <c r="E192" s="28" t="s">
        <v>46</v>
      </c>
      <c r="F192" s="29" t="s">
        <v>46</v>
      </c>
      <c r="G192" s="30" t="s">
        <v>46</v>
      </c>
      <c r="H192" s="31"/>
      <c r="I192" s="31" t="s">
        <v>47</v>
      </c>
      <c r="J192" s="32" t="n">
        <v>100.0</v>
      </c>
      <c r="K192" s="33" t="n">
        <f>67</f>
        <v>67.0</v>
      </c>
      <c r="L192" s="34" t="s">
        <v>48</v>
      </c>
      <c r="M192" s="33" t="n">
        <f>71</f>
        <v>71.0</v>
      </c>
      <c r="N192" s="34" t="s">
        <v>73</v>
      </c>
      <c r="O192" s="33" t="n">
        <f>63</f>
        <v>63.0</v>
      </c>
      <c r="P192" s="34" t="s">
        <v>340</v>
      </c>
      <c r="Q192" s="33" t="n">
        <f>65</f>
        <v>65.0</v>
      </c>
      <c r="R192" s="34" t="s">
        <v>51</v>
      </c>
      <c r="S192" s="35" t="n">
        <f>66.55</f>
        <v>66.55</v>
      </c>
      <c r="T192" s="32" t="n">
        <f>3127000</f>
        <v>3127000.0</v>
      </c>
      <c r="U192" s="32" t="str">
        <f>"－"</f>
        <v>－</v>
      </c>
      <c r="V192" s="32" t="n">
        <f>206997200</f>
        <v>2.069972E8</v>
      </c>
      <c r="W192" s="32" t="str">
        <f>"－"</f>
        <v>－</v>
      </c>
      <c r="X192" s="36" t="n">
        <f>22</f>
        <v>22.0</v>
      </c>
    </row>
    <row r="193">
      <c r="A193" s="27" t="s">
        <v>42</v>
      </c>
      <c r="B193" s="27" t="s">
        <v>629</v>
      </c>
      <c r="C193" s="27" t="s">
        <v>630</v>
      </c>
      <c r="D193" s="27" t="s">
        <v>631</v>
      </c>
      <c r="E193" s="28" t="s">
        <v>46</v>
      </c>
      <c r="F193" s="29" t="s">
        <v>46</v>
      </c>
      <c r="G193" s="30" t="s">
        <v>46</v>
      </c>
      <c r="H193" s="31"/>
      <c r="I193" s="31" t="s">
        <v>47</v>
      </c>
      <c r="J193" s="32" t="n">
        <v>10.0</v>
      </c>
      <c r="K193" s="33" t="n">
        <f>1955</f>
        <v>1955.0</v>
      </c>
      <c r="L193" s="34" t="s">
        <v>48</v>
      </c>
      <c r="M193" s="33" t="n">
        <f>1980</f>
        <v>1980.0</v>
      </c>
      <c r="N193" s="34" t="s">
        <v>73</v>
      </c>
      <c r="O193" s="33" t="n">
        <f>1832</f>
        <v>1832.0</v>
      </c>
      <c r="P193" s="34" t="s">
        <v>62</v>
      </c>
      <c r="Q193" s="33" t="n">
        <f>1838</f>
        <v>1838.0</v>
      </c>
      <c r="R193" s="34" t="s">
        <v>51</v>
      </c>
      <c r="S193" s="35" t="n">
        <f>1878.73</f>
        <v>1878.73</v>
      </c>
      <c r="T193" s="32" t="n">
        <f>13420</f>
        <v>13420.0</v>
      </c>
      <c r="U193" s="32" t="str">
        <f>"－"</f>
        <v>－</v>
      </c>
      <c r="V193" s="32" t="n">
        <f>25235830</f>
        <v>2.523583E7</v>
      </c>
      <c r="W193" s="32" t="str">
        <f>"－"</f>
        <v>－</v>
      </c>
      <c r="X193" s="36" t="n">
        <f>22</f>
        <v>22.0</v>
      </c>
    </row>
    <row r="194">
      <c r="A194" s="27" t="s">
        <v>42</v>
      </c>
      <c r="B194" s="27" t="s">
        <v>632</v>
      </c>
      <c r="C194" s="27" t="s">
        <v>633</v>
      </c>
      <c r="D194" s="27" t="s">
        <v>634</v>
      </c>
      <c r="E194" s="28" t="s">
        <v>46</v>
      </c>
      <c r="F194" s="29" t="s">
        <v>46</v>
      </c>
      <c r="G194" s="30" t="s">
        <v>46</v>
      </c>
      <c r="H194" s="31"/>
      <c r="I194" s="31" t="s">
        <v>47</v>
      </c>
      <c r="J194" s="32" t="n">
        <v>10.0</v>
      </c>
      <c r="K194" s="33" t="n">
        <f>1483</f>
        <v>1483.0</v>
      </c>
      <c r="L194" s="34" t="s">
        <v>48</v>
      </c>
      <c r="M194" s="33" t="n">
        <f>1570</f>
        <v>1570.0</v>
      </c>
      <c r="N194" s="34" t="s">
        <v>49</v>
      </c>
      <c r="O194" s="33" t="n">
        <f>1437</f>
        <v>1437.0</v>
      </c>
      <c r="P194" s="34" t="s">
        <v>77</v>
      </c>
      <c r="Q194" s="33" t="n">
        <f>1452</f>
        <v>1452.0</v>
      </c>
      <c r="R194" s="34" t="s">
        <v>51</v>
      </c>
      <c r="S194" s="35" t="n">
        <f>1496.36</f>
        <v>1496.36</v>
      </c>
      <c r="T194" s="32" t="n">
        <f>113740</f>
        <v>113740.0</v>
      </c>
      <c r="U194" s="32" t="str">
        <f>"－"</f>
        <v>－</v>
      </c>
      <c r="V194" s="32" t="n">
        <f>170133790</f>
        <v>1.7013379E8</v>
      </c>
      <c r="W194" s="32" t="str">
        <f>"－"</f>
        <v>－</v>
      </c>
      <c r="X194" s="36" t="n">
        <f>22</f>
        <v>22.0</v>
      </c>
    </row>
    <row r="195">
      <c r="A195" s="27" t="s">
        <v>42</v>
      </c>
      <c r="B195" s="27" t="s">
        <v>635</v>
      </c>
      <c r="C195" s="27" t="s">
        <v>636</v>
      </c>
      <c r="D195" s="27" t="s">
        <v>637</v>
      </c>
      <c r="E195" s="28" t="s">
        <v>46</v>
      </c>
      <c r="F195" s="29" t="s">
        <v>46</v>
      </c>
      <c r="G195" s="30" t="s">
        <v>46</v>
      </c>
      <c r="H195" s="31"/>
      <c r="I195" s="31" t="s">
        <v>47</v>
      </c>
      <c r="J195" s="32" t="n">
        <v>10.0</v>
      </c>
      <c r="K195" s="33" t="n">
        <f>95</f>
        <v>95.0</v>
      </c>
      <c r="L195" s="34" t="s">
        <v>48</v>
      </c>
      <c r="M195" s="33" t="n">
        <f>110</f>
        <v>110.0</v>
      </c>
      <c r="N195" s="34" t="s">
        <v>73</v>
      </c>
      <c r="O195" s="33" t="n">
        <f>92</f>
        <v>92.0</v>
      </c>
      <c r="P195" s="34" t="s">
        <v>62</v>
      </c>
      <c r="Q195" s="33" t="n">
        <f>104</f>
        <v>104.0</v>
      </c>
      <c r="R195" s="34" t="s">
        <v>51</v>
      </c>
      <c r="S195" s="35" t="n">
        <f>101.23</f>
        <v>101.23</v>
      </c>
      <c r="T195" s="32" t="n">
        <f>754691830</f>
        <v>7.5469183E8</v>
      </c>
      <c r="U195" s="32" t="n">
        <f>5778170</f>
        <v>5778170.0</v>
      </c>
      <c r="V195" s="32" t="n">
        <f>76036979860</f>
        <v>7.603697986E10</v>
      </c>
      <c r="W195" s="32" t="n">
        <f>587928400</f>
        <v>5.879284E8</v>
      </c>
      <c r="X195" s="36" t="n">
        <f>22</f>
        <v>22.0</v>
      </c>
    </row>
    <row r="196">
      <c r="A196" s="27" t="s">
        <v>42</v>
      </c>
      <c r="B196" s="27" t="s">
        <v>638</v>
      </c>
      <c r="C196" s="27" t="s">
        <v>639</v>
      </c>
      <c r="D196" s="27" t="s">
        <v>640</v>
      </c>
      <c r="E196" s="28" t="s">
        <v>46</v>
      </c>
      <c r="F196" s="29" t="s">
        <v>46</v>
      </c>
      <c r="G196" s="30" t="s">
        <v>46</v>
      </c>
      <c r="H196" s="31"/>
      <c r="I196" s="31" t="s">
        <v>641</v>
      </c>
      <c r="J196" s="32" t="n">
        <v>1.0</v>
      </c>
      <c r="K196" s="33" t="n">
        <f>7850</f>
        <v>7850.0</v>
      </c>
      <c r="L196" s="34" t="s">
        <v>48</v>
      </c>
      <c r="M196" s="33" t="n">
        <f>9890</f>
        <v>9890.0</v>
      </c>
      <c r="N196" s="34" t="s">
        <v>73</v>
      </c>
      <c r="O196" s="33" t="n">
        <f>7850</f>
        <v>7850.0</v>
      </c>
      <c r="P196" s="34" t="s">
        <v>48</v>
      </c>
      <c r="Q196" s="33" t="n">
        <f>8900</f>
        <v>8900.0</v>
      </c>
      <c r="R196" s="34" t="s">
        <v>51</v>
      </c>
      <c r="S196" s="35" t="n">
        <f>8875.91</f>
        <v>8875.91</v>
      </c>
      <c r="T196" s="32" t="n">
        <f>29014</f>
        <v>29014.0</v>
      </c>
      <c r="U196" s="32" t="str">
        <f>"－"</f>
        <v>－</v>
      </c>
      <c r="V196" s="32" t="n">
        <f>256768950</f>
        <v>2.5676895E8</v>
      </c>
      <c r="W196" s="32" t="str">
        <f>"－"</f>
        <v>－</v>
      </c>
      <c r="X196" s="36" t="n">
        <f>22</f>
        <v>22.0</v>
      </c>
    </row>
    <row r="197">
      <c r="A197" s="27" t="s">
        <v>42</v>
      </c>
      <c r="B197" s="27" t="s">
        <v>642</v>
      </c>
      <c r="C197" s="27" t="s">
        <v>643</v>
      </c>
      <c r="D197" s="27" t="s">
        <v>644</v>
      </c>
      <c r="E197" s="28" t="s">
        <v>46</v>
      </c>
      <c r="F197" s="29" t="s">
        <v>46</v>
      </c>
      <c r="G197" s="30" t="s">
        <v>46</v>
      </c>
      <c r="H197" s="31"/>
      <c r="I197" s="31" t="s">
        <v>641</v>
      </c>
      <c r="J197" s="32" t="n">
        <v>1.0</v>
      </c>
      <c r="K197" s="33" t="n">
        <f>7150</f>
        <v>7150.0</v>
      </c>
      <c r="L197" s="34" t="s">
        <v>48</v>
      </c>
      <c r="M197" s="33" t="n">
        <f>7150</f>
        <v>7150.0</v>
      </c>
      <c r="N197" s="34" t="s">
        <v>48</v>
      </c>
      <c r="O197" s="33" t="n">
        <f>6260</f>
        <v>6260.0</v>
      </c>
      <c r="P197" s="34" t="s">
        <v>132</v>
      </c>
      <c r="Q197" s="33" t="n">
        <f>6480</f>
        <v>6480.0</v>
      </c>
      <c r="R197" s="34" t="s">
        <v>51</v>
      </c>
      <c r="S197" s="35" t="n">
        <f>6510.91</f>
        <v>6510.91</v>
      </c>
      <c r="T197" s="32" t="n">
        <f>9846</f>
        <v>9846.0</v>
      </c>
      <c r="U197" s="32" t="str">
        <f>"－"</f>
        <v>－</v>
      </c>
      <c r="V197" s="32" t="n">
        <f>65198770</f>
        <v>6.519877E7</v>
      </c>
      <c r="W197" s="32" t="str">
        <f>"－"</f>
        <v>－</v>
      </c>
      <c r="X197" s="36" t="n">
        <f>22</f>
        <v>22.0</v>
      </c>
    </row>
    <row r="198">
      <c r="A198" s="27" t="s">
        <v>42</v>
      </c>
      <c r="B198" s="27" t="s">
        <v>645</v>
      </c>
      <c r="C198" s="27" t="s">
        <v>646</v>
      </c>
      <c r="D198" s="27" t="s">
        <v>647</v>
      </c>
      <c r="E198" s="28" t="s">
        <v>46</v>
      </c>
      <c r="F198" s="29" t="s">
        <v>46</v>
      </c>
      <c r="G198" s="30" t="s">
        <v>46</v>
      </c>
      <c r="H198" s="31"/>
      <c r="I198" s="31" t="s">
        <v>641</v>
      </c>
      <c r="J198" s="32" t="n">
        <v>1.0</v>
      </c>
      <c r="K198" s="33" t="n">
        <f>7510</f>
        <v>7510.0</v>
      </c>
      <c r="L198" s="34" t="s">
        <v>48</v>
      </c>
      <c r="M198" s="33" t="n">
        <f>9470</f>
        <v>9470.0</v>
      </c>
      <c r="N198" s="34" t="s">
        <v>73</v>
      </c>
      <c r="O198" s="33" t="n">
        <f>7510</f>
        <v>7510.0</v>
      </c>
      <c r="P198" s="34" t="s">
        <v>48</v>
      </c>
      <c r="Q198" s="33" t="n">
        <f>8360</f>
        <v>8360.0</v>
      </c>
      <c r="R198" s="34" t="s">
        <v>51</v>
      </c>
      <c r="S198" s="35" t="n">
        <f>8361.9</f>
        <v>8361.9</v>
      </c>
      <c r="T198" s="32" t="n">
        <f>2106</f>
        <v>2106.0</v>
      </c>
      <c r="U198" s="32" t="str">
        <f>"－"</f>
        <v>－</v>
      </c>
      <c r="V198" s="32" t="n">
        <f>17720430</f>
        <v>1.772043E7</v>
      </c>
      <c r="W198" s="32" t="str">
        <f>"－"</f>
        <v>－</v>
      </c>
      <c r="X198" s="36" t="n">
        <f>21</f>
        <v>21.0</v>
      </c>
    </row>
    <row r="199">
      <c r="A199" s="27" t="s">
        <v>42</v>
      </c>
      <c r="B199" s="27" t="s">
        <v>648</v>
      </c>
      <c r="C199" s="27" t="s">
        <v>649</v>
      </c>
      <c r="D199" s="27" t="s">
        <v>650</v>
      </c>
      <c r="E199" s="28" t="s">
        <v>46</v>
      </c>
      <c r="F199" s="29" t="s">
        <v>46</v>
      </c>
      <c r="G199" s="30" t="s">
        <v>46</v>
      </c>
      <c r="H199" s="31"/>
      <c r="I199" s="31" t="s">
        <v>641</v>
      </c>
      <c r="J199" s="32" t="n">
        <v>1.0</v>
      </c>
      <c r="K199" s="33" t="n">
        <f>8750</f>
        <v>8750.0</v>
      </c>
      <c r="L199" s="34" t="s">
        <v>48</v>
      </c>
      <c r="M199" s="33" t="n">
        <f>8940</f>
        <v>8940.0</v>
      </c>
      <c r="N199" s="34" t="s">
        <v>48</v>
      </c>
      <c r="O199" s="33" t="n">
        <f>8250</f>
        <v>8250.0</v>
      </c>
      <c r="P199" s="34" t="s">
        <v>73</v>
      </c>
      <c r="Q199" s="33" t="n">
        <f>8540</f>
        <v>8540.0</v>
      </c>
      <c r="R199" s="34" t="s">
        <v>51</v>
      </c>
      <c r="S199" s="35" t="n">
        <f>8592.27</f>
        <v>8592.27</v>
      </c>
      <c r="T199" s="32" t="n">
        <f>13618</f>
        <v>13618.0</v>
      </c>
      <c r="U199" s="32" t="str">
        <f>"－"</f>
        <v>－</v>
      </c>
      <c r="V199" s="32" t="n">
        <f>116111210</f>
        <v>1.1611121E8</v>
      </c>
      <c r="W199" s="32" t="str">
        <f>"－"</f>
        <v>－</v>
      </c>
      <c r="X199" s="36" t="n">
        <f>22</f>
        <v>22.0</v>
      </c>
    </row>
    <row r="200">
      <c r="A200" s="27" t="s">
        <v>42</v>
      </c>
      <c r="B200" s="27" t="s">
        <v>651</v>
      </c>
      <c r="C200" s="27" t="s">
        <v>652</v>
      </c>
      <c r="D200" s="27" t="s">
        <v>653</v>
      </c>
      <c r="E200" s="28" t="s">
        <v>46</v>
      </c>
      <c r="F200" s="29" t="s">
        <v>46</v>
      </c>
      <c r="G200" s="30" t="s">
        <v>46</v>
      </c>
      <c r="H200" s="31"/>
      <c r="I200" s="31" t="s">
        <v>641</v>
      </c>
      <c r="J200" s="32" t="n">
        <v>1.0</v>
      </c>
      <c r="K200" s="33" t="n">
        <f>955</f>
        <v>955.0</v>
      </c>
      <c r="L200" s="34" t="s">
        <v>48</v>
      </c>
      <c r="M200" s="33" t="n">
        <f>1235</f>
        <v>1235.0</v>
      </c>
      <c r="N200" s="34" t="s">
        <v>62</v>
      </c>
      <c r="O200" s="33" t="n">
        <f>876</f>
        <v>876.0</v>
      </c>
      <c r="P200" s="34" t="s">
        <v>73</v>
      </c>
      <c r="Q200" s="33" t="n">
        <f>975</f>
        <v>975.0</v>
      </c>
      <c r="R200" s="34" t="s">
        <v>51</v>
      </c>
      <c r="S200" s="35" t="n">
        <f>981.05</f>
        <v>981.05</v>
      </c>
      <c r="T200" s="32" t="n">
        <f>19428893</f>
        <v>1.9428893E7</v>
      </c>
      <c r="U200" s="32" t="n">
        <f>9471</f>
        <v>9471.0</v>
      </c>
      <c r="V200" s="32" t="n">
        <f>19881907235</f>
        <v>1.9881907235E10</v>
      </c>
      <c r="W200" s="32" t="n">
        <f>9361685</f>
        <v>9361685.0</v>
      </c>
      <c r="X200" s="36" t="n">
        <f>22</f>
        <v>22.0</v>
      </c>
    </row>
    <row r="201">
      <c r="A201" s="27" t="s">
        <v>42</v>
      </c>
      <c r="B201" s="27" t="s">
        <v>654</v>
      </c>
      <c r="C201" s="27" t="s">
        <v>655</v>
      </c>
      <c r="D201" s="27" t="s">
        <v>656</v>
      </c>
      <c r="E201" s="28" t="s">
        <v>46</v>
      </c>
      <c r="F201" s="29" t="s">
        <v>46</v>
      </c>
      <c r="G201" s="30" t="s">
        <v>46</v>
      </c>
      <c r="H201" s="31"/>
      <c r="I201" s="31" t="s">
        <v>641</v>
      </c>
      <c r="J201" s="32" t="n">
        <v>1.0</v>
      </c>
      <c r="K201" s="33" t="n">
        <f>16580</f>
        <v>16580.0</v>
      </c>
      <c r="L201" s="34" t="s">
        <v>48</v>
      </c>
      <c r="M201" s="33" t="n">
        <f>17290</f>
        <v>17290.0</v>
      </c>
      <c r="N201" s="34" t="s">
        <v>51</v>
      </c>
      <c r="O201" s="33" t="n">
        <f>15960</f>
        <v>15960.0</v>
      </c>
      <c r="P201" s="34" t="s">
        <v>62</v>
      </c>
      <c r="Q201" s="33" t="n">
        <f>17280</f>
        <v>17280.0</v>
      </c>
      <c r="R201" s="34" t="s">
        <v>51</v>
      </c>
      <c r="S201" s="35" t="n">
        <f>16449.55</f>
        <v>16449.55</v>
      </c>
      <c r="T201" s="32" t="n">
        <f>39746</f>
        <v>39746.0</v>
      </c>
      <c r="U201" s="32" t="str">
        <f>"－"</f>
        <v>－</v>
      </c>
      <c r="V201" s="32" t="n">
        <f>655020150</f>
        <v>6.5502015E8</v>
      </c>
      <c r="W201" s="32" t="str">
        <f>"－"</f>
        <v>－</v>
      </c>
      <c r="X201" s="36" t="n">
        <f>22</f>
        <v>22.0</v>
      </c>
    </row>
    <row r="202">
      <c r="A202" s="27" t="s">
        <v>42</v>
      </c>
      <c r="B202" s="27" t="s">
        <v>657</v>
      </c>
      <c r="C202" s="27" t="s">
        <v>658</v>
      </c>
      <c r="D202" s="27" t="s">
        <v>659</v>
      </c>
      <c r="E202" s="28" t="s">
        <v>46</v>
      </c>
      <c r="F202" s="29" t="s">
        <v>46</v>
      </c>
      <c r="G202" s="30" t="s">
        <v>46</v>
      </c>
      <c r="H202" s="31"/>
      <c r="I202" s="31" t="s">
        <v>641</v>
      </c>
      <c r="J202" s="32" t="n">
        <v>1.0</v>
      </c>
      <c r="K202" s="33" t="n">
        <f>6060</f>
        <v>6060.0</v>
      </c>
      <c r="L202" s="34" t="s">
        <v>48</v>
      </c>
      <c r="M202" s="33" t="n">
        <f>6220</f>
        <v>6220.0</v>
      </c>
      <c r="N202" s="34" t="s">
        <v>69</v>
      </c>
      <c r="O202" s="33" t="n">
        <f>5900</f>
        <v>5900.0</v>
      </c>
      <c r="P202" s="34" t="s">
        <v>51</v>
      </c>
      <c r="Q202" s="33" t="n">
        <f>5910</f>
        <v>5910.0</v>
      </c>
      <c r="R202" s="34" t="s">
        <v>51</v>
      </c>
      <c r="S202" s="35" t="n">
        <f>6039.09</f>
        <v>6039.09</v>
      </c>
      <c r="T202" s="32" t="n">
        <f>22192</f>
        <v>22192.0</v>
      </c>
      <c r="U202" s="32" t="str">
        <f>"－"</f>
        <v>－</v>
      </c>
      <c r="V202" s="32" t="n">
        <f>135115200</f>
        <v>1.351152E8</v>
      </c>
      <c r="W202" s="32" t="str">
        <f>"－"</f>
        <v>－</v>
      </c>
      <c r="X202" s="36" t="n">
        <f>22</f>
        <v>22.0</v>
      </c>
    </row>
    <row r="203">
      <c r="A203" s="27" t="s">
        <v>42</v>
      </c>
      <c r="B203" s="27" t="s">
        <v>660</v>
      </c>
      <c r="C203" s="27" t="s">
        <v>661</v>
      </c>
      <c r="D203" s="27" t="s">
        <v>662</v>
      </c>
      <c r="E203" s="28" t="s">
        <v>46</v>
      </c>
      <c r="F203" s="29" t="s">
        <v>46</v>
      </c>
      <c r="G203" s="30" t="s">
        <v>46</v>
      </c>
      <c r="H203" s="31"/>
      <c r="I203" s="31" t="s">
        <v>641</v>
      </c>
      <c r="J203" s="32" t="n">
        <v>1.0</v>
      </c>
      <c r="K203" s="33" t="n">
        <f>240</f>
        <v>240.0</v>
      </c>
      <c r="L203" s="34" t="s">
        <v>48</v>
      </c>
      <c r="M203" s="33" t="n">
        <f>315</f>
        <v>315.0</v>
      </c>
      <c r="N203" s="34" t="s">
        <v>73</v>
      </c>
      <c r="O203" s="33" t="n">
        <f>211</f>
        <v>211.0</v>
      </c>
      <c r="P203" s="34" t="s">
        <v>62</v>
      </c>
      <c r="Q203" s="33" t="n">
        <f>249</f>
        <v>249.0</v>
      </c>
      <c r="R203" s="34" t="s">
        <v>51</v>
      </c>
      <c r="S203" s="35" t="n">
        <f>256.05</f>
        <v>256.05</v>
      </c>
      <c r="T203" s="32" t="n">
        <f>702730570</f>
        <v>7.0273057E8</v>
      </c>
      <c r="U203" s="32" t="n">
        <f>4000</f>
        <v>4000.0</v>
      </c>
      <c r="V203" s="32" t="n">
        <f>181420548775</f>
        <v>1.81420548775E11</v>
      </c>
      <c r="W203" s="32" t="n">
        <f>1244000</f>
        <v>1244000.0</v>
      </c>
      <c r="X203" s="36" t="n">
        <f>22</f>
        <v>22.0</v>
      </c>
    </row>
    <row r="204">
      <c r="A204" s="27" t="s">
        <v>42</v>
      </c>
      <c r="B204" s="27" t="s">
        <v>663</v>
      </c>
      <c r="C204" s="27" t="s">
        <v>664</v>
      </c>
      <c r="D204" s="27" t="s">
        <v>665</v>
      </c>
      <c r="E204" s="28" t="s">
        <v>46</v>
      </c>
      <c r="F204" s="29" t="s">
        <v>46</v>
      </c>
      <c r="G204" s="30" t="s">
        <v>46</v>
      </c>
      <c r="H204" s="31"/>
      <c r="I204" s="31" t="s">
        <v>641</v>
      </c>
      <c r="J204" s="32" t="n">
        <v>1.0</v>
      </c>
      <c r="K204" s="33" t="n">
        <f>6790</f>
        <v>6790.0</v>
      </c>
      <c r="L204" s="34" t="s">
        <v>48</v>
      </c>
      <c r="M204" s="33" t="n">
        <f>7060</f>
        <v>7060.0</v>
      </c>
      <c r="N204" s="34" t="s">
        <v>50</v>
      </c>
      <c r="O204" s="33" t="n">
        <f>5920</f>
        <v>5920.0</v>
      </c>
      <c r="P204" s="34" t="s">
        <v>73</v>
      </c>
      <c r="Q204" s="33" t="n">
        <f>6350</f>
        <v>6350.0</v>
      </c>
      <c r="R204" s="34" t="s">
        <v>51</v>
      </c>
      <c r="S204" s="35" t="n">
        <f>6480.45</f>
        <v>6480.45</v>
      </c>
      <c r="T204" s="32" t="n">
        <f>401163</f>
        <v>401163.0</v>
      </c>
      <c r="U204" s="32" t="str">
        <f>"－"</f>
        <v>－</v>
      </c>
      <c r="V204" s="32" t="n">
        <f>2605897880</f>
        <v>2.60589788E9</v>
      </c>
      <c r="W204" s="32" t="str">
        <f>"－"</f>
        <v>－</v>
      </c>
      <c r="X204" s="36" t="n">
        <f>22</f>
        <v>22.0</v>
      </c>
    </row>
    <row r="205">
      <c r="A205" s="27" t="s">
        <v>42</v>
      </c>
      <c r="B205" s="27" t="s">
        <v>666</v>
      </c>
      <c r="C205" s="27" t="s">
        <v>667</v>
      </c>
      <c r="D205" s="27" t="s">
        <v>668</v>
      </c>
      <c r="E205" s="28" t="s">
        <v>46</v>
      </c>
      <c r="F205" s="29" t="s">
        <v>46</v>
      </c>
      <c r="G205" s="30" t="s">
        <v>46</v>
      </c>
      <c r="H205" s="31"/>
      <c r="I205" s="31" t="s">
        <v>641</v>
      </c>
      <c r="J205" s="32" t="n">
        <v>1.0</v>
      </c>
      <c r="K205" s="33" t="n">
        <f>17340</f>
        <v>17340.0</v>
      </c>
      <c r="L205" s="34" t="s">
        <v>48</v>
      </c>
      <c r="M205" s="33" t="n">
        <f>20600</f>
        <v>20600.0</v>
      </c>
      <c r="N205" s="34" t="s">
        <v>49</v>
      </c>
      <c r="O205" s="33" t="n">
        <f>16370</f>
        <v>16370.0</v>
      </c>
      <c r="P205" s="34" t="s">
        <v>50</v>
      </c>
      <c r="Q205" s="33" t="n">
        <f>17440</f>
        <v>17440.0</v>
      </c>
      <c r="R205" s="34" t="s">
        <v>51</v>
      </c>
      <c r="S205" s="35" t="n">
        <f>18256.36</f>
        <v>18256.36</v>
      </c>
      <c r="T205" s="32" t="n">
        <f>932084</f>
        <v>932084.0</v>
      </c>
      <c r="U205" s="32" t="n">
        <f>405</f>
        <v>405.0</v>
      </c>
      <c r="V205" s="32" t="n">
        <f>16988733020</f>
        <v>1.698873302E10</v>
      </c>
      <c r="W205" s="32" t="n">
        <f>7091550</f>
        <v>7091550.0</v>
      </c>
      <c r="X205" s="36" t="n">
        <f>22</f>
        <v>22.0</v>
      </c>
    </row>
    <row r="206">
      <c r="A206" s="27" t="s">
        <v>42</v>
      </c>
      <c r="B206" s="27" t="s">
        <v>669</v>
      </c>
      <c r="C206" s="27" t="s">
        <v>670</v>
      </c>
      <c r="D206" s="27" t="s">
        <v>671</v>
      </c>
      <c r="E206" s="28" t="s">
        <v>46</v>
      </c>
      <c r="F206" s="29" t="s">
        <v>46</v>
      </c>
      <c r="G206" s="30" t="s">
        <v>46</v>
      </c>
      <c r="H206" s="31"/>
      <c r="I206" s="31" t="s">
        <v>641</v>
      </c>
      <c r="J206" s="32" t="n">
        <v>1.0</v>
      </c>
      <c r="K206" s="33" t="n">
        <f>4310</f>
        <v>4310.0</v>
      </c>
      <c r="L206" s="34" t="s">
        <v>48</v>
      </c>
      <c r="M206" s="33" t="n">
        <f>4430</f>
        <v>4430.0</v>
      </c>
      <c r="N206" s="34" t="s">
        <v>50</v>
      </c>
      <c r="O206" s="33" t="n">
        <f>3945</f>
        <v>3945.0</v>
      </c>
      <c r="P206" s="34" t="s">
        <v>49</v>
      </c>
      <c r="Q206" s="33" t="n">
        <f>4260</f>
        <v>4260.0</v>
      </c>
      <c r="R206" s="34" t="s">
        <v>51</v>
      </c>
      <c r="S206" s="35" t="n">
        <f>4182.5</f>
        <v>4182.5</v>
      </c>
      <c r="T206" s="32" t="n">
        <f>888219</f>
        <v>888219.0</v>
      </c>
      <c r="U206" s="32" t="n">
        <f>196</f>
        <v>196.0</v>
      </c>
      <c r="V206" s="32" t="n">
        <f>3728695660</f>
        <v>3.72869566E9</v>
      </c>
      <c r="W206" s="32" t="n">
        <f>809160</f>
        <v>809160.0</v>
      </c>
      <c r="X206" s="36" t="n">
        <f>22</f>
        <v>22.0</v>
      </c>
    </row>
    <row r="207">
      <c r="A207" s="27" t="s">
        <v>42</v>
      </c>
      <c r="B207" s="27" t="s">
        <v>672</v>
      </c>
      <c r="C207" s="27" t="s">
        <v>673</v>
      </c>
      <c r="D207" s="27" t="s">
        <v>674</v>
      </c>
      <c r="E207" s="28" t="s">
        <v>46</v>
      </c>
      <c r="F207" s="29" t="s">
        <v>46</v>
      </c>
      <c r="G207" s="30" t="s">
        <v>46</v>
      </c>
      <c r="H207" s="31"/>
      <c r="I207" s="31" t="s">
        <v>641</v>
      </c>
      <c r="J207" s="32" t="n">
        <v>1.0</v>
      </c>
      <c r="K207" s="33" t="n">
        <f>10550</f>
        <v>10550.0</v>
      </c>
      <c r="L207" s="34" t="s">
        <v>48</v>
      </c>
      <c r="M207" s="33" t="n">
        <f>11450</f>
        <v>11450.0</v>
      </c>
      <c r="N207" s="34" t="s">
        <v>132</v>
      </c>
      <c r="O207" s="33" t="n">
        <f>10080</f>
        <v>10080.0</v>
      </c>
      <c r="P207" s="34" t="s">
        <v>62</v>
      </c>
      <c r="Q207" s="33" t="n">
        <f>10990</f>
        <v>10990.0</v>
      </c>
      <c r="R207" s="34" t="s">
        <v>51</v>
      </c>
      <c r="S207" s="35" t="n">
        <f>10890.45</f>
        <v>10890.45</v>
      </c>
      <c r="T207" s="32" t="n">
        <f>226050</f>
        <v>226050.0</v>
      </c>
      <c r="U207" s="32" t="n">
        <f>11272</f>
        <v>11272.0</v>
      </c>
      <c r="V207" s="32" t="n">
        <f>2450261960</f>
        <v>2.45026196E9</v>
      </c>
      <c r="W207" s="32" t="n">
        <f>121735920</f>
        <v>1.2173592E8</v>
      </c>
      <c r="X207" s="36" t="n">
        <f>22</f>
        <v>22.0</v>
      </c>
    </row>
    <row r="208">
      <c r="A208" s="27" t="s">
        <v>42</v>
      </c>
      <c r="B208" s="27" t="s">
        <v>675</v>
      </c>
      <c r="C208" s="27" t="s">
        <v>676</v>
      </c>
      <c r="D208" s="27" t="s">
        <v>677</v>
      </c>
      <c r="E208" s="28" t="s">
        <v>46</v>
      </c>
      <c r="F208" s="29" t="s">
        <v>46</v>
      </c>
      <c r="G208" s="30" t="s">
        <v>46</v>
      </c>
      <c r="H208" s="31"/>
      <c r="I208" s="31" t="s">
        <v>641</v>
      </c>
      <c r="J208" s="32" t="n">
        <v>1.0</v>
      </c>
      <c r="K208" s="33" t="n">
        <f>9610</f>
        <v>9610.0</v>
      </c>
      <c r="L208" s="34" t="s">
        <v>48</v>
      </c>
      <c r="M208" s="33" t="n">
        <f>11340</f>
        <v>11340.0</v>
      </c>
      <c r="N208" s="34" t="s">
        <v>73</v>
      </c>
      <c r="O208" s="33" t="n">
        <f>9590</f>
        <v>9590.0</v>
      </c>
      <c r="P208" s="34" t="s">
        <v>48</v>
      </c>
      <c r="Q208" s="33" t="n">
        <f>10120</f>
        <v>10120.0</v>
      </c>
      <c r="R208" s="34" t="s">
        <v>51</v>
      </c>
      <c r="S208" s="35" t="n">
        <f>10409.05</f>
        <v>10409.05</v>
      </c>
      <c r="T208" s="32" t="n">
        <f>1608</f>
        <v>1608.0</v>
      </c>
      <c r="U208" s="32" t="str">
        <f>"－"</f>
        <v>－</v>
      </c>
      <c r="V208" s="32" t="n">
        <f>16792380</f>
        <v>1.679238E7</v>
      </c>
      <c r="W208" s="32" t="str">
        <f>"－"</f>
        <v>－</v>
      </c>
      <c r="X208" s="36" t="n">
        <f>21</f>
        <v>21.0</v>
      </c>
    </row>
    <row r="209">
      <c r="A209" s="27" t="s">
        <v>42</v>
      </c>
      <c r="B209" s="27" t="s">
        <v>678</v>
      </c>
      <c r="C209" s="27" t="s">
        <v>679</v>
      </c>
      <c r="D209" s="27" t="s">
        <v>680</v>
      </c>
      <c r="E209" s="28" t="s">
        <v>46</v>
      </c>
      <c r="F209" s="29" t="s">
        <v>46</v>
      </c>
      <c r="G209" s="30" t="s">
        <v>46</v>
      </c>
      <c r="H209" s="31"/>
      <c r="I209" s="31" t="s">
        <v>641</v>
      </c>
      <c r="J209" s="32" t="n">
        <v>1.0</v>
      </c>
      <c r="K209" s="33" t="n">
        <f>13380</f>
        <v>13380.0</v>
      </c>
      <c r="L209" s="34" t="s">
        <v>48</v>
      </c>
      <c r="M209" s="33" t="n">
        <f>14470</f>
        <v>14470.0</v>
      </c>
      <c r="N209" s="34" t="s">
        <v>49</v>
      </c>
      <c r="O209" s="33" t="n">
        <f>12710</f>
        <v>12710.0</v>
      </c>
      <c r="P209" s="34" t="s">
        <v>50</v>
      </c>
      <c r="Q209" s="33" t="n">
        <f>13180</f>
        <v>13180.0</v>
      </c>
      <c r="R209" s="34" t="s">
        <v>51</v>
      </c>
      <c r="S209" s="35" t="n">
        <f>13454.55</f>
        <v>13454.55</v>
      </c>
      <c r="T209" s="32" t="n">
        <f>38127</f>
        <v>38127.0</v>
      </c>
      <c r="U209" s="32" t="n">
        <f>2200</f>
        <v>2200.0</v>
      </c>
      <c r="V209" s="32" t="n">
        <f>517381960</f>
        <v>5.1738196E8</v>
      </c>
      <c r="W209" s="32" t="n">
        <f>29458000</f>
        <v>2.9458E7</v>
      </c>
      <c r="X209" s="36" t="n">
        <f>22</f>
        <v>22.0</v>
      </c>
    </row>
    <row r="210">
      <c r="A210" s="27" t="s">
        <v>42</v>
      </c>
      <c r="B210" s="27" t="s">
        <v>681</v>
      </c>
      <c r="C210" s="27" t="s">
        <v>682</v>
      </c>
      <c r="D210" s="27" t="s">
        <v>683</v>
      </c>
      <c r="E210" s="28" t="s">
        <v>46</v>
      </c>
      <c r="F210" s="29" t="s">
        <v>46</v>
      </c>
      <c r="G210" s="30" t="s">
        <v>46</v>
      </c>
      <c r="H210" s="31"/>
      <c r="I210" s="31" t="s">
        <v>641</v>
      </c>
      <c r="J210" s="32" t="n">
        <v>1.0</v>
      </c>
      <c r="K210" s="33" t="n">
        <f>11880</f>
        <v>11880.0</v>
      </c>
      <c r="L210" s="34" t="s">
        <v>48</v>
      </c>
      <c r="M210" s="33" t="n">
        <f>12850</f>
        <v>12850.0</v>
      </c>
      <c r="N210" s="34" t="s">
        <v>49</v>
      </c>
      <c r="O210" s="33" t="n">
        <f>11420</f>
        <v>11420.0</v>
      </c>
      <c r="P210" s="34" t="s">
        <v>48</v>
      </c>
      <c r="Q210" s="33" t="n">
        <f>11910</f>
        <v>11910.0</v>
      </c>
      <c r="R210" s="34" t="s">
        <v>51</v>
      </c>
      <c r="S210" s="35" t="n">
        <f>12061.05</f>
        <v>12061.05</v>
      </c>
      <c r="T210" s="32" t="n">
        <f>10638</f>
        <v>10638.0</v>
      </c>
      <c r="U210" s="32" t="str">
        <f>"－"</f>
        <v>－</v>
      </c>
      <c r="V210" s="32" t="n">
        <f>126986550</f>
        <v>1.2698655E8</v>
      </c>
      <c r="W210" s="32" t="str">
        <f>"－"</f>
        <v>－</v>
      </c>
      <c r="X210" s="36" t="n">
        <f>19</f>
        <v>19.0</v>
      </c>
    </row>
    <row r="211">
      <c r="A211" s="27" t="s">
        <v>42</v>
      </c>
      <c r="B211" s="27" t="s">
        <v>684</v>
      </c>
      <c r="C211" s="27" t="s">
        <v>685</v>
      </c>
      <c r="D211" s="27" t="s">
        <v>686</v>
      </c>
      <c r="E211" s="28" t="s">
        <v>46</v>
      </c>
      <c r="F211" s="29" t="s">
        <v>46</v>
      </c>
      <c r="G211" s="30" t="s">
        <v>46</v>
      </c>
      <c r="H211" s="31"/>
      <c r="I211" s="31" t="s">
        <v>641</v>
      </c>
      <c r="J211" s="32" t="n">
        <v>1.0</v>
      </c>
      <c r="K211" s="33" t="n">
        <f>5610</f>
        <v>5610.0</v>
      </c>
      <c r="L211" s="34" t="s">
        <v>48</v>
      </c>
      <c r="M211" s="33" t="n">
        <f>7090</f>
        <v>7090.0</v>
      </c>
      <c r="N211" s="34" t="s">
        <v>73</v>
      </c>
      <c r="O211" s="33" t="n">
        <f>5140</f>
        <v>5140.0</v>
      </c>
      <c r="P211" s="34" t="s">
        <v>62</v>
      </c>
      <c r="Q211" s="33" t="n">
        <f>6330</f>
        <v>6330.0</v>
      </c>
      <c r="R211" s="34" t="s">
        <v>51</v>
      </c>
      <c r="S211" s="35" t="n">
        <f>6215</f>
        <v>6215.0</v>
      </c>
      <c r="T211" s="32" t="n">
        <f>329796</f>
        <v>329796.0</v>
      </c>
      <c r="U211" s="32" t="n">
        <f>196</f>
        <v>196.0</v>
      </c>
      <c r="V211" s="32" t="n">
        <f>2040650370</f>
        <v>2.04065037E9</v>
      </c>
      <c r="W211" s="32" t="n">
        <f>1173680</f>
        <v>1173680.0</v>
      </c>
      <c r="X211" s="36" t="n">
        <f>22</f>
        <v>22.0</v>
      </c>
    </row>
    <row r="212">
      <c r="A212" s="27" t="s">
        <v>42</v>
      </c>
      <c r="B212" s="27" t="s">
        <v>687</v>
      </c>
      <c r="C212" s="27" t="s">
        <v>688</v>
      </c>
      <c r="D212" s="27" t="s">
        <v>689</v>
      </c>
      <c r="E212" s="28" t="s">
        <v>46</v>
      </c>
      <c r="F212" s="29" t="s">
        <v>46</v>
      </c>
      <c r="G212" s="30" t="s">
        <v>46</v>
      </c>
      <c r="H212" s="31"/>
      <c r="I212" s="31" t="s">
        <v>641</v>
      </c>
      <c r="J212" s="32" t="n">
        <v>1.0</v>
      </c>
      <c r="K212" s="33" t="n">
        <f>7270</f>
        <v>7270.0</v>
      </c>
      <c r="L212" s="34" t="s">
        <v>48</v>
      </c>
      <c r="M212" s="33" t="n">
        <f>7410</f>
        <v>7410.0</v>
      </c>
      <c r="N212" s="34" t="s">
        <v>62</v>
      </c>
      <c r="O212" s="33" t="n">
        <f>6300</f>
        <v>6300.0</v>
      </c>
      <c r="P212" s="34" t="s">
        <v>132</v>
      </c>
      <c r="Q212" s="33" t="n">
        <f>6430</f>
        <v>6430.0</v>
      </c>
      <c r="R212" s="34" t="s">
        <v>51</v>
      </c>
      <c r="S212" s="35" t="n">
        <f>6602.73</f>
        <v>6602.73</v>
      </c>
      <c r="T212" s="32" t="n">
        <f>7207</f>
        <v>7207.0</v>
      </c>
      <c r="U212" s="32" t="str">
        <f>"－"</f>
        <v>－</v>
      </c>
      <c r="V212" s="32" t="n">
        <f>47936010</f>
        <v>4.793601E7</v>
      </c>
      <c r="W212" s="32" t="str">
        <f>"－"</f>
        <v>－</v>
      </c>
      <c r="X212" s="36" t="n">
        <f>22</f>
        <v>22.0</v>
      </c>
    </row>
    <row r="213">
      <c r="A213" s="27" t="s">
        <v>42</v>
      </c>
      <c r="B213" s="27" t="s">
        <v>690</v>
      </c>
      <c r="C213" s="27" t="s">
        <v>691</v>
      </c>
      <c r="D213" s="27" t="s">
        <v>692</v>
      </c>
      <c r="E213" s="28" t="s">
        <v>46</v>
      </c>
      <c r="F213" s="29" t="s">
        <v>46</v>
      </c>
      <c r="G213" s="30" t="s">
        <v>46</v>
      </c>
      <c r="H213" s="31"/>
      <c r="I213" s="31" t="s">
        <v>641</v>
      </c>
      <c r="J213" s="32" t="n">
        <v>1.0</v>
      </c>
      <c r="K213" s="33" t="n">
        <f>8720</f>
        <v>8720.0</v>
      </c>
      <c r="L213" s="34" t="s">
        <v>90</v>
      </c>
      <c r="M213" s="33" t="n">
        <f>9280</f>
        <v>9280.0</v>
      </c>
      <c r="N213" s="34" t="s">
        <v>73</v>
      </c>
      <c r="O213" s="33" t="n">
        <f>8230</f>
        <v>8230.0</v>
      </c>
      <c r="P213" s="34" t="s">
        <v>77</v>
      </c>
      <c r="Q213" s="33" t="n">
        <f>8440</f>
        <v>8440.0</v>
      </c>
      <c r="R213" s="34" t="s">
        <v>51</v>
      </c>
      <c r="S213" s="35" t="n">
        <f>8659.23</f>
        <v>8659.23</v>
      </c>
      <c r="T213" s="32" t="n">
        <f>4314</f>
        <v>4314.0</v>
      </c>
      <c r="U213" s="32" t="n">
        <f>198</f>
        <v>198.0</v>
      </c>
      <c r="V213" s="32" t="n">
        <f>37405430</f>
        <v>3.740543E7</v>
      </c>
      <c r="W213" s="32" t="n">
        <f>1776060</f>
        <v>1776060.0</v>
      </c>
      <c r="X213" s="36" t="n">
        <f>13</f>
        <v>13.0</v>
      </c>
    </row>
    <row r="214">
      <c r="A214" s="27" t="s">
        <v>42</v>
      </c>
      <c r="B214" s="27" t="s">
        <v>693</v>
      </c>
      <c r="C214" s="27" t="s">
        <v>694</v>
      </c>
      <c r="D214" s="27" t="s">
        <v>695</v>
      </c>
      <c r="E214" s="28" t="s">
        <v>46</v>
      </c>
      <c r="F214" s="29" t="s">
        <v>46</v>
      </c>
      <c r="G214" s="30" t="s">
        <v>46</v>
      </c>
      <c r="H214" s="31"/>
      <c r="I214" s="31" t="s">
        <v>641</v>
      </c>
      <c r="J214" s="32" t="n">
        <v>1.0</v>
      </c>
      <c r="K214" s="33" t="n">
        <f>10040</f>
        <v>10040.0</v>
      </c>
      <c r="L214" s="34" t="s">
        <v>285</v>
      </c>
      <c r="M214" s="33" t="n">
        <f>10040</f>
        <v>10040.0</v>
      </c>
      <c r="N214" s="34" t="s">
        <v>285</v>
      </c>
      <c r="O214" s="33" t="n">
        <f>9580</f>
        <v>9580.0</v>
      </c>
      <c r="P214" s="34" t="s">
        <v>305</v>
      </c>
      <c r="Q214" s="33" t="n">
        <f>9580</f>
        <v>9580.0</v>
      </c>
      <c r="R214" s="34" t="s">
        <v>51</v>
      </c>
      <c r="S214" s="35" t="n">
        <f>9802.5</f>
        <v>9802.5</v>
      </c>
      <c r="T214" s="32" t="n">
        <f>8345</f>
        <v>8345.0</v>
      </c>
      <c r="U214" s="32" t="str">
        <f>"－"</f>
        <v>－</v>
      </c>
      <c r="V214" s="32" t="n">
        <f>82482220</f>
        <v>8.248222E7</v>
      </c>
      <c r="W214" s="32" t="str">
        <f>"－"</f>
        <v>－</v>
      </c>
      <c r="X214" s="36" t="n">
        <f>8</f>
        <v>8.0</v>
      </c>
    </row>
    <row r="215">
      <c r="A215" s="27" t="s">
        <v>42</v>
      </c>
      <c r="B215" s="27" t="s">
        <v>696</v>
      </c>
      <c r="C215" s="27" t="s">
        <v>697</v>
      </c>
      <c r="D215" s="27" t="s">
        <v>698</v>
      </c>
      <c r="E215" s="28" t="s">
        <v>46</v>
      </c>
      <c r="F215" s="29" t="s">
        <v>46</v>
      </c>
      <c r="G215" s="30" t="s">
        <v>46</v>
      </c>
      <c r="H215" s="31"/>
      <c r="I215" s="31" t="s">
        <v>641</v>
      </c>
      <c r="J215" s="32" t="n">
        <v>1.0</v>
      </c>
      <c r="K215" s="33" t="n">
        <f>10390</f>
        <v>10390.0</v>
      </c>
      <c r="L215" s="34" t="s">
        <v>90</v>
      </c>
      <c r="M215" s="33" t="n">
        <f>10800</f>
        <v>10800.0</v>
      </c>
      <c r="N215" s="34" t="s">
        <v>61</v>
      </c>
      <c r="O215" s="33" t="n">
        <f>9990</f>
        <v>9990.0</v>
      </c>
      <c r="P215" s="34" t="s">
        <v>62</v>
      </c>
      <c r="Q215" s="33" t="n">
        <f>10210</f>
        <v>10210.0</v>
      </c>
      <c r="R215" s="34" t="s">
        <v>184</v>
      </c>
      <c r="S215" s="35" t="n">
        <f>10365</f>
        <v>10365.0</v>
      </c>
      <c r="T215" s="32" t="n">
        <f>439</f>
        <v>439.0</v>
      </c>
      <c r="U215" s="32" t="str">
        <f>"－"</f>
        <v>－</v>
      </c>
      <c r="V215" s="32" t="n">
        <f>4632660</f>
        <v>4632660.0</v>
      </c>
      <c r="W215" s="32" t="str">
        <f>"－"</f>
        <v>－</v>
      </c>
      <c r="X215" s="36" t="n">
        <f>10</f>
        <v>10.0</v>
      </c>
    </row>
    <row r="216">
      <c r="A216" s="27" t="s">
        <v>42</v>
      </c>
      <c r="B216" s="27" t="s">
        <v>699</v>
      </c>
      <c r="C216" s="27" t="s">
        <v>700</v>
      </c>
      <c r="D216" s="27" t="s">
        <v>701</v>
      </c>
      <c r="E216" s="28" t="s">
        <v>46</v>
      </c>
      <c r="F216" s="29" t="s">
        <v>46</v>
      </c>
      <c r="G216" s="30" t="s">
        <v>46</v>
      </c>
      <c r="H216" s="31"/>
      <c r="I216" s="31" t="s">
        <v>641</v>
      </c>
      <c r="J216" s="32" t="n">
        <v>1.0</v>
      </c>
      <c r="K216" s="33" t="n">
        <f>10790</f>
        <v>10790.0</v>
      </c>
      <c r="L216" s="34" t="s">
        <v>48</v>
      </c>
      <c r="M216" s="33" t="n">
        <f>11350</f>
        <v>11350.0</v>
      </c>
      <c r="N216" s="34" t="s">
        <v>73</v>
      </c>
      <c r="O216" s="33" t="n">
        <f>10520</f>
        <v>10520.0</v>
      </c>
      <c r="P216" s="34" t="s">
        <v>62</v>
      </c>
      <c r="Q216" s="33" t="n">
        <f>10650</f>
        <v>10650.0</v>
      </c>
      <c r="R216" s="34" t="s">
        <v>340</v>
      </c>
      <c r="S216" s="35" t="n">
        <f>10846.88</f>
        <v>10846.88</v>
      </c>
      <c r="T216" s="32" t="n">
        <f>9312</f>
        <v>9312.0</v>
      </c>
      <c r="U216" s="32" t="str">
        <f>"－"</f>
        <v>－</v>
      </c>
      <c r="V216" s="32" t="n">
        <f>100122280</f>
        <v>1.0012228E8</v>
      </c>
      <c r="W216" s="32" t="str">
        <f>"－"</f>
        <v>－</v>
      </c>
      <c r="X216" s="36" t="n">
        <f>16</f>
        <v>16.0</v>
      </c>
    </row>
    <row r="217">
      <c r="A217" s="27" t="s">
        <v>42</v>
      </c>
      <c r="B217" s="27" t="s">
        <v>702</v>
      </c>
      <c r="C217" s="27" t="s">
        <v>703</v>
      </c>
      <c r="D217" s="27" t="s">
        <v>704</v>
      </c>
      <c r="E217" s="28" t="s">
        <v>46</v>
      </c>
      <c r="F217" s="29" t="s">
        <v>46</v>
      </c>
      <c r="G217" s="30" t="s">
        <v>46</v>
      </c>
      <c r="H217" s="31"/>
      <c r="I217" s="31" t="s">
        <v>641</v>
      </c>
      <c r="J217" s="32" t="n">
        <v>1.0</v>
      </c>
      <c r="K217" s="33" t="n">
        <f>9570</f>
        <v>9570.0</v>
      </c>
      <c r="L217" s="34" t="s">
        <v>90</v>
      </c>
      <c r="M217" s="33" t="n">
        <f>10020</f>
        <v>10020.0</v>
      </c>
      <c r="N217" s="34" t="s">
        <v>73</v>
      </c>
      <c r="O217" s="33" t="n">
        <f>9270</f>
        <v>9270.0</v>
      </c>
      <c r="P217" s="34" t="s">
        <v>77</v>
      </c>
      <c r="Q217" s="33" t="n">
        <f>9440</f>
        <v>9440.0</v>
      </c>
      <c r="R217" s="34" t="s">
        <v>51</v>
      </c>
      <c r="S217" s="35" t="n">
        <f>9654</f>
        <v>9654.0</v>
      </c>
      <c r="T217" s="32" t="n">
        <f>11163</f>
        <v>11163.0</v>
      </c>
      <c r="U217" s="32" t="n">
        <f>390</f>
        <v>390.0</v>
      </c>
      <c r="V217" s="32" t="n">
        <f>108767630</f>
        <v>1.0876763E8</v>
      </c>
      <c r="W217" s="32" t="n">
        <f>3825900</f>
        <v>3825900.0</v>
      </c>
      <c r="X217" s="36" t="n">
        <f>20</f>
        <v>20.0</v>
      </c>
    </row>
    <row r="218">
      <c r="A218" s="27" t="s">
        <v>42</v>
      </c>
      <c r="B218" s="27" t="s">
        <v>705</v>
      </c>
      <c r="C218" s="27" t="s">
        <v>706</v>
      </c>
      <c r="D218" s="27" t="s">
        <v>707</v>
      </c>
      <c r="E218" s="28" t="s">
        <v>46</v>
      </c>
      <c r="F218" s="29" t="s">
        <v>46</v>
      </c>
      <c r="G218" s="30" t="s">
        <v>46</v>
      </c>
      <c r="H218" s="31"/>
      <c r="I218" s="31" t="s">
        <v>641</v>
      </c>
      <c r="J218" s="32" t="n">
        <v>1.0</v>
      </c>
      <c r="K218" s="33" t="n">
        <f>9060</f>
        <v>9060.0</v>
      </c>
      <c r="L218" s="34" t="s">
        <v>90</v>
      </c>
      <c r="M218" s="33" t="n">
        <f>9360</f>
        <v>9360.0</v>
      </c>
      <c r="N218" s="34" t="s">
        <v>94</v>
      </c>
      <c r="O218" s="33" t="n">
        <f>9060</f>
        <v>9060.0</v>
      </c>
      <c r="P218" s="34" t="s">
        <v>90</v>
      </c>
      <c r="Q218" s="33" t="n">
        <f>9200</f>
        <v>9200.0</v>
      </c>
      <c r="R218" s="34" t="s">
        <v>77</v>
      </c>
      <c r="S218" s="35" t="n">
        <f>9248.75</f>
        <v>9248.75</v>
      </c>
      <c r="T218" s="32" t="n">
        <f>3119</f>
        <v>3119.0</v>
      </c>
      <c r="U218" s="32" t="str">
        <f>"－"</f>
        <v>－</v>
      </c>
      <c r="V218" s="32" t="n">
        <f>29072140</f>
        <v>2.907214E7</v>
      </c>
      <c r="W218" s="32" t="str">
        <f>"－"</f>
        <v>－</v>
      </c>
      <c r="X218" s="36" t="n">
        <f>8</f>
        <v>8.0</v>
      </c>
    </row>
    <row r="219">
      <c r="A219" s="27" t="s">
        <v>42</v>
      </c>
      <c r="B219" s="27" t="s">
        <v>708</v>
      </c>
      <c r="C219" s="27" t="s">
        <v>709</v>
      </c>
      <c r="D219" s="27" t="s">
        <v>710</v>
      </c>
      <c r="E219" s="28" t="s">
        <v>46</v>
      </c>
      <c r="F219" s="29" t="s">
        <v>46</v>
      </c>
      <c r="G219" s="30" t="s">
        <v>46</v>
      </c>
      <c r="H219" s="31"/>
      <c r="I219" s="31" t="s">
        <v>641</v>
      </c>
      <c r="J219" s="32" t="n">
        <v>1.0</v>
      </c>
      <c r="K219" s="33" t="n">
        <f>11570</f>
        <v>11570.0</v>
      </c>
      <c r="L219" s="34" t="s">
        <v>90</v>
      </c>
      <c r="M219" s="33" t="n">
        <f>11680</f>
        <v>11680.0</v>
      </c>
      <c r="N219" s="34" t="s">
        <v>285</v>
      </c>
      <c r="O219" s="33" t="n">
        <f>11570</f>
        <v>11570.0</v>
      </c>
      <c r="P219" s="34" t="s">
        <v>90</v>
      </c>
      <c r="Q219" s="33" t="n">
        <f>11680</f>
        <v>11680.0</v>
      </c>
      <c r="R219" s="34" t="s">
        <v>285</v>
      </c>
      <c r="S219" s="35" t="n">
        <f>11625</f>
        <v>11625.0</v>
      </c>
      <c r="T219" s="32" t="n">
        <f>363</f>
        <v>363.0</v>
      </c>
      <c r="U219" s="32" t="str">
        <f>"－"</f>
        <v>－</v>
      </c>
      <c r="V219" s="32" t="n">
        <f>4232910</f>
        <v>4232910.0</v>
      </c>
      <c r="W219" s="32" t="str">
        <f>"－"</f>
        <v>－</v>
      </c>
      <c r="X219" s="36" t="n">
        <f>2</f>
        <v>2.0</v>
      </c>
    </row>
    <row r="220">
      <c r="A220" s="27" t="s">
        <v>42</v>
      </c>
      <c r="B220" s="27" t="s">
        <v>711</v>
      </c>
      <c r="C220" s="27" t="s">
        <v>712</v>
      </c>
      <c r="D220" s="27" t="s">
        <v>713</v>
      </c>
      <c r="E220" s="28" t="s">
        <v>46</v>
      </c>
      <c r="F220" s="29" t="s">
        <v>46</v>
      </c>
      <c r="G220" s="30" t="s">
        <v>46</v>
      </c>
      <c r="H220" s="31"/>
      <c r="I220" s="31" t="s">
        <v>47</v>
      </c>
      <c r="J220" s="32" t="n">
        <v>10.0</v>
      </c>
      <c r="K220" s="33" t="n">
        <f>1004</f>
        <v>1004.0</v>
      </c>
      <c r="L220" s="34" t="s">
        <v>48</v>
      </c>
      <c r="M220" s="33" t="n">
        <f>1008</f>
        <v>1008.0</v>
      </c>
      <c r="N220" s="34" t="s">
        <v>69</v>
      </c>
      <c r="O220" s="33" t="n">
        <f>998</f>
        <v>998.0</v>
      </c>
      <c r="P220" s="34" t="s">
        <v>94</v>
      </c>
      <c r="Q220" s="33" t="n">
        <f>1000</f>
        <v>1000.0</v>
      </c>
      <c r="R220" s="34" t="s">
        <v>51</v>
      </c>
      <c r="S220" s="35" t="n">
        <f>1001.64</f>
        <v>1001.64</v>
      </c>
      <c r="T220" s="32" t="n">
        <f>525680</f>
        <v>525680.0</v>
      </c>
      <c r="U220" s="32" t="n">
        <f>398000</f>
        <v>398000.0</v>
      </c>
      <c r="V220" s="32" t="n">
        <f>526425910</f>
        <v>5.2642591E8</v>
      </c>
      <c r="W220" s="32" t="n">
        <f>398536200</f>
        <v>3.985362E8</v>
      </c>
      <c r="X220" s="36" t="n">
        <f>22</f>
        <v>22.0</v>
      </c>
    </row>
    <row r="221">
      <c r="A221" s="27" t="s">
        <v>42</v>
      </c>
      <c r="B221" s="27" t="s">
        <v>714</v>
      </c>
      <c r="C221" s="27" t="s">
        <v>715</v>
      </c>
      <c r="D221" s="27" t="s">
        <v>716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10.0</v>
      </c>
      <c r="K221" s="33" t="n">
        <f>992</f>
        <v>992.0</v>
      </c>
      <c r="L221" s="34" t="s">
        <v>48</v>
      </c>
      <c r="M221" s="33" t="n">
        <f>1010</f>
        <v>1010.0</v>
      </c>
      <c r="N221" s="34" t="s">
        <v>94</v>
      </c>
      <c r="O221" s="33" t="n">
        <f>984</f>
        <v>984.0</v>
      </c>
      <c r="P221" s="34" t="s">
        <v>104</v>
      </c>
      <c r="Q221" s="33" t="n">
        <f>1001</f>
        <v>1001.0</v>
      </c>
      <c r="R221" s="34" t="s">
        <v>51</v>
      </c>
      <c r="S221" s="35" t="n">
        <f>994.82</f>
        <v>994.82</v>
      </c>
      <c r="T221" s="32" t="n">
        <f>748970</f>
        <v>748970.0</v>
      </c>
      <c r="U221" s="32" t="str">
        <f>"－"</f>
        <v>－</v>
      </c>
      <c r="V221" s="32" t="n">
        <f>742438980</f>
        <v>7.4243898E8</v>
      </c>
      <c r="W221" s="32" t="str">
        <f>"－"</f>
        <v>－</v>
      </c>
      <c r="X221" s="36" t="n">
        <f>22</f>
        <v>22.0</v>
      </c>
    </row>
    <row r="222">
      <c r="A222" s="27" t="s">
        <v>42</v>
      </c>
      <c r="B222" s="27" t="s">
        <v>717</v>
      </c>
      <c r="C222" s="27" t="s">
        <v>718</v>
      </c>
      <c r="D222" s="27" t="s">
        <v>719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10.0</v>
      </c>
      <c r="K222" s="33" t="n">
        <f>1054</f>
        <v>1054.0</v>
      </c>
      <c r="L222" s="34" t="s">
        <v>48</v>
      </c>
      <c r="M222" s="33" t="n">
        <f>1059</f>
        <v>1059.0</v>
      </c>
      <c r="N222" s="34" t="s">
        <v>51</v>
      </c>
      <c r="O222" s="33" t="n">
        <f>1041</f>
        <v>1041.0</v>
      </c>
      <c r="P222" s="34" t="s">
        <v>73</v>
      </c>
      <c r="Q222" s="33" t="n">
        <f>1059</f>
        <v>1059.0</v>
      </c>
      <c r="R222" s="34" t="s">
        <v>51</v>
      </c>
      <c r="S222" s="35" t="n">
        <f>1050.77</f>
        <v>1050.77</v>
      </c>
      <c r="T222" s="32" t="n">
        <f>614980</f>
        <v>614980.0</v>
      </c>
      <c r="U222" s="32" t="n">
        <f>380000</f>
        <v>380000.0</v>
      </c>
      <c r="V222" s="32" t="n">
        <f>643323760</f>
        <v>6.4332376E8</v>
      </c>
      <c r="W222" s="32" t="n">
        <f>396948000</f>
        <v>3.96948E8</v>
      </c>
      <c r="X222" s="36" t="n">
        <f>22</f>
        <v>22.0</v>
      </c>
    </row>
    <row r="223">
      <c r="A223" s="27" t="s">
        <v>42</v>
      </c>
      <c r="B223" s="27" t="s">
        <v>720</v>
      </c>
      <c r="C223" s="27" t="s">
        <v>721</v>
      </c>
      <c r="D223" s="27" t="s">
        <v>722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10.0</v>
      </c>
      <c r="K223" s="33" t="n">
        <f>1022</f>
        <v>1022.0</v>
      </c>
      <c r="L223" s="34" t="s">
        <v>48</v>
      </c>
      <c r="M223" s="33" t="n">
        <f>1107</f>
        <v>1107.0</v>
      </c>
      <c r="N223" s="34" t="s">
        <v>73</v>
      </c>
      <c r="O223" s="33" t="n">
        <f>995</f>
        <v>995.0</v>
      </c>
      <c r="P223" s="34" t="s">
        <v>50</v>
      </c>
      <c r="Q223" s="33" t="n">
        <f>1042</f>
        <v>1042.0</v>
      </c>
      <c r="R223" s="34" t="s">
        <v>51</v>
      </c>
      <c r="S223" s="35" t="n">
        <f>1053.36</f>
        <v>1053.36</v>
      </c>
      <c r="T223" s="32" t="n">
        <f>121160</f>
        <v>121160.0</v>
      </c>
      <c r="U223" s="32" t="n">
        <f>240</f>
        <v>240.0</v>
      </c>
      <c r="V223" s="32" t="n">
        <f>127199830</f>
        <v>1.2719983E8</v>
      </c>
      <c r="W223" s="32" t="n">
        <f>249110</f>
        <v>249110.0</v>
      </c>
      <c r="X223" s="36" t="n">
        <f>22</f>
        <v>22.0</v>
      </c>
    </row>
    <row r="224">
      <c r="A224" s="27" t="s">
        <v>42</v>
      </c>
      <c r="B224" s="27" t="s">
        <v>723</v>
      </c>
      <c r="C224" s="27" t="s">
        <v>724</v>
      </c>
      <c r="D224" s="27" t="s">
        <v>725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10.0</v>
      </c>
      <c r="K224" s="33" t="n">
        <f>1058</f>
        <v>1058.0</v>
      </c>
      <c r="L224" s="34" t="s">
        <v>48</v>
      </c>
      <c r="M224" s="33" t="n">
        <f>1129</f>
        <v>1129.0</v>
      </c>
      <c r="N224" s="34" t="s">
        <v>49</v>
      </c>
      <c r="O224" s="33" t="n">
        <f>1030</f>
        <v>1030.0</v>
      </c>
      <c r="P224" s="34" t="s">
        <v>50</v>
      </c>
      <c r="Q224" s="33" t="n">
        <f>1075</f>
        <v>1075.0</v>
      </c>
      <c r="R224" s="34" t="s">
        <v>51</v>
      </c>
      <c r="S224" s="35" t="n">
        <f>1085.36</f>
        <v>1085.36</v>
      </c>
      <c r="T224" s="32" t="n">
        <f>50360</f>
        <v>50360.0</v>
      </c>
      <c r="U224" s="32" t="str">
        <f>"－"</f>
        <v>－</v>
      </c>
      <c r="V224" s="32" t="n">
        <f>54840310</f>
        <v>5.484031E7</v>
      </c>
      <c r="W224" s="32" t="str">
        <f>"－"</f>
        <v>－</v>
      </c>
      <c r="X224" s="36" t="n">
        <f>22</f>
        <v>22.0</v>
      </c>
    </row>
    <row r="225">
      <c r="A225" s="27" t="s">
        <v>42</v>
      </c>
      <c r="B225" s="27" t="s">
        <v>726</v>
      </c>
      <c r="C225" s="27" t="s">
        <v>727</v>
      </c>
      <c r="D225" s="27" t="s">
        <v>728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10.0</v>
      </c>
      <c r="K225" s="33" t="n">
        <f>833</f>
        <v>833.0</v>
      </c>
      <c r="L225" s="34" t="s">
        <v>48</v>
      </c>
      <c r="M225" s="33" t="n">
        <f>941</f>
        <v>941.0</v>
      </c>
      <c r="N225" s="34" t="s">
        <v>73</v>
      </c>
      <c r="O225" s="33" t="n">
        <f>808</f>
        <v>808.0</v>
      </c>
      <c r="P225" s="34" t="s">
        <v>77</v>
      </c>
      <c r="Q225" s="33" t="n">
        <f>823</f>
        <v>823.0</v>
      </c>
      <c r="R225" s="34" t="s">
        <v>51</v>
      </c>
      <c r="S225" s="35" t="n">
        <f>858.27</f>
        <v>858.27</v>
      </c>
      <c r="T225" s="32" t="n">
        <f>587600</f>
        <v>587600.0</v>
      </c>
      <c r="U225" s="32" t="n">
        <f>20</f>
        <v>20.0</v>
      </c>
      <c r="V225" s="32" t="n">
        <f>500737410</f>
        <v>5.0073741E8</v>
      </c>
      <c r="W225" s="32" t="n">
        <f>16700</f>
        <v>16700.0</v>
      </c>
      <c r="X225" s="36" t="n">
        <f>22</f>
        <v>22.0</v>
      </c>
    </row>
    <row r="226">
      <c r="A226" s="27" t="s">
        <v>42</v>
      </c>
      <c r="B226" s="27" t="s">
        <v>729</v>
      </c>
      <c r="C226" s="27" t="s">
        <v>730</v>
      </c>
      <c r="D226" s="27" t="s">
        <v>731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10.0</v>
      </c>
      <c r="K226" s="33" t="n">
        <f>749</f>
        <v>749.0</v>
      </c>
      <c r="L226" s="34" t="s">
        <v>48</v>
      </c>
      <c r="M226" s="33" t="n">
        <f>818</f>
        <v>818.0</v>
      </c>
      <c r="N226" s="34" t="s">
        <v>184</v>
      </c>
      <c r="O226" s="33" t="n">
        <f>711</f>
        <v>711.0</v>
      </c>
      <c r="P226" s="34" t="s">
        <v>62</v>
      </c>
      <c r="Q226" s="33" t="n">
        <f>764</f>
        <v>764.0</v>
      </c>
      <c r="R226" s="34" t="s">
        <v>51</v>
      </c>
      <c r="S226" s="35" t="n">
        <f>778.32</f>
        <v>778.32</v>
      </c>
      <c r="T226" s="32" t="n">
        <f>16628160</f>
        <v>1.662816E7</v>
      </c>
      <c r="U226" s="32" t="n">
        <f>7970</f>
        <v>7970.0</v>
      </c>
      <c r="V226" s="32" t="n">
        <f>12815909524</f>
        <v>1.2815909524E10</v>
      </c>
      <c r="W226" s="32" t="n">
        <f>6114354</f>
        <v>6114354.0</v>
      </c>
      <c r="X226" s="36" t="n">
        <f>22</f>
        <v>22.0</v>
      </c>
    </row>
    <row r="227">
      <c r="A227" s="27" t="s">
        <v>42</v>
      </c>
      <c r="B227" s="27" t="s">
        <v>732</v>
      </c>
      <c r="C227" s="27" t="s">
        <v>733</v>
      </c>
      <c r="D227" s="27" t="s">
        <v>734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10.0</v>
      </c>
      <c r="K227" s="33" t="n">
        <f>986</f>
        <v>986.0</v>
      </c>
      <c r="L227" s="34" t="s">
        <v>48</v>
      </c>
      <c r="M227" s="33" t="n">
        <f>1023</f>
        <v>1023.0</v>
      </c>
      <c r="N227" s="34" t="s">
        <v>49</v>
      </c>
      <c r="O227" s="33" t="n">
        <f>951</f>
        <v>951.0</v>
      </c>
      <c r="P227" s="34" t="s">
        <v>50</v>
      </c>
      <c r="Q227" s="33" t="n">
        <f>962</f>
        <v>962.0</v>
      </c>
      <c r="R227" s="34" t="s">
        <v>51</v>
      </c>
      <c r="S227" s="35" t="n">
        <f>989.77</f>
        <v>989.77</v>
      </c>
      <c r="T227" s="32" t="n">
        <f>300510</f>
        <v>300510.0</v>
      </c>
      <c r="U227" s="32" t="n">
        <f>70000</f>
        <v>70000.0</v>
      </c>
      <c r="V227" s="32" t="n">
        <f>295020140</f>
        <v>2.9502014E8</v>
      </c>
      <c r="W227" s="32" t="n">
        <f>68772900</f>
        <v>6.87729E7</v>
      </c>
      <c r="X227" s="36" t="n">
        <f>22</f>
        <v>22.0</v>
      </c>
    </row>
    <row r="228">
      <c r="A228" s="27" t="s">
        <v>42</v>
      </c>
      <c r="B228" s="27" t="s">
        <v>735</v>
      </c>
      <c r="C228" s="27" t="s">
        <v>736</v>
      </c>
      <c r="D228" s="27" t="s">
        <v>737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1.0</v>
      </c>
      <c r="K228" s="33" t="n">
        <f>918</f>
        <v>918.0</v>
      </c>
      <c r="L228" s="34" t="s">
        <v>48</v>
      </c>
      <c r="M228" s="33" t="n">
        <f>952</f>
        <v>952.0</v>
      </c>
      <c r="N228" s="34" t="s">
        <v>73</v>
      </c>
      <c r="O228" s="33" t="n">
        <f>899</f>
        <v>899.0</v>
      </c>
      <c r="P228" s="34" t="s">
        <v>50</v>
      </c>
      <c r="Q228" s="33" t="n">
        <f>920</f>
        <v>920.0</v>
      </c>
      <c r="R228" s="34" t="s">
        <v>51</v>
      </c>
      <c r="S228" s="35" t="n">
        <f>929.32</f>
        <v>929.32</v>
      </c>
      <c r="T228" s="32" t="n">
        <f>112481</f>
        <v>112481.0</v>
      </c>
      <c r="U228" s="32" t="n">
        <f>58600</f>
        <v>58600.0</v>
      </c>
      <c r="V228" s="32" t="n">
        <f>104825386</f>
        <v>1.04825386E8</v>
      </c>
      <c r="W228" s="32" t="n">
        <f>55013680</f>
        <v>5.501368E7</v>
      </c>
      <c r="X228" s="36" t="n">
        <f>22</f>
        <v>22.0</v>
      </c>
    </row>
    <row r="229">
      <c r="A229" s="27" t="s">
        <v>42</v>
      </c>
      <c r="B229" s="27" t="s">
        <v>738</v>
      </c>
      <c r="C229" s="27" t="s">
        <v>739</v>
      </c>
      <c r="D229" s="27" t="s">
        <v>740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10.0</v>
      </c>
      <c r="K229" s="33" t="n">
        <f>1010</f>
        <v>1010.0</v>
      </c>
      <c r="L229" s="34" t="s">
        <v>48</v>
      </c>
      <c r="M229" s="33" t="n">
        <f>1053</f>
        <v>1053.0</v>
      </c>
      <c r="N229" s="34" t="s">
        <v>73</v>
      </c>
      <c r="O229" s="33" t="n">
        <f>996</f>
        <v>996.0</v>
      </c>
      <c r="P229" s="34" t="s">
        <v>62</v>
      </c>
      <c r="Q229" s="33" t="n">
        <f>1024</f>
        <v>1024.0</v>
      </c>
      <c r="R229" s="34" t="s">
        <v>51</v>
      </c>
      <c r="S229" s="35" t="n">
        <f>1019.5</f>
        <v>1019.5</v>
      </c>
      <c r="T229" s="32" t="n">
        <f>46150</f>
        <v>46150.0</v>
      </c>
      <c r="U229" s="32" t="str">
        <f>"－"</f>
        <v>－</v>
      </c>
      <c r="V229" s="32" t="n">
        <f>47201740</f>
        <v>4.720174E7</v>
      </c>
      <c r="W229" s="32" t="str">
        <f>"－"</f>
        <v>－</v>
      </c>
      <c r="X229" s="36" t="n">
        <f>22</f>
        <v>22.0</v>
      </c>
    </row>
    <row r="230">
      <c r="A230" s="27" t="s">
        <v>42</v>
      </c>
      <c r="B230" s="27" t="s">
        <v>741</v>
      </c>
      <c r="C230" s="27" t="s">
        <v>742</v>
      </c>
      <c r="D230" s="27" t="s">
        <v>743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10.0</v>
      </c>
      <c r="K230" s="33" t="n">
        <f>888</f>
        <v>888.0</v>
      </c>
      <c r="L230" s="34" t="s">
        <v>48</v>
      </c>
      <c r="M230" s="33" t="n">
        <f>1009</f>
        <v>1009.0</v>
      </c>
      <c r="N230" s="34" t="s">
        <v>73</v>
      </c>
      <c r="O230" s="33" t="n">
        <f>888</f>
        <v>888.0</v>
      </c>
      <c r="P230" s="34" t="s">
        <v>48</v>
      </c>
      <c r="Q230" s="33" t="n">
        <f>928</f>
        <v>928.0</v>
      </c>
      <c r="R230" s="34" t="s">
        <v>51</v>
      </c>
      <c r="S230" s="35" t="n">
        <f>924.09</f>
        <v>924.09</v>
      </c>
      <c r="T230" s="32" t="n">
        <f>16910</f>
        <v>16910.0</v>
      </c>
      <c r="U230" s="32" t="str">
        <f>"－"</f>
        <v>－</v>
      </c>
      <c r="V230" s="32" t="n">
        <f>15709450</f>
        <v>1.570945E7</v>
      </c>
      <c r="W230" s="32" t="str">
        <f>"－"</f>
        <v>－</v>
      </c>
      <c r="X230" s="36" t="n">
        <f>22</f>
        <v>22.0</v>
      </c>
    </row>
    <row r="231">
      <c r="A231" s="27" t="s">
        <v>42</v>
      </c>
      <c r="B231" s="27" t="s">
        <v>744</v>
      </c>
      <c r="C231" s="27" t="s">
        <v>745</v>
      </c>
      <c r="D231" s="27" t="s">
        <v>746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10.0</v>
      </c>
      <c r="K231" s="33" t="n">
        <f>1059</f>
        <v>1059.0</v>
      </c>
      <c r="L231" s="34" t="s">
        <v>48</v>
      </c>
      <c r="M231" s="33" t="n">
        <f>1132</f>
        <v>1132.0</v>
      </c>
      <c r="N231" s="34" t="s">
        <v>49</v>
      </c>
      <c r="O231" s="33" t="n">
        <f>1033</f>
        <v>1033.0</v>
      </c>
      <c r="P231" s="34" t="s">
        <v>50</v>
      </c>
      <c r="Q231" s="33" t="n">
        <f>1068</f>
        <v>1068.0</v>
      </c>
      <c r="R231" s="34" t="s">
        <v>51</v>
      </c>
      <c r="S231" s="35" t="n">
        <f>1085.09</f>
        <v>1085.09</v>
      </c>
      <c r="T231" s="32" t="n">
        <f>13193620</f>
        <v>1.319362E7</v>
      </c>
      <c r="U231" s="32" t="n">
        <f>4651150</f>
        <v>4651150.0</v>
      </c>
      <c r="V231" s="32" t="n">
        <f>14476953925</f>
        <v>1.4476953925E10</v>
      </c>
      <c r="W231" s="32" t="n">
        <f>5144231125</f>
        <v>5.144231125E9</v>
      </c>
      <c r="X231" s="36" t="n">
        <f>22</f>
        <v>22.0</v>
      </c>
    </row>
    <row r="232">
      <c r="A232" s="27" t="s">
        <v>42</v>
      </c>
      <c r="B232" s="27" t="s">
        <v>747</v>
      </c>
      <c r="C232" s="27" t="s">
        <v>748</v>
      </c>
      <c r="D232" s="27" t="s">
        <v>749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1.0</v>
      </c>
      <c r="K232" s="33" t="n">
        <f>2394</f>
        <v>2394.0</v>
      </c>
      <c r="L232" s="34" t="s">
        <v>48</v>
      </c>
      <c r="M232" s="33" t="n">
        <f>2570</f>
        <v>2570.0</v>
      </c>
      <c r="N232" s="34" t="s">
        <v>73</v>
      </c>
      <c r="O232" s="33" t="n">
        <f>2346</f>
        <v>2346.0</v>
      </c>
      <c r="P232" s="34" t="s">
        <v>62</v>
      </c>
      <c r="Q232" s="33" t="n">
        <f>2457</f>
        <v>2457.0</v>
      </c>
      <c r="R232" s="34" t="s">
        <v>51</v>
      </c>
      <c r="S232" s="35" t="n">
        <f>2471.05</f>
        <v>2471.05</v>
      </c>
      <c r="T232" s="32" t="n">
        <f>64866</f>
        <v>64866.0</v>
      </c>
      <c r="U232" s="32" t="str">
        <f>"－"</f>
        <v>－</v>
      </c>
      <c r="V232" s="32" t="n">
        <f>158590692</f>
        <v>1.58590692E8</v>
      </c>
      <c r="W232" s="32" t="str">
        <f>"－"</f>
        <v>－</v>
      </c>
      <c r="X232" s="36" t="n">
        <f>22</f>
        <v>22.0</v>
      </c>
    </row>
    <row r="233">
      <c r="A233" s="27" t="s">
        <v>42</v>
      </c>
      <c r="B233" s="27" t="s">
        <v>750</v>
      </c>
      <c r="C233" s="27" t="s">
        <v>751</v>
      </c>
      <c r="D233" s="27" t="s">
        <v>752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10.0</v>
      </c>
      <c r="K233" s="33" t="n">
        <f>1461</f>
        <v>1461.0</v>
      </c>
      <c r="L233" s="34" t="s">
        <v>285</v>
      </c>
      <c r="M233" s="33" t="n">
        <f>1515</f>
        <v>1515.0</v>
      </c>
      <c r="N233" s="34" t="s">
        <v>49</v>
      </c>
      <c r="O233" s="33" t="n">
        <f>1418</f>
        <v>1418.0</v>
      </c>
      <c r="P233" s="34" t="s">
        <v>50</v>
      </c>
      <c r="Q233" s="33" t="n">
        <f>1426</f>
        <v>1426.0</v>
      </c>
      <c r="R233" s="34" t="s">
        <v>77</v>
      </c>
      <c r="S233" s="35" t="n">
        <f>1458.82</f>
        <v>1458.82</v>
      </c>
      <c r="T233" s="32" t="n">
        <f>2018800</f>
        <v>2018800.0</v>
      </c>
      <c r="U233" s="32" t="n">
        <f>2000000</f>
        <v>2000000.0</v>
      </c>
      <c r="V233" s="32" t="n">
        <f>2976895350</f>
        <v>2.97689535E9</v>
      </c>
      <c r="W233" s="32" t="n">
        <f>2949320000</f>
        <v>2.94932E9</v>
      </c>
      <c r="X233" s="36" t="n">
        <f>17</f>
        <v>17.0</v>
      </c>
    </row>
    <row r="234">
      <c r="A234" s="27" t="s">
        <v>42</v>
      </c>
      <c r="B234" s="27" t="s">
        <v>753</v>
      </c>
      <c r="C234" s="27" t="s">
        <v>754</v>
      </c>
      <c r="D234" s="27" t="s">
        <v>755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10.0</v>
      </c>
      <c r="K234" s="33" t="n">
        <f>1677</f>
        <v>1677.0</v>
      </c>
      <c r="L234" s="34" t="s">
        <v>48</v>
      </c>
      <c r="M234" s="33" t="n">
        <f>1677</f>
        <v>1677.0</v>
      </c>
      <c r="N234" s="34" t="s">
        <v>48</v>
      </c>
      <c r="O234" s="33" t="n">
        <f>1569</f>
        <v>1569.0</v>
      </c>
      <c r="P234" s="34" t="s">
        <v>62</v>
      </c>
      <c r="Q234" s="33" t="n">
        <f>1603</f>
        <v>1603.0</v>
      </c>
      <c r="R234" s="34" t="s">
        <v>340</v>
      </c>
      <c r="S234" s="35" t="n">
        <f>1612.15</f>
        <v>1612.15</v>
      </c>
      <c r="T234" s="32" t="n">
        <f>296150</f>
        <v>296150.0</v>
      </c>
      <c r="U234" s="32" t="n">
        <f>180000</f>
        <v>180000.0</v>
      </c>
      <c r="V234" s="32" t="n">
        <f>482746970</f>
        <v>4.8274697E8</v>
      </c>
      <c r="W234" s="32" t="n">
        <f>294669000</f>
        <v>2.94669E8</v>
      </c>
      <c r="X234" s="36" t="n">
        <f>13</f>
        <v>13.0</v>
      </c>
    </row>
    <row r="235">
      <c r="A235" s="27" t="s">
        <v>42</v>
      </c>
      <c r="B235" s="27" t="s">
        <v>756</v>
      </c>
      <c r="C235" s="27" t="s">
        <v>757</v>
      </c>
      <c r="D235" s="27" t="s">
        <v>758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1.0</v>
      </c>
      <c r="K235" s="33" t="n">
        <f>22550</f>
        <v>22550.0</v>
      </c>
      <c r="L235" s="34" t="s">
        <v>90</v>
      </c>
      <c r="M235" s="33" t="n">
        <f>23450</f>
        <v>23450.0</v>
      </c>
      <c r="N235" s="34" t="s">
        <v>73</v>
      </c>
      <c r="O235" s="33" t="n">
        <f>22250</f>
        <v>22250.0</v>
      </c>
      <c r="P235" s="34" t="s">
        <v>50</v>
      </c>
      <c r="Q235" s="33" t="n">
        <f>22750</f>
        <v>22750.0</v>
      </c>
      <c r="R235" s="34" t="s">
        <v>51</v>
      </c>
      <c r="S235" s="35" t="n">
        <f>22858.89</f>
        <v>22858.89</v>
      </c>
      <c r="T235" s="32" t="n">
        <f>8451</f>
        <v>8451.0</v>
      </c>
      <c r="U235" s="32" t="str">
        <f>"－"</f>
        <v>－</v>
      </c>
      <c r="V235" s="32" t="n">
        <f>192296420</f>
        <v>1.9229642E8</v>
      </c>
      <c r="W235" s="32" t="str">
        <f>"－"</f>
        <v>－</v>
      </c>
      <c r="X235" s="36" t="n">
        <f>9</f>
        <v>9.0</v>
      </c>
    </row>
    <row r="236">
      <c r="A236" s="27" t="s">
        <v>42</v>
      </c>
      <c r="B236" s="27" t="s">
        <v>759</v>
      </c>
      <c r="C236" s="27" t="s">
        <v>760</v>
      </c>
      <c r="D236" s="27" t="s">
        <v>761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1.0</v>
      </c>
      <c r="K236" s="33" t="n">
        <f>14680</f>
        <v>14680.0</v>
      </c>
      <c r="L236" s="34" t="s">
        <v>285</v>
      </c>
      <c r="M236" s="33" t="n">
        <f>14970</f>
        <v>14970.0</v>
      </c>
      <c r="N236" s="34" t="s">
        <v>589</v>
      </c>
      <c r="O236" s="33" t="n">
        <f>14040</f>
        <v>14040.0</v>
      </c>
      <c r="P236" s="34" t="s">
        <v>50</v>
      </c>
      <c r="Q236" s="33" t="n">
        <f>14350</f>
        <v>14350.0</v>
      </c>
      <c r="R236" s="34" t="s">
        <v>51</v>
      </c>
      <c r="S236" s="35" t="n">
        <f>14563.33</f>
        <v>14563.33</v>
      </c>
      <c r="T236" s="32" t="n">
        <f>48242</f>
        <v>48242.0</v>
      </c>
      <c r="U236" s="32" t="n">
        <f>10000</f>
        <v>10000.0</v>
      </c>
      <c r="V236" s="32" t="n">
        <f>706072050</f>
        <v>7.0607205E8</v>
      </c>
      <c r="W236" s="32" t="n">
        <f>145790000</f>
        <v>1.4579E8</v>
      </c>
      <c r="X236" s="36" t="n">
        <f>15</f>
        <v>15.0</v>
      </c>
    </row>
    <row r="237">
      <c r="A237" s="27" t="s">
        <v>42</v>
      </c>
      <c r="B237" s="27" t="s">
        <v>762</v>
      </c>
      <c r="C237" s="27" t="s">
        <v>763</v>
      </c>
      <c r="D237" s="27" t="s">
        <v>764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10.0</v>
      </c>
      <c r="K237" s="33" t="n">
        <f>995</f>
        <v>995.0</v>
      </c>
      <c r="L237" s="34" t="s">
        <v>48</v>
      </c>
      <c r="M237" s="33" t="n">
        <f>1035</f>
        <v>1035.0</v>
      </c>
      <c r="N237" s="34" t="s">
        <v>49</v>
      </c>
      <c r="O237" s="33" t="n">
        <f>970</f>
        <v>970.0</v>
      </c>
      <c r="P237" s="34" t="s">
        <v>62</v>
      </c>
      <c r="Q237" s="33" t="n">
        <f>986</f>
        <v>986.0</v>
      </c>
      <c r="R237" s="34" t="s">
        <v>77</v>
      </c>
      <c r="S237" s="35" t="n">
        <f>1003.92</f>
        <v>1003.92</v>
      </c>
      <c r="T237" s="32" t="n">
        <f>338340</f>
        <v>338340.0</v>
      </c>
      <c r="U237" s="32" t="n">
        <f>204000</f>
        <v>204000.0</v>
      </c>
      <c r="V237" s="32" t="n">
        <f>336450590</f>
        <v>3.3645059E8</v>
      </c>
      <c r="W237" s="32" t="n">
        <f>202179700</f>
        <v>2.021797E8</v>
      </c>
      <c r="X237" s="36" t="n">
        <f>12</f>
        <v>12.0</v>
      </c>
    </row>
    <row r="238">
      <c r="A238" s="27" t="s">
        <v>42</v>
      </c>
      <c r="B238" s="27" t="s">
        <v>765</v>
      </c>
      <c r="C238" s="27" t="s">
        <v>766</v>
      </c>
      <c r="D238" s="27" t="s">
        <v>767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10.0</v>
      </c>
      <c r="K238" s="33" t="n">
        <f>986</f>
        <v>986.0</v>
      </c>
      <c r="L238" s="34" t="s">
        <v>48</v>
      </c>
      <c r="M238" s="33" t="n">
        <f>1024</f>
        <v>1024.0</v>
      </c>
      <c r="N238" s="34" t="s">
        <v>61</v>
      </c>
      <c r="O238" s="33" t="n">
        <f>935</f>
        <v>935.0</v>
      </c>
      <c r="P238" s="34" t="s">
        <v>62</v>
      </c>
      <c r="Q238" s="33" t="n">
        <f>961</f>
        <v>961.0</v>
      </c>
      <c r="R238" s="34" t="s">
        <v>51</v>
      </c>
      <c r="S238" s="35" t="n">
        <f>990.11</f>
        <v>990.11</v>
      </c>
      <c r="T238" s="32" t="n">
        <f>22730</f>
        <v>22730.0</v>
      </c>
      <c r="U238" s="32" t="str">
        <f>"－"</f>
        <v>－</v>
      </c>
      <c r="V238" s="32" t="n">
        <f>22722960</f>
        <v>2.272296E7</v>
      </c>
      <c r="W238" s="32" t="str">
        <f>"－"</f>
        <v>－</v>
      </c>
      <c r="X238" s="36" t="n">
        <f>19</f>
        <v>19.0</v>
      </c>
    </row>
    <row r="239">
      <c r="A239" s="27" t="s">
        <v>42</v>
      </c>
      <c r="B239" s="27" t="s">
        <v>768</v>
      </c>
      <c r="C239" s="27" t="s">
        <v>769</v>
      </c>
      <c r="D239" s="27" t="s">
        <v>770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1.0</v>
      </c>
      <c r="K239" s="33" t="n">
        <f>880</f>
        <v>880.0</v>
      </c>
      <c r="L239" s="34" t="s">
        <v>48</v>
      </c>
      <c r="M239" s="33" t="n">
        <f>933</f>
        <v>933.0</v>
      </c>
      <c r="N239" s="34" t="s">
        <v>49</v>
      </c>
      <c r="O239" s="33" t="n">
        <f>863</f>
        <v>863.0</v>
      </c>
      <c r="P239" s="34" t="s">
        <v>77</v>
      </c>
      <c r="Q239" s="33" t="n">
        <f>875</f>
        <v>875.0</v>
      </c>
      <c r="R239" s="34" t="s">
        <v>51</v>
      </c>
      <c r="S239" s="35" t="n">
        <f>893.82</f>
        <v>893.82</v>
      </c>
      <c r="T239" s="32" t="n">
        <f>28917</f>
        <v>28917.0</v>
      </c>
      <c r="U239" s="32" t="str">
        <f>"－"</f>
        <v>－</v>
      </c>
      <c r="V239" s="32" t="n">
        <f>25801662</f>
        <v>2.5801662E7</v>
      </c>
      <c r="W239" s="32" t="str">
        <f>"－"</f>
        <v>－</v>
      </c>
      <c r="X239" s="36" t="n">
        <f>22</f>
        <v>22.0</v>
      </c>
    </row>
    <row r="240">
      <c r="A240" s="27" t="s">
        <v>42</v>
      </c>
      <c r="B240" s="27" t="s">
        <v>771</v>
      </c>
      <c r="C240" s="27" t="s">
        <v>772</v>
      </c>
      <c r="D240" s="27" t="s">
        <v>773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1.0</v>
      </c>
      <c r="K240" s="33" t="n">
        <f>9650</f>
        <v>9650.0</v>
      </c>
      <c r="L240" s="34" t="s">
        <v>48</v>
      </c>
      <c r="M240" s="33" t="n">
        <f>10000</f>
        <v>10000.0</v>
      </c>
      <c r="N240" s="34" t="s">
        <v>73</v>
      </c>
      <c r="O240" s="33" t="n">
        <f>9510</f>
        <v>9510.0</v>
      </c>
      <c r="P240" s="34" t="s">
        <v>77</v>
      </c>
      <c r="Q240" s="33" t="n">
        <f>9750</f>
        <v>9750.0</v>
      </c>
      <c r="R240" s="34" t="s">
        <v>51</v>
      </c>
      <c r="S240" s="35" t="n">
        <f>9804.76</f>
        <v>9804.76</v>
      </c>
      <c r="T240" s="32" t="n">
        <f>1263</f>
        <v>1263.0</v>
      </c>
      <c r="U240" s="32" t="str">
        <f>"－"</f>
        <v>－</v>
      </c>
      <c r="V240" s="32" t="n">
        <f>12355500</f>
        <v>1.23555E7</v>
      </c>
      <c r="W240" s="32" t="str">
        <f>"－"</f>
        <v>－</v>
      </c>
      <c r="X240" s="36" t="n">
        <f>21</f>
        <v>21.0</v>
      </c>
    </row>
    <row r="241">
      <c r="A241" s="27" t="s">
        <v>42</v>
      </c>
      <c r="B241" s="27" t="s">
        <v>774</v>
      </c>
      <c r="C241" s="27" t="s">
        <v>775</v>
      </c>
      <c r="D241" s="27" t="s">
        <v>776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1.0</v>
      </c>
      <c r="K241" s="33" t="n">
        <f>1838</f>
        <v>1838.0</v>
      </c>
      <c r="L241" s="34" t="s">
        <v>48</v>
      </c>
      <c r="M241" s="33" t="n">
        <f>2000</f>
        <v>2000.0</v>
      </c>
      <c r="N241" s="34" t="s">
        <v>73</v>
      </c>
      <c r="O241" s="33" t="n">
        <f>1756</f>
        <v>1756.0</v>
      </c>
      <c r="P241" s="34" t="s">
        <v>51</v>
      </c>
      <c r="Q241" s="33" t="n">
        <f>1769</f>
        <v>1769.0</v>
      </c>
      <c r="R241" s="34" t="s">
        <v>51</v>
      </c>
      <c r="S241" s="35" t="n">
        <f>1854.23</f>
        <v>1854.23</v>
      </c>
      <c r="T241" s="32" t="n">
        <f>18431</f>
        <v>18431.0</v>
      </c>
      <c r="U241" s="32" t="str">
        <f>"－"</f>
        <v>－</v>
      </c>
      <c r="V241" s="32" t="n">
        <f>34265507</f>
        <v>3.4265507E7</v>
      </c>
      <c r="W241" s="32" t="str">
        <f>"－"</f>
        <v>－</v>
      </c>
      <c r="X241" s="36" t="n">
        <f>22</f>
        <v>22.0</v>
      </c>
    </row>
    <row r="242">
      <c r="A242" s="27" t="s">
        <v>42</v>
      </c>
      <c r="B242" s="27" t="s">
        <v>777</v>
      </c>
      <c r="C242" s="27" t="s">
        <v>778</v>
      </c>
      <c r="D242" s="27" t="s">
        <v>779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10.0</v>
      </c>
      <c r="K242" s="33" t="n">
        <f>1049</f>
        <v>1049.0</v>
      </c>
      <c r="L242" s="34" t="s">
        <v>285</v>
      </c>
      <c r="M242" s="33" t="n">
        <f>1300</f>
        <v>1300.0</v>
      </c>
      <c r="N242" s="34" t="s">
        <v>94</v>
      </c>
      <c r="O242" s="33" t="n">
        <f>1019</f>
        <v>1019.0</v>
      </c>
      <c r="P242" s="34" t="s">
        <v>285</v>
      </c>
      <c r="Q242" s="33" t="n">
        <f>1130</f>
        <v>1130.0</v>
      </c>
      <c r="R242" s="34" t="s">
        <v>77</v>
      </c>
      <c r="S242" s="35" t="n">
        <f>1120.8</f>
        <v>1120.8</v>
      </c>
      <c r="T242" s="32" t="n">
        <f>1910</f>
        <v>1910.0</v>
      </c>
      <c r="U242" s="32" t="str">
        <f>"－"</f>
        <v>－</v>
      </c>
      <c r="V242" s="32" t="n">
        <f>2141370</f>
        <v>2141370.0</v>
      </c>
      <c r="W242" s="32" t="str">
        <f>"－"</f>
        <v>－</v>
      </c>
      <c r="X242" s="36" t="n">
        <f>15</f>
        <v>15.0</v>
      </c>
    </row>
    <row r="243">
      <c r="A243" s="27" t="s">
        <v>42</v>
      </c>
      <c r="B243" s="27" t="s">
        <v>780</v>
      </c>
      <c r="C243" s="27" t="s">
        <v>781</v>
      </c>
      <c r="D243" s="27" t="s">
        <v>782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10.0</v>
      </c>
      <c r="K243" s="33" t="n">
        <f>1013</f>
        <v>1013.0</v>
      </c>
      <c r="L243" s="34" t="s">
        <v>48</v>
      </c>
      <c r="M243" s="33" t="n">
        <f>1030</f>
        <v>1030.0</v>
      </c>
      <c r="N243" s="34" t="s">
        <v>90</v>
      </c>
      <c r="O243" s="33" t="n">
        <f>1005</f>
        <v>1005.0</v>
      </c>
      <c r="P243" s="34" t="s">
        <v>61</v>
      </c>
      <c r="Q243" s="33" t="n">
        <f>1020</f>
        <v>1020.0</v>
      </c>
      <c r="R243" s="34" t="s">
        <v>51</v>
      </c>
      <c r="S243" s="35" t="n">
        <f>1014.45</f>
        <v>1014.45</v>
      </c>
      <c r="T243" s="32" t="n">
        <f>139740</f>
        <v>139740.0</v>
      </c>
      <c r="U243" s="32" t="str">
        <f>"－"</f>
        <v>－</v>
      </c>
      <c r="V243" s="32" t="n">
        <f>141400090</f>
        <v>1.4140009E8</v>
      </c>
      <c r="W243" s="32" t="str">
        <f>"－"</f>
        <v>－</v>
      </c>
      <c r="X243" s="36" t="n">
        <f>22</f>
        <v>22.0</v>
      </c>
    </row>
    <row r="244">
      <c r="A244" s="27" t="s">
        <v>42</v>
      </c>
      <c r="B244" s="27" t="s">
        <v>783</v>
      </c>
      <c r="C244" s="27" t="s">
        <v>784</v>
      </c>
      <c r="D244" s="27" t="s">
        <v>785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10.0</v>
      </c>
      <c r="K244" s="33" t="n">
        <f>1731</f>
        <v>1731.0</v>
      </c>
      <c r="L244" s="34" t="s">
        <v>48</v>
      </c>
      <c r="M244" s="33" t="n">
        <f>1804</f>
        <v>1804.0</v>
      </c>
      <c r="N244" s="34" t="s">
        <v>69</v>
      </c>
      <c r="O244" s="33" t="n">
        <f>1663</f>
        <v>1663.0</v>
      </c>
      <c r="P244" s="34" t="s">
        <v>50</v>
      </c>
      <c r="Q244" s="33" t="n">
        <f>1701</f>
        <v>1701.0</v>
      </c>
      <c r="R244" s="34" t="s">
        <v>51</v>
      </c>
      <c r="S244" s="35" t="n">
        <f>1736.32</f>
        <v>1736.32</v>
      </c>
      <c r="T244" s="32" t="n">
        <f>55320</f>
        <v>55320.0</v>
      </c>
      <c r="U244" s="32" t="str">
        <f>"－"</f>
        <v>－</v>
      </c>
      <c r="V244" s="32" t="n">
        <f>96180810</f>
        <v>9.618081E7</v>
      </c>
      <c r="W244" s="32" t="str">
        <f>"－"</f>
        <v>－</v>
      </c>
      <c r="X244" s="36" t="n">
        <f>22</f>
        <v>22.0</v>
      </c>
    </row>
    <row r="245">
      <c r="A245" s="27" t="s">
        <v>42</v>
      </c>
      <c r="B245" s="27" t="s">
        <v>786</v>
      </c>
      <c r="C245" s="27" t="s">
        <v>787</v>
      </c>
      <c r="D245" s="27" t="s">
        <v>788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10.0</v>
      </c>
      <c r="K245" s="33" t="n">
        <f>1717</f>
        <v>1717.0</v>
      </c>
      <c r="L245" s="34" t="s">
        <v>48</v>
      </c>
      <c r="M245" s="33" t="n">
        <f>1785</f>
        <v>1785.0</v>
      </c>
      <c r="N245" s="34" t="s">
        <v>49</v>
      </c>
      <c r="O245" s="33" t="n">
        <f>1675</f>
        <v>1675.0</v>
      </c>
      <c r="P245" s="34" t="s">
        <v>62</v>
      </c>
      <c r="Q245" s="33" t="n">
        <f>1709</f>
        <v>1709.0</v>
      </c>
      <c r="R245" s="34" t="s">
        <v>51</v>
      </c>
      <c r="S245" s="35" t="n">
        <f>1732.15</f>
        <v>1732.15</v>
      </c>
      <c r="T245" s="32" t="n">
        <f>25150</f>
        <v>25150.0</v>
      </c>
      <c r="U245" s="32" t="str">
        <f>"－"</f>
        <v>－</v>
      </c>
      <c r="V245" s="32" t="n">
        <f>43673270</f>
        <v>4.367327E7</v>
      </c>
      <c r="W245" s="32" t="str">
        <f>"－"</f>
        <v>－</v>
      </c>
      <c r="X245" s="36" t="n">
        <f>20</f>
        <v>20.0</v>
      </c>
    </row>
    <row r="246">
      <c r="A246" s="27" t="s">
        <v>42</v>
      </c>
      <c r="B246" s="27" t="s">
        <v>789</v>
      </c>
      <c r="C246" s="27" t="s">
        <v>790</v>
      </c>
      <c r="D246" s="27" t="s">
        <v>791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10.0</v>
      </c>
      <c r="K246" s="33" t="n">
        <f>1594</f>
        <v>1594.0</v>
      </c>
      <c r="L246" s="34" t="s">
        <v>90</v>
      </c>
      <c r="M246" s="33" t="n">
        <f>1629</f>
        <v>1629.0</v>
      </c>
      <c r="N246" s="34" t="s">
        <v>104</v>
      </c>
      <c r="O246" s="33" t="n">
        <f>1549</f>
        <v>1549.0</v>
      </c>
      <c r="P246" s="34" t="s">
        <v>62</v>
      </c>
      <c r="Q246" s="33" t="n">
        <f>1629</f>
        <v>1629.0</v>
      </c>
      <c r="R246" s="34" t="s">
        <v>184</v>
      </c>
      <c r="S246" s="35" t="n">
        <f>1594.14</f>
        <v>1594.14</v>
      </c>
      <c r="T246" s="32" t="n">
        <f>840</f>
        <v>840.0</v>
      </c>
      <c r="U246" s="32" t="str">
        <f>"－"</f>
        <v>－</v>
      </c>
      <c r="V246" s="32" t="n">
        <f>1326720</f>
        <v>1326720.0</v>
      </c>
      <c r="W246" s="32" t="str">
        <f>"－"</f>
        <v>－</v>
      </c>
      <c r="X246" s="36" t="n">
        <f>7</f>
        <v>7.0</v>
      </c>
    </row>
    <row r="247">
      <c r="A247" s="27" t="s">
        <v>42</v>
      </c>
      <c r="B247" s="27" t="s">
        <v>792</v>
      </c>
      <c r="C247" s="27" t="s">
        <v>793</v>
      </c>
      <c r="D247" s="27" t="s">
        <v>794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1.0</v>
      </c>
      <c r="K247" s="33" t="n">
        <f>9330</f>
        <v>9330.0</v>
      </c>
      <c r="L247" s="34" t="s">
        <v>48</v>
      </c>
      <c r="M247" s="33" t="n">
        <f>10030</f>
        <v>10030.0</v>
      </c>
      <c r="N247" s="34" t="s">
        <v>73</v>
      </c>
      <c r="O247" s="33" t="n">
        <f>9000</f>
        <v>9000.0</v>
      </c>
      <c r="P247" s="34" t="s">
        <v>50</v>
      </c>
      <c r="Q247" s="33" t="n">
        <f>9390</f>
        <v>9390.0</v>
      </c>
      <c r="R247" s="34" t="s">
        <v>51</v>
      </c>
      <c r="S247" s="35" t="n">
        <f>9520</f>
        <v>9520.0</v>
      </c>
      <c r="T247" s="32" t="n">
        <f>389307</f>
        <v>389307.0</v>
      </c>
      <c r="U247" s="32" t="n">
        <f>22091</f>
        <v>22091.0</v>
      </c>
      <c r="V247" s="32" t="n">
        <f>3706615255</f>
        <v>3.706615255E9</v>
      </c>
      <c r="W247" s="32" t="n">
        <f>213192105</f>
        <v>2.13192105E8</v>
      </c>
      <c r="X247" s="36" t="n">
        <f>22</f>
        <v>22.0</v>
      </c>
    </row>
    <row r="248">
      <c r="A248" s="27" t="s">
        <v>42</v>
      </c>
      <c r="B248" s="27" t="s">
        <v>795</v>
      </c>
      <c r="C248" s="27" t="s">
        <v>796</v>
      </c>
      <c r="D248" s="27" t="s">
        <v>797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1.0</v>
      </c>
      <c r="K248" s="33" t="n">
        <f>9060</f>
        <v>9060.0</v>
      </c>
      <c r="L248" s="34" t="s">
        <v>48</v>
      </c>
      <c r="M248" s="33" t="n">
        <f>9750</f>
        <v>9750.0</v>
      </c>
      <c r="N248" s="34" t="s">
        <v>73</v>
      </c>
      <c r="O248" s="33" t="n">
        <f>8810</f>
        <v>8810.0</v>
      </c>
      <c r="P248" s="34" t="s">
        <v>50</v>
      </c>
      <c r="Q248" s="33" t="n">
        <f>9230</f>
        <v>9230.0</v>
      </c>
      <c r="R248" s="34" t="s">
        <v>51</v>
      </c>
      <c r="S248" s="35" t="n">
        <f>9261.36</f>
        <v>9261.36</v>
      </c>
      <c r="T248" s="32" t="n">
        <f>47651</f>
        <v>47651.0</v>
      </c>
      <c r="U248" s="32" t="n">
        <f>74</f>
        <v>74.0</v>
      </c>
      <c r="V248" s="32" t="n">
        <f>442974200</f>
        <v>4.429742E8</v>
      </c>
      <c r="W248" s="32" t="n">
        <f>687080</f>
        <v>687080.0</v>
      </c>
      <c r="X248" s="36" t="n">
        <f>22</f>
        <v>22.0</v>
      </c>
    </row>
    <row r="249">
      <c r="A249" s="27" t="s">
        <v>42</v>
      </c>
      <c r="B249" s="27" t="s">
        <v>798</v>
      </c>
      <c r="C249" s="27" t="s">
        <v>799</v>
      </c>
      <c r="D249" s="27" t="s">
        <v>800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1.0</v>
      </c>
      <c r="K249" s="33" t="n">
        <f>21000</f>
        <v>21000.0</v>
      </c>
      <c r="L249" s="34" t="s">
        <v>90</v>
      </c>
      <c r="M249" s="33" t="n">
        <f>21500</f>
        <v>21500.0</v>
      </c>
      <c r="N249" s="34" t="s">
        <v>69</v>
      </c>
      <c r="O249" s="33" t="n">
        <f>20620</f>
        <v>20620.0</v>
      </c>
      <c r="P249" s="34" t="s">
        <v>77</v>
      </c>
      <c r="Q249" s="33" t="n">
        <f>20620</f>
        <v>20620.0</v>
      </c>
      <c r="R249" s="34" t="s">
        <v>77</v>
      </c>
      <c r="S249" s="35" t="n">
        <f>21080</f>
        <v>21080.0</v>
      </c>
      <c r="T249" s="32" t="n">
        <f>149</f>
        <v>149.0</v>
      </c>
      <c r="U249" s="32" t="str">
        <f>"－"</f>
        <v>－</v>
      </c>
      <c r="V249" s="32" t="n">
        <f>3156350</f>
        <v>3156350.0</v>
      </c>
      <c r="W249" s="32" t="str">
        <f>"－"</f>
        <v>－</v>
      </c>
      <c r="X249" s="36" t="n">
        <f>10</f>
        <v>10.0</v>
      </c>
    </row>
    <row r="250">
      <c r="A250" s="27" t="s">
        <v>42</v>
      </c>
      <c r="B250" s="27" t="s">
        <v>801</v>
      </c>
      <c r="C250" s="27" t="s">
        <v>802</v>
      </c>
      <c r="D250" s="27" t="s">
        <v>803</v>
      </c>
      <c r="E250" s="28" t="s">
        <v>46</v>
      </c>
      <c r="F250" s="29" t="s">
        <v>46</v>
      </c>
      <c r="G250" s="30" t="s">
        <v>46</v>
      </c>
      <c r="H250" s="31"/>
      <c r="I250" s="31" t="s">
        <v>47</v>
      </c>
      <c r="J250" s="32" t="n">
        <v>1.0</v>
      </c>
      <c r="K250" s="33" t="n">
        <f>2756</f>
        <v>2756.0</v>
      </c>
      <c r="L250" s="34" t="s">
        <v>48</v>
      </c>
      <c r="M250" s="33" t="n">
        <f>2757</f>
        <v>2757.0</v>
      </c>
      <c r="N250" s="34" t="s">
        <v>62</v>
      </c>
      <c r="O250" s="33" t="n">
        <f>2735</f>
        <v>2735.0</v>
      </c>
      <c r="P250" s="34" t="s">
        <v>73</v>
      </c>
      <c r="Q250" s="33" t="n">
        <f>2737</f>
        <v>2737.0</v>
      </c>
      <c r="R250" s="34" t="s">
        <v>51</v>
      </c>
      <c r="S250" s="35" t="n">
        <f>2744.27</f>
        <v>2744.27</v>
      </c>
      <c r="T250" s="32" t="n">
        <f>283939</f>
        <v>283939.0</v>
      </c>
      <c r="U250" s="32" t="n">
        <f>216585</f>
        <v>216585.0</v>
      </c>
      <c r="V250" s="32" t="n">
        <f>780274514</f>
        <v>7.80274514E8</v>
      </c>
      <c r="W250" s="32" t="n">
        <f>595477636</f>
        <v>5.95477636E8</v>
      </c>
      <c r="X250" s="36" t="n">
        <f>22</f>
        <v>22.0</v>
      </c>
    </row>
    <row r="251">
      <c r="A251" s="27" t="s">
        <v>42</v>
      </c>
      <c r="B251" s="27" t="s">
        <v>804</v>
      </c>
      <c r="C251" s="27" t="s">
        <v>805</v>
      </c>
      <c r="D251" s="27" t="s">
        <v>806</v>
      </c>
      <c r="E251" s="28" t="s">
        <v>46</v>
      </c>
      <c r="F251" s="29" t="s">
        <v>46</v>
      </c>
      <c r="G251" s="30" t="s">
        <v>46</v>
      </c>
      <c r="H251" s="31"/>
      <c r="I251" s="31" t="s">
        <v>47</v>
      </c>
      <c r="J251" s="32" t="n">
        <v>10.0</v>
      </c>
      <c r="K251" s="33" t="n">
        <f>2187</f>
        <v>2187.0</v>
      </c>
      <c r="L251" s="34" t="s">
        <v>48</v>
      </c>
      <c r="M251" s="33" t="n">
        <f>2386</f>
        <v>2386.0</v>
      </c>
      <c r="N251" s="34" t="s">
        <v>49</v>
      </c>
      <c r="O251" s="33" t="n">
        <f>2137</f>
        <v>2137.0</v>
      </c>
      <c r="P251" s="34" t="s">
        <v>50</v>
      </c>
      <c r="Q251" s="33" t="n">
        <f>2208</f>
        <v>2208.0</v>
      </c>
      <c r="R251" s="34" t="s">
        <v>51</v>
      </c>
      <c r="S251" s="35" t="n">
        <f>2249.59</f>
        <v>2249.59</v>
      </c>
      <c r="T251" s="32" t="n">
        <f>997230</f>
        <v>997230.0</v>
      </c>
      <c r="U251" s="32" t="n">
        <f>318600</f>
        <v>318600.0</v>
      </c>
      <c r="V251" s="32" t="n">
        <f>2221163120</f>
        <v>2.22116312E9</v>
      </c>
      <c r="W251" s="32" t="n">
        <f>702062520</f>
        <v>7.0206252E8</v>
      </c>
      <c r="X251" s="36" t="n">
        <f>22</f>
        <v>22.0</v>
      </c>
    </row>
    <row r="252">
      <c r="A252" s="27" t="s">
        <v>42</v>
      </c>
      <c r="B252" s="27" t="s">
        <v>807</v>
      </c>
      <c r="C252" s="27" t="s">
        <v>808</v>
      </c>
      <c r="D252" s="27" t="s">
        <v>809</v>
      </c>
      <c r="E252" s="28" t="s">
        <v>810</v>
      </c>
      <c r="F252" s="29" t="s">
        <v>811</v>
      </c>
      <c r="G252" s="30" t="s">
        <v>812</v>
      </c>
      <c r="H252" s="31"/>
      <c r="I252" s="31" t="s">
        <v>47</v>
      </c>
      <c r="J252" s="32" t="n">
        <v>1.0</v>
      </c>
      <c r="K252" s="33" t="n">
        <f>2014</f>
        <v>2014.0</v>
      </c>
      <c r="L252" s="34" t="s">
        <v>278</v>
      </c>
      <c r="M252" s="33" t="n">
        <f>2035</f>
        <v>2035.0</v>
      </c>
      <c r="N252" s="34" t="s">
        <v>132</v>
      </c>
      <c r="O252" s="33" t="n">
        <f>1940</f>
        <v>1940.0</v>
      </c>
      <c r="P252" s="34" t="s">
        <v>77</v>
      </c>
      <c r="Q252" s="33" t="n">
        <f>1975</f>
        <v>1975.0</v>
      </c>
      <c r="R252" s="34" t="s">
        <v>51</v>
      </c>
      <c r="S252" s="35" t="n">
        <f>1993</f>
        <v>1993.0</v>
      </c>
      <c r="T252" s="32" t="n">
        <f>69743</f>
        <v>69743.0</v>
      </c>
      <c r="U252" s="32" t="str">
        <f>"－"</f>
        <v>－</v>
      </c>
      <c r="V252" s="32" t="n">
        <f>139136797</f>
        <v>1.39136797E8</v>
      </c>
      <c r="W252" s="32" t="str">
        <f>"－"</f>
        <v>－</v>
      </c>
      <c r="X252" s="36" t="n">
        <f>8</f>
        <v>8.0</v>
      </c>
    </row>
    <row r="253">
      <c r="A253" s="27" t="s">
        <v>42</v>
      </c>
      <c r="B253" s="27" t="s">
        <v>813</v>
      </c>
      <c r="C253" s="27" t="s">
        <v>814</v>
      </c>
      <c r="D253" s="27" t="s">
        <v>815</v>
      </c>
      <c r="E253" s="28" t="s">
        <v>46</v>
      </c>
      <c r="F253" s="29" t="s">
        <v>46</v>
      </c>
      <c r="G253" s="30" t="s">
        <v>46</v>
      </c>
      <c r="H253" s="31"/>
      <c r="I253" s="31" t="s">
        <v>47</v>
      </c>
      <c r="J253" s="32" t="n">
        <v>1.0</v>
      </c>
      <c r="K253" s="33" t="n">
        <f>106000</f>
        <v>106000.0</v>
      </c>
      <c r="L253" s="34" t="s">
        <v>48</v>
      </c>
      <c r="M253" s="33" t="n">
        <f>112700</f>
        <v>112700.0</v>
      </c>
      <c r="N253" s="34" t="s">
        <v>132</v>
      </c>
      <c r="O253" s="33" t="n">
        <f>99300</f>
        <v>99300.0</v>
      </c>
      <c r="P253" s="34" t="s">
        <v>62</v>
      </c>
      <c r="Q253" s="33" t="n">
        <f>111200</f>
        <v>111200.0</v>
      </c>
      <c r="R253" s="34" t="s">
        <v>51</v>
      </c>
      <c r="S253" s="35" t="n">
        <f>108281.82</f>
        <v>108281.82</v>
      </c>
      <c r="T253" s="32" t="n">
        <f>24934</f>
        <v>24934.0</v>
      </c>
      <c r="U253" s="32" t="n">
        <f>1958</f>
        <v>1958.0</v>
      </c>
      <c r="V253" s="32" t="n">
        <f>2679750654</f>
        <v>2.679750654E9</v>
      </c>
      <c r="W253" s="32" t="n">
        <f>211906754</f>
        <v>2.11906754E8</v>
      </c>
      <c r="X253" s="36" t="n">
        <f>22</f>
        <v>22.0</v>
      </c>
    </row>
    <row r="254">
      <c r="A254" s="27" t="s">
        <v>42</v>
      </c>
      <c r="B254" s="27" t="s">
        <v>816</v>
      </c>
      <c r="C254" s="27" t="s">
        <v>817</v>
      </c>
      <c r="D254" s="27" t="s">
        <v>818</v>
      </c>
      <c r="E254" s="28" t="s">
        <v>46</v>
      </c>
      <c r="F254" s="29" t="s">
        <v>46</v>
      </c>
      <c r="G254" s="30" t="s">
        <v>46</v>
      </c>
      <c r="H254" s="31"/>
      <c r="I254" s="31" t="s">
        <v>641</v>
      </c>
      <c r="J254" s="32" t="n">
        <v>1.0</v>
      </c>
      <c r="K254" s="33" t="n">
        <f>103500</f>
        <v>103500.0</v>
      </c>
      <c r="L254" s="34" t="s">
        <v>48</v>
      </c>
      <c r="M254" s="33" t="n">
        <f>105200</f>
        <v>105200.0</v>
      </c>
      <c r="N254" s="34" t="s">
        <v>73</v>
      </c>
      <c r="O254" s="33" t="n">
        <f>93800</f>
        <v>93800.0</v>
      </c>
      <c r="P254" s="34" t="s">
        <v>51</v>
      </c>
      <c r="Q254" s="33" t="n">
        <f>94000</f>
        <v>94000.0</v>
      </c>
      <c r="R254" s="34" t="s">
        <v>51</v>
      </c>
      <c r="S254" s="35" t="n">
        <f>99968.18</f>
        <v>99968.18</v>
      </c>
      <c r="T254" s="32" t="n">
        <f>23131</f>
        <v>23131.0</v>
      </c>
      <c r="U254" s="32" t="n">
        <f>3172</f>
        <v>3172.0</v>
      </c>
      <c r="V254" s="32" t="n">
        <f>2317604710</f>
        <v>2.31760471E9</v>
      </c>
      <c r="W254" s="32" t="n">
        <f>319979410</f>
        <v>3.1997941E8</v>
      </c>
      <c r="X254" s="36" t="n">
        <f>22</f>
        <v>22.0</v>
      </c>
    </row>
    <row r="255">
      <c r="A255" s="27" t="s">
        <v>42</v>
      </c>
      <c r="B255" s="27" t="s">
        <v>819</v>
      </c>
      <c r="C255" s="27" t="s">
        <v>820</v>
      </c>
      <c r="D255" s="27" t="s">
        <v>821</v>
      </c>
      <c r="E255" s="28" t="s">
        <v>46</v>
      </c>
      <c r="F255" s="29" t="s">
        <v>46</v>
      </c>
      <c r="G255" s="30" t="s">
        <v>46</v>
      </c>
      <c r="H255" s="31"/>
      <c r="I255" s="31" t="s">
        <v>641</v>
      </c>
      <c r="J255" s="32" t="n">
        <v>1.0</v>
      </c>
      <c r="K255" s="33" t="n">
        <f>129100</f>
        <v>129100.0</v>
      </c>
      <c r="L255" s="34" t="s">
        <v>48</v>
      </c>
      <c r="M255" s="33" t="n">
        <f>134900</f>
        <v>134900.0</v>
      </c>
      <c r="N255" s="34" t="s">
        <v>285</v>
      </c>
      <c r="O255" s="33" t="n">
        <f>118600</f>
        <v>118600.0</v>
      </c>
      <c r="P255" s="34" t="s">
        <v>62</v>
      </c>
      <c r="Q255" s="33" t="n">
        <f>129900</f>
        <v>129900.0</v>
      </c>
      <c r="R255" s="34" t="s">
        <v>51</v>
      </c>
      <c r="S255" s="35" t="n">
        <f>128563.64</f>
        <v>128563.64</v>
      </c>
      <c r="T255" s="32" t="n">
        <f>61465</f>
        <v>61465.0</v>
      </c>
      <c r="U255" s="32" t="n">
        <f>8277</f>
        <v>8277.0</v>
      </c>
      <c r="V255" s="32" t="n">
        <f>7916093236</f>
        <v>7.916093236E9</v>
      </c>
      <c r="W255" s="32" t="n">
        <f>1061054936</f>
        <v>1.061054936E9</v>
      </c>
      <c r="X255" s="36" t="n">
        <f>22</f>
        <v>22.0</v>
      </c>
    </row>
    <row r="256">
      <c r="A256" s="27" t="s">
        <v>42</v>
      </c>
      <c r="B256" s="27" t="s">
        <v>822</v>
      </c>
      <c r="C256" s="27" t="s">
        <v>823</v>
      </c>
      <c r="D256" s="27" t="s">
        <v>824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1.0</v>
      </c>
      <c r="K256" s="33" t="n">
        <f>652000</f>
        <v>652000.0</v>
      </c>
      <c r="L256" s="34" t="s">
        <v>48</v>
      </c>
      <c r="M256" s="33" t="n">
        <f>672000</f>
        <v>672000.0</v>
      </c>
      <c r="N256" s="34" t="s">
        <v>61</v>
      </c>
      <c r="O256" s="33" t="n">
        <f>615000</f>
        <v>615000.0</v>
      </c>
      <c r="P256" s="34" t="s">
        <v>49</v>
      </c>
      <c r="Q256" s="33" t="n">
        <f>624000</f>
        <v>624000.0</v>
      </c>
      <c r="R256" s="34" t="s">
        <v>51</v>
      </c>
      <c r="S256" s="35" t="n">
        <f>639818.18</f>
        <v>639818.18</v>
      </c>
      <c r="T256" s="32" t="n">
        <f>59134</f>
        <v>59134.0</v>
      </c>
      <c r="U256" s="32" t="n">
        <f>9270</f>
        <v>9270.0</v>
      </c>
      <c r="V256" s="32" t="n">
        <f>37796443485</f>
        <v>3.7796443485E10</v>
      </c>
      <c r="W256" s="32" t="n">
        <f>5918571485</f>
        <v>5.918571485E9</v>
      </c>
      <c r="X256" s="36" t="n">
        <f>22</f>
        <v>22.0</v>
      </c>
    </row>
    <row r="257">
      <c r="A257" s="27" t="s">
        <v>42</v>
      </c>
      <c r="B257" s="27" t="s">
        <v>825</v>
      </c>
      <c r="C257" s="27" t="s">
        <v>826</v>
      </c>
      <c r="D257" s="27" t="s">
        <v>827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1.0</v>
      </c>
      <c r="K257" s="33" t="n">
        <f>84400</f>
        <v>84400.0</v>
      </c>
      <c r="L257" s="34" t="s">
        <v>48</v>
      </c>
      <c r="M257" s="33" t="n">
        <f>97100</f>
        <v>97100.0</v>
      </c>
      <c r="N257" s="34" t="s">
        <v>49</v>
      </c>
      <c r="O257" s="33" t="n">
        <f>76000</f>
        <v>76000.0</v>
      </c>
      <c r="P257" s="34" t="s">
        <v>77</v>
      </c>
      <c r="Q257" s="33" t="n">
        <f>78200</f>
        <v>78200.0</v>
      </c>
      <c r="R257" s="34" t="s">
        <v>51</v>
      </c>
      <c r="S257" s="35" t="n">
        <f>84631.82</f>
        <v>84631.82</v>
      </c>
      <c r="T257" s="32" t="n">
        <f>297397</f>
        <v>297397.0</v>
      </c>
      <c r="U257" s="32" t="n">
        <f>44729</f>
        <v>44729.0</v>
      </c>
      <c r="V257" s="32" t="n">
        <f>25252892431</f>
        <v>2.5252892431E10</v>
      </c>
      <c r="W257" s="32" t="n">
        <f>3791163731</f>
        <v>3.791163731E9</v>
      </c>
      <c r="X257" s="36" t="n">
        <f>22</f>
        <v>22.0</v>
      </c>
    </row>
    <row r="258">
      <c r="A258" s="27" t="s">
        <v>42</v>
      </c>
      <c r="B258" s="27" t="s">
        <v>828</v>
      </c>
      <c r="C258" s="27" t="s">
        <v>829</v>
      </c>
      <c r="D258" s="27" t="s">
        <v>830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1.0</v>
      </c>
      <c r="K258" s="33" t="n">
        <f>143900</f>
        <v>143900.0</v>
      </c>
      <c r="L258" s="34" t="s">
        <v>48</v>
      </c>
      <c r="M258" s="33" t="n">
        <f>148800</f>
        <v>148800.0</v>
      </c>
      <c r="N258" s="34" t="s">
        <v>61</v>
      </c>
      <c r="O258" s="33" t="n">
        <f>133600</f>
        <v>133600.0</v>
      </c>
      <c r="P258" s="34" t="s">
        <v>51</v>
      </c>
      <c r="Q258" s="33" t="n">
        <f>136200</f>
        <v>136200.0</v>
      </c>
      <c r="R258" s="34" t="s">
        <v>51</v>
      </c>
      <c r="S258" s="35" t="n">
        <f>142968.18</f>
        <v>142968.18</v>
      </c>
      <c r="T258" s="32" t="n">
        <f>124545</f>
        <v>124545.0</v>
      </c>
      <c r="U258" s="32" t="n">
        <f>21609</f>
        <v>21609.0</v>
      </c>
      <c r="V258" s="32" t="n">
        <f>17788389578</f>
        <v>1.7788389578E10</v>
      </c>
      <c r="W258" s="32" t="n">
        <f>3077240378</f>
        <v>3.077240378E9</v>
      </c>
      <c r="X258" s="36" t="n">
        <f>22</f>
        <v>22.0</v>
      </c>
    </row>
    <row r="259">
      <c r="A259" s="27" t="s">
        <v>42</v>
      </c>
      <c r="B259" s="27" t="s">
        <v>831</v>
      </c>
      <c r="C259" s="27" t="s">
        <v>832</v>
      </c>
      <c r="D259" s="27" t="s">
        <v>833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1.0</v>
      </c>
      <c r="K259" s="33" t="n">
        <f>175000</f>
        <v>175000.0</v>
      </c>
      <c r="L259" s="34" t="s">
        <v>48</v>
      </c>
      <c r="M259" s="33" t="n">
        <f>176000</f>
        <v>176000.0</v>
      </c>
      <c r="N259" s="34" t="s">
        <v>51</v>
      </c>
      <c r="O259" s="33" t="n">
        <f>154300</f>
        <v>154300.0</v>
      </c>
      <c r="P259" s="34" t="s">
        <v>62</v>
      </c>
      <c r="Q259" s="33" t="n">
        <f>173600</f>
        <v>173600.0</v>
      </c>
      <c r="R259" s="34" t="s">
        <v>51</v>
      </c>
      <c r="S259" s="35" t="n">
        <f>166950</f>
        <v>166950.0</v>
      </c>
      <c r="T259" s="32" t="n">
        <f>192318</f>
        <v>192318.0</v>
      </c>
      <c r="U259" s="32" t="n">
        <f>35752</f>
        <v>35752.0</v>
      </c>
      <c r="V259" s="32" t="n">
        <f>32029866059</f>
        <v>3.2029866059E10</v>
      </c>
      <c r="W259" s="32" t="n">
        <f>5947728859</f>
        <v>5.947728859E9</v>
      </c>
      <c r="X259" s="36" t="n">
        <f>22</f>
        <v>22.0</v>
      </c>
    </row>
    <row r="260">
      <c r="A260" s="27" t="s">
        <v>42</v>
      </c>
      <c r="B260" s="27" t="s">
        <v>834</v>
      </c>
      <c r="C260" s="27" t="s">
        <v>835</v>
      </c>
      <c r="D260" s="27" t="s">
        <v>836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1.0</v>
      </c>
      <c r="K260" s="33" t="n">
        <f>332500</f>
        <v>332500.0</v>
      </c>
      <c r="L260" s="34" t="s">
        <v>48</v>
      </c>
      <c r="M260" s="33" t="n">
        <f>336500</f>
        <v>336500.0</v>
      </c>
      <c r="N260" s="34" t="s">
        <v>48</v>
      </c>
      <c r="O260" s="33" t="n">
        <f>296200</f>
        <v>296200.0</v>
      </c>
      <c r="P260" s="34" t="s">
        <v>50</v>
      </c>
      <c r="Q260" s="33" t="n">
        <f>321500</f>
        <v>321500.0</v>
      </c>
      <c r="R260" s="34" t="s">
        <v>51</v>
      </c>
      <c r="S260" s="35" t="n">
        <f>316100</f>
        <v>316100.0</v>
      </c>
      <c r="T260" s="32" t="n">
        <f>185227</f>
        <v>185227.0</v>
      </c>
      <c r="U260" s="32" t="n">
        <f>36212</f>
        <v>36212.0</v>
      </c>
      <c r="V260" s="32" t="n">
        <f>58279279382</f>
        <v>5.8279279382E10</v>
      </c>
      <c r="W260" s="32" t="n">
        <f>11404911682</f>
        <v>1.1404911682E10</v>
      </c>
      <c r="X260" s="36" t="n">
        <f>22</f>
        <v>22.0</v>
      </c>
    </row>
    <row r="261">
      <c r="A261" s="27" t="s">
        <v>42</v>
      </c>
      <c r="B261" s="27" t="s">
        <v>837</v>
      </c>
      <c r="C261" s="27" t="s">
        <v>838</v>
      </c>
      <c r="D261" s="27" t="s">
        <v>839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1.0</v>
      </c>
      <c r="K261" s="33" t="n">
        <f>179900</f>
        <v>179900.0</v>
      </c>
      <c r="L261" s="34" t="s">
        <v>48</v>
      </c>
      <c r="M261" s="33" t="n">
        <f>193300</f>
        <v>193300.0</v>
      </c>
      <c r="N261" s="34" t="s">
        <v>340</v>
      </c>
      <c r="O261" s="33" t="n">
        <f>176000</f>
        <v>176000.0</v>
      </c>
      <c r="P261" s="34" t="s">
        <v>48</v>
      </c>
      <c r="Q261" s="33" t="n">
        <f>186100</f>
        <v>186100.0</v>
      </c>
      <c r="R261" s="34" t="s">
        <v>51</v>
      </c>
      <c r="S261" s="35" t="n">
        <f>183931.82</f>
        <v>183931.82</v>
      </c>
      <c r="T261" s="32" t="n">
        <f>75077</f>
        <v>75077.0</v>
      </c>
      <c r="U261" s="32" t="n">
        <f>10008</f>
        <v>10008.0</v>
      </c>
      <c r="V261" s="32" t="n">
        <f>13811568545</f>
        <v>1.3811568545E10</v>
      </c>
      <c r="W261" s="32" t="n">
        <f>1853761545</f>
        <v>1.853761545E9</v>
      </c>
      <c r="X261" s="36" t="n">
        <f>22</f>
        <v>22.0</v>
      </c>
    </row>
    <row r="262">
      <c r="A262" s="27" t="s">
        <v>42</v>
      </c>
      <c r="B262" s="27" t="s">
        <v>840</v>
      </c>
      <c r="C262" s="27" t="s">
        <v>841</v>
      </c>
      <c r="D262" s="27" t="s">
        <v>842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1.0</v>
      </c>
      <c r="K262" s="33" t="n">
        <f>370500</f>
        <v>370500.0</v>
      </c>
      <c r="L262" s="34" t="s">
        <v>48</v>
      </c>
      <c r="M262" s="33" t="n">
        <f>426000</f>
        <v>426000.0</v>
      </c>
      <c r="N262" s="34" t="s">
        <v>49</v>
      </c>
      <c r="O262" s="33" t="n">
        <f>357000</f>
        <v>357000.0</v>
      </c>
      <c r="P262" s="34" t="s">
        <v>48</v>
      </c>
      <c r="Q262" s="33" t="n">
        <f>371500</f>
        <v>371500.0</v>
      </c>
      <c r="R262" s="34" t="s">
        <v>51</v>
      </c>
      <c r="S262" s="35" t="n">
        <f>389500</f>
        <v>389500.0</v>
      </c>
      <c r="T262" s="32" t="n">
        <f>114196</f>
        <v>114196.0</v>
      </c>
      <c r="U262" s="32" t="n">
        <f>20197</f>
        <v>20197.0</v>
      </c>
      <c r="V262" s="32" t="n">
        <f>44436081988</f>
        <v>4.4436081988E10</v>
      </c>
      <c r="W262" s="32" t="n">
        <f>7913142988</f>
        <v>7.913142988E9</v>
      </c>
      <c r="X262" s="36" t="n">
        <f>22</f>
        <v>22.0</v>
      </c>
    </row>
    <row r="263">
      <c r="A263" s="27" t="s">
        <v>42</v>
      </c>
      <c r="B263" s="27" t="s">
        <v>843</v>
      </c>
      <c r="C263" s="27" t="s">
        <v>844</v>
      </c>
      <c r="D263" s="27" t="s">
        <v>845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1.0</v>
      </c>
      <c r="K263" s="33" t="n">
        <f>143100</f>
        <v>143100.0</v>
      </c>
      <c r="L263" s="34" t="s">
        <v>48</v>
      </c>
      <c r="M263" s="33" t="n">
        <f>157900</f>
        <v>157900.0</v>
      </c>
      <c r="N263" s="34" t="s">
        <v>51</v>
      </c>
      <c r="O263" s="33" t="n">
        <f>132700</f>
        <v>132700.0</v>
      </c>
      <c r="P263" s="34" t="s">
        <v>62</v>
      </c>
      <c r="Q263" s="33" t="n">
        <f>156500</f>
        <v>156500.0</v>
      </c>
      <c r="R263" s="34" t="s">
        <v>51</v>
      </c>
      <c r="S263" s="35" t="n">
        <f>143081.82</f>
        <v>143081.82</v>
      </c>
      <c r="T263" s="32" t="n">
        <f>606439</f>
        <v>606439.0</v>
      </c>
      <c r="U263" s="32" t="n">
        <f>121354</f>
        <v>121354.0</v>
      </c>
      <c r="V263" s="32" t="n">
        <f>86925077893</f>
        <v>8.6925077893E10</v>
      </c>
      <c r="W263" s="32" t="n">
        <f>17508726193</f>
        <v>1.7508726193E10</v>
      </c>
      <c r="X263" s="36" t="n">
        <f>22</f>
        <v>22.0</v>
      </c>
    </row>
    <row r="264">
      <c r="A264" s="27" t="s">
        <v>42</v>
      </c>
      <c r="B264" s="27" t="s">
        <v>846</v>
      </c>
      <c r="C264" s="27" t="s">
        <v>847</v>
      </c>
      <c r="D264" s="27" t="s">
        <v>848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1.0</v>
      </c>
      <c r="K264" s="33" t="n">
        <f>325500</f>
        <v>325500.0</v>
      </c>
      <c r="L264" s="34" t="s">
        <v>48</v>
      </c>
      <c r="M264" s="33" t="n">
        <f>333000</f>
        <v>333000.0</v>
      </c>
      <c r="N264" s="34" t="s">
        <v>132</v>
      </c>
      <c r="O264" s="33" t="n">
        <f>306500</f>
        <v>306500.0</v>
      </c>
      <c r="P264" s="34" t="s">
        <v>73</v>
      </c>
      <c r="Q264" s="33" t="n">
        <f>322000</f>
        <v>322000.0</v>
      </c>
      <c r="R264" s="34" t="s">
        <v>51</v>
      </c>
      <c r="S264" s="35" t="n">
        <f>321022.73</f>
        <v>321022.73</v>
      </c>
      <c r="T264" s="32" t="n">
        <f>87155</f>
        <v>87155.0</v>
      </c>
      <c r="U264" s="32" t="n">
        <f>20756</f>
        <v>20756.0</v>
      </c>
      <c r="V264" s="32" t="n">
        <f>28046811025</f>
        <v>2.8046811025E10</v>
      </c>
      <c r="W264" s="32" t="n">
        <f>6699278525</f>
        <v>6.699278525E9</v>
      </c>
      <c r="X264" s="36" t="n">
        <f>22</f>
        <v>22.0</v>
      </c>
    </row>
    <row r="265">
      <c r="A265" s="27" t="s">
        <v>42</v>
      </c>
      <c r="B265" s="27" t="s">
        <v>849</v>
      </c>
      <c r="C265" s="27" t="s">
        <v>850</v>
      </c>
      <c r="D265" s="27" t="s">
        <v>851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1.0</v>
      </c>
      <c r="K265" s="33" t="n">
        <f>303000</f>
        <v>303000.0</v>
      </c>
      <c r="L265" s="34" t="s">
        <v>48</v>
      </c>
      <c r="M265" s="33" t="n">
        <f>329500</f>
        <v>329500.0</v>
      </c>
      <c r="N265" s="34" t="s">
        <v>51</v>
      </c>
      <c r="O265" s="33" t="n">
        <f>275500</f>
        <v>275500.0</v>
      </c>
      <c r="P265" s="34" t="s">
        <v>62</v>
      </c>
      <c r="Q265" s="33" t="n">
        <f>328000</f>
        <v>328000.0</v>
      </c>
      <c r="R265" s="34" t="s">
        <v>51</v>
      </c>
      <c r="S265" s="35" t="n">
        <f>301659.09</f>
        <v>301659.09</v>
      </c>
      <c r="T265" s="32" t="n">
        <f>277324</f>
        <v>277324.0</v>
      </c>
      <c r="U265" s="32" t="n">
        <f>60597</f>
        <v>60597.0</v>
      </c>
      <c r="V265" s="32" t="n">
        <f>83420697678</f>
        <v>8.3420697678E10</v>
      </c>
      <c r="W265" s="32" t="n">
        <f>18312671378</f>
        <v>1.8312671378E10</v>
      </c>
      <c r="X265" s="36" t="n">
        <f>22</f>
        <v>22.0</v>
      </c>
    </row>
    <row r="266">
      <c r="A266" s="27" t="s">
        <v>42</v>
      </c>
      <c r="B266" s="27" t="s">
        <v>852</v>
      </c>
      <c r="C266" s="27" t="s">
        <v>853</v>
      </c>
      <c r="D266" s="27" t="s">
        <v>854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1.0</v>
      </c>
      <c r="K266" s="33" t="n">
        <f>441500</f>
        <v>441500.0</v>
      </c>
      <c r="L266" s="34" t="s">
        <v>48</v>
      </c>
      <c r="M266" s="33" t="n">
        <f>490000</f>
        <v>490000.0</v>
      </c>
      <c r="N266" s="34" t="s">
        <v>184</v>
      </c>
      <c r="O266" s="33" t="n">
        <f>433000</f>
        <v>433000.0</v>
      </c>
      <c r="P266" s="34" t="s">
        <v>50</v>
      </c>
      <c r="Q266" s="33" t="n">
        <f>465000</f>
        <v>465000.0</v>
      </c>
      <c r="R266" s="34" t="s">
        <v>51</v>
      </c>
      <c r="S266" s="35" t="n">
        <f>468818.18</f>
        <v>468818.18</v>
      </c>
      <c r="T266" s="32" t="n">
        <f>53712</f>
        <v>53712.0</v>
      </c>
      <c r="U266" s="32" t="n">
        <f>4175</f>
        <v>4175.0</v>
      </c>
      <c r="V266" s="32" t="n">
        <f>25117799185</f>
        <v>2.5117799185E10</v>
      </c>
      <c r="W266" s="32" t="n">
        <f>1983739185</f>
        <v>1.983739185E9</v>
      </c>
      <c r="X266" s="36" t="n">
        <f>22</f>
        <v>22.0</v>
      </c>
    </row>
    <row r="267">
      <c r="A267" s="27" t="s">
        <v>42</v>
      </c>
      <c r="B267" s="27" t="s">
        <v>855</v>
      </c>
      <c r="C267" s="27" t="s">
        <v>856</v>
      </c>
      <c r="D267" s="27" t="s">
        <v>857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1.0</v>
      </c>
      <c r="K267" s="33" t="n">
        <f>266700</f>
        <v>266700.0</v>
      </c>
      <c r="L267" s="34" t="s">
        <v>48</v>
      </c>
      <c r="M267" s="33" t="n">
        <f>282900</f>
        <v>282900.0</v>
      </c>
      <c r="N267" s="34" t="s">
        <v>73</v>
      </c>
      <c r="O267" s="33" t="n">
        <f>248600</f>
        <v>248600.0</v>
      </c>
      <c r="P267" s="34" t="s">
        <v>51</v>
      </c>
      <c r="Q267" s="33" t="n">
        <f>259700</f>
        <v>259700.0</v>
      </c>
      <c r="R267" s="34" t="s">
        <v>51</v>
      </c>
      <c r="S267" s="35" t="n">
        <f>264927.27</f>
        <v>264927.27</v>
      </c>
      <c r="T267" s="32" t="n">
        <f>14898</f>
        <v>14898.0</v>
      </c>
      <c r="U267" s="32" t="n">
        <f>1772</f>
        <v>1772.0</v>
      </c>
      <c r="V267" s="32" t="n">
        <f>3947647048</f>
        <v>3.947647048E9</v>
      </c>
      <c r="W267" s="32" t="n">
        <f>467107848</f>
        <v>4.67107848E8</v>
      </c>
      <c r="X267" s="36" t="n">
        <f>22</f>
        <v>22.0</v>
      </c>
    </row>
    <row r="268">
      <c r="A268" s="27" t="s">
        <v>42</v>
      </c>
      <c r="B268" s="27" t="s">
        <v>858</v>
      </c>
      <c r="C268" s="27" t="s">
        <v>859</v>
      </c>
      <c r="D268" s="27" t="s">
        <v>860</v>
      </c>
      <c r="E268" s="28" t="s">
        <v>46</v>
      </c>
      <c r="F268" s="29" t="s">
        <v>46</v>
      </c>
      <c r="G268" s="30" t="s">
        <v>46</v>
      </c>
      <c r="H268" s="31"/>
      <c r="I268" s="31" t="s">
        <v>47</v>
      </c>
      <c r="J268" s="32" t="n">
        <v>1.0</v>
      </c>
      <c r="K268" s="33" t="n">
        <f>113900</f>
        <v>113900.0</v>
      </c>
      <c r="L268" s="34" t="s">
        <v>48</v>
      </c>
      <c r="M268" s="33" t="n">
        <f>123000</f>
        <v>123000.0</v>
      </c>
      <c r="N268" s="34" t="s">
        <v>61</v>
      </c>
      <c r="O268" s="33" t="n">
        <f>108900</f>
        <v>108900.0</v>
      </c>
      <c r="P268" s="34" t="s">
        <v>62</v>
      </c>
      <c r="Q268" s="33" t="n">
        <f>114400</f>
        <v>114400.0</v>
      </c>
      <c r="R268" s="34" t="s">
        <v>51</v>
      </c>
      <c r="S268" s="35" t="n">
        <f>116831.82</f>
        <v>116831.82</v>
      </c>
      <c r="T268" s="32" t="n">
        <f>189901</f>
        <v>189901.0</v>
      </c>
      <c r="U268" s="32" t="n">
        <f>25126</f>
        <v>25126.0</v>
      </c>
      <c r="V268" s="32" t="n">
        <f>22150853323</f>
        <v>2.2150853323E10</v>
      </c>
      <c r="W268" s="32" t="n">
        <f>2934571723</f>
        <v>2.934571723E9</v>
      </c>
      <c r="X268" s="36" t="n">
        <f>22</f>
        <v>22.0</v>
      </c>
    </row>
    <row r="269">
      <c r="A269" s="27" t="s">
        <v>42</v>
      </c>
      <c r="B269" s="27" t="s">
        <v>861</v>
      </c>
      <c r="C269" s="27" t="s">
        <v>862</v>
      </c>
      <c r="D269" s="27" t="s">
        <v>863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1.0</v>
      </c>
      <c r="K269" s="33" t="n">
        <f>138400</f>
        <v>138400.0</v>
      </c>
      <c r="L269" s="34" t="s">
        <v>48</v>
      </c>
      <c r="M269" s="33" t="n">
        <f>152100</f>
        <v>152100.0</v>
      </c>
      <c r="N269" s="34" t="s">
        <v>69</v>
      </c>
      <c r="O269" s="33" t="n">
        <f>131300</f>
        <v>131300.0</v>
      </c>
      <c r="P269" s="34" t="s">
        <v>50</v>
      </c>
      <c r="Q269" s="33" t="n">
        <f>134000</f>
        <v>134000.0</v>
      </c>
      <c r="R269" s="34" t="s">
        <v>51</v>
      </c>
      <c r="S269" s="35" t="n">
        <f>140204.55</f>
        <v>140204.55</v>
      </c>
      <c r="T269" s="32" t="n">
        <f>200511</f>
        <v>200511.0</v>
      </c>
      <c r="U269" s="32" t="n">
        <f>41620</f>
        <v>41620.0</v>
      </c>
      <c r="V269" s="32" t="n">
        <f>28151884054</f>
        <v>2.8151884054E10</v>
      </c>
      <c r="W269" s="32" t="n">
        <f>5913060554</f>
        <v>5.913060554E9</v>
      </c>
      <c r="X269" s="36" t="n">
        <f>22</f>
        <v>22.0</v>
      </c>
    </row>
    <row r="270">
      <c r="A270" s="27" t="s">
        <v>42</v>
      </c>
      <c r="B270" s="27" t="s">
        <v>864</v>
      </c>
      <c r="C270" s="27" t="s">
        <v>865</v>
      </c>
      <c r="D270" s="27" t="s">
        <v>866</v>
      </c>
      <c r="E270" s="28" t="s">
        <v>46</v>
      </c>
      <c r="F270" s="29" t="s">
        <v>46</v>
      </c>
      <c r="G270" s="30" t="s">
        <v>46</v>
      </c>
      <c r="H270" s="31"/>
      <c r="I270" s="31" t="s">
        <v>47</v>
      </c>
      <c r="J270" s="32" t="n">
        <v>1.0</v>
      </c>
      <c r="K270" s="33" t="n">
        <f>375500</f>
        <v>375500.0</v>
      </c>
      <c r="L270" s="34" t="s">
        <v>48</v>
      </c>
      <c r="M270" s="33" t="n">
        <f>399000</f>
        <v>399000.0</v>
      </c>
      <c r="N270" s="34" t="s">
        <v>61</v>
      </c>
      <c r="O270" s="33" t="n">
        <f>334000</f>
        <v>334000.0</v>
      </c>
      <c r="P270" s="34" t="s">
        <v>62</v>
      </c>
      <c r="Q270" s="33" t="n">
        <f>347000</f>
        <v>347000.0</v>
      </c>
      <c r="R270" s="34" t="s">
        <v>51</v>
      </c>
      <c r="S270" s="35" t="n">
        <f>368000</f>
        <v>368000.0</v>
      </c>
      <c r="T270" s="32" t="n">
        <f>45522</f>
        <v>45522.0</v>
      </c>
      <c r="U270" s="32" t="n">
        <f>4740</f>
        <v>4740.0</v>
      </c>
      <c r="V270" s="32" t="n">
        <f>16748219910</f>
        <v>1.674821991E10</v>
      </c>
      <c r="W270" s="32" t="n">
        <f>1746309410</f>
        <v>1.74630941E9</v>
      </c>
      <c r="X270" s="36" t="n">
        <f>22</f>
        <v>22.0</v>
      </c>
    </row>
    <row r="271">
      <c r="A271" s="27" t="s">
        <v>42</v>
      </c>
      <c r="B271" s="27" t="s">
        <v>867</v>
      </c>
      <c r="C271" s="27" t="s">
        <v>868</v>
      </c>
      <c r="D271" s="27" t="s">
        <v>869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1.0</v>
      </c>
      <c r="K271" s="33" t="n">
        <f>15510</f>
        <v>15510.0</v>
      </c>
      <c r="L271" s="34" t="s">
        <v>48</v>
      </c>
      <c r="M271" s="33" t="n">
        <f>16780</f>
        <v>16780.0</v>
      </c>
      <c r="N271" s="34" t="s">
        <v>61</v>
      </c>
      <c r="O271" s="33" t="n">
        <f>13650</f>
        <v>13650.0</v>
      </c>
      <c r="P271" s="34" t="s">
        <v>51</v>
      </c>
      <c r="Q271" s="33" t="n">
        <f>13960</f>
        <v>13960.0</v>
      </c>
      <c r="R271" s="34" t="s">
        <v>51</v>
      </c>
      <c r="S271" s="35" t="n">
        <f>15354.55</f>
        <v>15354.55</v>
      </c>
      <c r="T271" s="32" t="n">
        <f>1444785</f>
        <v>1444785.0</v>
      </c>
      <c r="U271" s="32" t="n">
        <f>296375</f>
        <v>296375.0</v>
      </c>
      <c r="V271" s="32" t="n">
        <f>22060754410</f>
        <v>2.206075441E10</v>
      </c>
      <c r="W271" s="32" t="n">
        <f>4523631660</f>
        <v>4.52363166E9</v>
      </c>
      <c r="X271" s="36" t="n">
        <f>22</f>
        <v>22.0</v>
      </c>
    </row>
    <row r="272">
      <c r="A272" s="27" t="s">
        <v>42</v>
      </c>
      <c r="B272" s="27" t="s">
        <v>870</v>
      </c>
      <c r="C272" s="27" t="s">
        <v>871</v>
      </c>
      <c r="D272" s="27" t="s">
        <v>872</v>
      </c>
      <c r="E272" s="28" t="s">
        <v>46</v>
      </c>
      <c r="F272" s="29" t="s">
        <v>46</v>
      </c>
      <c r="G272" s="30" t="s">
        <v>46</v>
      </c>
      <c r="H272" s="31"/>
      <c r="I272" s="31" t="s">
        <v>47</v>
      </c>
      <c r="J272" s="32" t="n">
        <v>1.0</v>
      </c>
      <c r="K272" s="33" t="n">
        <f>66800</f>
        <v>66800.0</v>
      </c>
      <c r="L272" s="34" t="s">
        <v>48</v>
      </c>
      <c r="M272" s="33" t="n">
        <f>73600</f>
        <v>73600.0</v>
      </c>
      <c r="N272" s="34" t="s">
        <v>305</v>
      </c>
      <c r="O272" s="33" t="n">
        <f>66000</f>
        <v>66000.0</v>
      </c>
      <c r="P272" s="34" t="s">
        <v>48</v>
      </c>
      <c r="Q272" s="33" t="n">
        <f>69200</f>
        <v>69200.0</v>
      </c>
      <c r="R272" s="34" t="s">
        <v>51</v>
      </c>
      <c r="S272" s="35" t="n">
        <f>70704.55</f>
        <v>70704.55</v>
      </c>
      <c r="T272" s="32" t="n">
        <f>438407</f>
        <v>438407.0</v>
      </c>
      <c r="U272" s="32" t="n">
        <f>87811</f>
        <v>87811.0</v>
      </c>
      <c r="V272" s="32" t="n">
        <f>31042136344</f>
        <v>3.1042136344E10</v>
      </c>
      <c r="W272" s="32" t="n">
        <f>6233784844</f>
        <v>6.233784844E9</v>
      </c>
      <c r="X272" s="36" t="n">
        <f>22</f>
        <v>22.0</v>
      </c>
    </row>
    <row r="273">
      <c r="A273" s="27" t="s">
        <v>42</v>
      </c>
      <c r="B273" s="27" t="s">
        <v>873</v>
      </c>
      <c r="C273" s="27" t="s">
        <v>874</v>
      </c>
      <c r="D273" s="27" t="s">
        <v>875</v>
      </c>
      <c r="E273" s="28" t="s">
        <v>46</v>
      </c>
      <c r="F273" s="29" t="s">
        <v>46</v>
      </c>
      <c r="G273" s="30" t="s">
        <v>46</v>
      </c>
      <c r="H273" s="31"/>
      <c r="I273" s="31" t="s">
        <v>641</v>
      </c>
      <c r="J273" s="32" t="n">
        <v>1.0</v>
      </c>
      <c r="K273" s="33" t="n">
        <f>106500</f>
        <v>106500.0</v>
      </c>
      <c r="L273" s="34" t="s">
        <v>48</v>
      </c>
      <c r="M273" s="33" t="n">
        <f>110500</f>
        <v>110500.0</v>
      </c>
      <c r="N273" s="34" t="s">
        <v>69</v>
      </c>
      <c r="O273" s="33" t="n">
        <f>99200</f>
        <v>99200.0</v>
      </c>
      <c r="P273" s="34" t="s">
        <v>62</v>
      </c>
      <c r="Q273" s="33" t="n">
        <f>105700</f>
        <v>105700.0</v>
      </c>
      <c r="R273" s="34" t="s">
        <v>51</v>
      </c>
      <c r="S273" s="35" t="n">
        <f>106263.64</f>
        <v>106263.64</v>
      </c>
      <c r="T273" s="32" t="n">
        <f>32329</f>
        <v>32329.0</v>
      </c>
      <c r="U273" s="32" t="n">
        <f>3212</f>
        <v>3212.0</v>
      </c>
      <c r="V273" s="32" t="n">
        <f>3424095364</f>
        <v>3.424095364E9</v>
      </c>
      <c r="W273" s="32" t="n">
        <f>338981464</f>
        <v>3.38981464E8</v>
      </c>
      <c r="X273" s="36" t="n">
        <f>22</f>
        <v>22.0</v>
      </c>
    </row>
    <row r="274">
      <c r="A274" s="27" t="s">
        <v>42</v>
      </c>
      <c r="B274" s="27" t="s">
        <v>876</v>
      </c>
      <c r="C274" s="27" t="s">
        <v>877</v>
      </c>
      <c r="D274" s="27" t="s">
        <v>878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1.0</v>
      </c>
      <c r="K274" s="33" t="n">
        <f>200400</f>
        <v>200400.0</v>
      </c>
      <c r="L274" s="34" t="s">
        <v>48</v>
      </c>
      <c r="M274" s="33" t="n">
        <f>214700</f>
        <v>214700.0</v>
      </c>
      <c r="N274" s="34" t="s">
        <v>73</v>
      </c>
      <c r="O274" s="33" t="n">
        <f>183500</f>
        <v>183500.0</v>
      </c>
      <c r="P274" s="34" t="s">
        <v>62</v>
      </c>
      <c r="Q274" s="33" t="n">
        <f>200600</f>
        <v>200600.0</v>
      </c>
      <c r="R274" s="34" t="s">
        <v>51</v>
      </c>
      <c r="S274" s="35" t="n">
        <f>205481.82</f>
        <v>205481.82</v>
      </c>
      <c r="T274" s="32" t="n">
        <f>71608</f>
        <v>71608.0</v>
      </c>
      <c r="U274" s="32" t="n">
        <f>8513</f>
        <v>8513.0</v>
      </c>
      <c r="V274" s="32" t="n">
        <f>14683786157</f>
        <v>1.4683786157E10</v>
      </c>
      <c r="W274" s="32" t="n">
        <f>1750649757</f>
        <v>1.750649757E9</v>
      </c>
      <c r="X274" s="36" t="n">
        <f>22</f>
        <v>22.0</v>
      </c>
    </row>
    <row r="275">
      <c r="A275" s="27" t="s">
        <v>42</v>
      </c>
      <c r="B275" s="27" t="s">
        <v>879</v>
      </c>
      <c r="C275" s="27" t="s">
        <v>880</v>
      </c>
      <c r="D275" s="27" t="s">
        <v>881</v>
      </c>
      <c r="E275" s="28" t="s">
        <v>46</v>
      </c>
      <c r="F275" s="29" t="s">
        <v>46</v>
      </c>
      <c r="G275" s="30" t="s">
        <v>46</v>
      </c>
      <c r="H275" s="31"/>
      <c r="I275" s="31" t="s">
        <v>47</v>
      </c>
      <c r="J275" s="32" t="n">
        <v>1.0</v>
      </c>
      <c r="K275" s="33" t="n">
        <f>125300</f>
        <v>125300.0</v>
      </c>
      <c r="L275" s="34" t="s">
        <v>48</v>
      </c>
      <c r="M275" s="33" t="n">
        <f>127700</f>
        <v>127700.0</v>
      </c>
      <c r="N275" s="34" t="s">
        <v>285</v>
      </c>
      <c r="O275" s="33" t="n">
        <f>112600</f>
        <v>112600.0</v>
      </c>
      <c r="P275" s="34" t="s">
        <v>62</v>
      </c>
      <c r="Q275" s="33" t="n">
        <f>121400</f>
        <v>121400.0</v>
      </c>
      <c r="R275" s="34" t="s">
        <v>51</v>
      </c>
      <c r="S275" s="35" t="n">
        <f>123350</f>
        <v>123350.0</v>
      </c>
      <c r="T275" s="32" t="n">
        <f>17339</f>
        <v>17339.0</v>
      </c>
      <c r="U275" s="32" t="n">
        <f>1748</f>
        <v>1748.0</v>
      </c>
      <c r="V275" s="32" t="n">
        <f>2134491440</f>
        <v>2.13449144E9</v>
      </c>
      <c r="W275" s="32" t="n">
        <f>215784640</f>
        <v>2.1578464E8</v>
      </c>
      <c r="X275" s="36" t="n">
        <f>22</f>
        <v>22.0</v>
      </c>
    </row>
    <row r="276">
      <c r="A276" s="27" t="s">
        <v>42</v>
      </c>
      <c r="B276" s="27" t="s">
        <v>882</v>
      </c>
      <c r="C276" s="27" t="s">
        <v>883</v>
      </c>
      <c r="D276" s="27" t="s">
        <v>884</v>
      </c>
      <c r="E276" s="28" t="s">
        <v>46</v>
      </c>
      <c r="F276" s="29" t="s">
        <v>46</v>
      </c>
      <c r="G276" s="30" t="s">
        <v>46</v>
      </c>
      <c r="H276" s="31"/>
      <c r="I276" s="31" t="s">
        <v>641</v>
      </c>
      <c r="J276" s="32" t="n">
        <v>1.0</v>
      </c>
      <c r="K276" s="33" t="n">
        <f>101300</f>
        <v>101300.0</v>
      </c>
      <c r="L276" s="34" t="s">
        <v>48</v>
      </c>
      <c r="M276" s="33" t="n">
        <f>108300</f>
        <v>108300.0</v>
      </c>
      <c r="N276" s="34" t="s">
        <v>73</v>
      </c>
      <c r="O276" s="33" t="n">
        <f>97000</f>
        <v>97000.0</v>
      </c>
      <c r="P276" s="34" t="s">
        <v>62</v>
      </c>
      <c r="Q276" s="33" t="n">
        <f>105800</f>
        <v>105800.0</v>
      </c>
      <c r="R276" s="34" t="s">
        <v>51</v>
      </c>
      <c r="S276" s="35" t="n">
        <f>105018.18</f>
        <v>105018.18</v>
      </c>
      <c r="T276" s="32" t="n">
        <f>29716</f>
        <v>29716.0</v>
      </c>
      <c r="U276" s="32" t="n">
        <f>3291</f>
        <v>3291.0</v>
      </c>
      <c r="V276" s="32" t="n">
        <f>3110740048</f>
        <v>3.110740048E9</v>
      </c>
      <c r="W276" s="32" t="n">
        <f>345471048</f>
        <v>3.45471048E8</v>
      </c>
      <c r="X276" s="36" t="n">
        <f>22</f>
        <v>22.0</v>
      </c>
    </row>
    <row r="277">
      <c r="A277" s="27" t="s">
        <v>42</v>
      </c>
      <c r="B277" s="27" t="s">
        <v>885</v>
      </c>
      <c r="C277" s="27" t="s">
        <v>886</v>
      </c>
      <c r="D277" s="27" t="s">
        <v>887</v>
      </c>
      <c r="E277" s="28" t="s">
        <v>46</v>
      </c>
      <c r="F277" s="29" t="s">
        <v>46</v>
      </c>
      <c r="G277" s="30" t="s">
        <v>46</v>
      </c>
      <c r="H277" s="31"/>
      <c r="I277" s="31" t="s">
        <v>47</v>
      </c>
      <c r="J277" s="32" t="n">
        <v>1.0</v>
      </c>
      <c r="K277" s="33" t="n">
        <f>130100</f>
        <v>130100.0</v>
      </c>
      <c r="L277" s="34" t="s">
        <v>48</v>
      </c>
      <c r="M277" s="33" t="n">
        <f>148800</f>
        <v>148800.0</v>
      </c>
      <c r="N277" s="34" t="s">
        <v>69</v>
      </c>
      <c r="O277" s="33" t="n">
        <f>126300</f>
        <v>126300.0</v>
      </c>
      <c r="P277" s="34" t="s">
        <v>298</v>
      </c>
      <c r="Q277" s="33" t="n">
        <f>129400</f>
        <v>129400.0</v>
      </c>
      <c r="R277" s="34" t="s">
        <v>51</v>
      </c>
      <c r="S277" s="35" t="n">
        <f>136827.27</f>
        <v>136827.27</v>
      </c>
      <c r="T277" s="32" t="n">
        <f>663367</f>
        <v>663367.0</v>
      </c>
      <c r="U277" s="32" t="n">
        <f>127979</f>
        <v>127979.0</v>
      </c>
      <c r="V277" s="32" t="n">
        <f>91087670283</f>
        <v>9.1087670283E10</v>
      </c>
      <c r="W277" s="32" t="n">
        <f>17684389483</f>
        <v>1.7684389483E10</v>
      </c>
      <c r="X277" s="36" t="n">
        <f>22</f>
        <v>22.0</v>
      </c>
    </row>
    <row r="278">
      <c r="A278" s="27" t="s">
        <v>42</v>
      </c>
      <c r="B278" s="27" t="s">
        <v>888</v>
      </c>
      <c r="C278" s="27" t="s">
        <v>889</v>
      </c>
      <c r="D278" s="27" t="s">
        <v>890</v>
      </c>
      <c r="E278" s="28" t="s">
        <v>46</v>
      </c>
      <c r="F278" s="29" t="s">
        <v>46</v>
      </c>
      <c r="G278" s="30" t="s">
        <v>46</v>
      </c>
      <c r="H278" s="31"/>
      <c r="I278" s="31" t="s">
        <v>641</v>
      </c>
      <c r="J278" s="32" t="n">
        <v>1.0</v>
      </c>
      <c r="K278" s="33" t="n">
        <f>66700</f>
        <v>66700.0</v>
      </c>
      <c r="L278" s="34" t="s">
        <v>48</v>
      </c>
      <c r="M278" s="33" t="n">
        <f>81600</f>
        <v>81600.0</v>
      </c>
      <c r="N278" s="34" t="s">
        <v>49</v>
      </c>
      <c r="O278" s="33" t="n">
        <f>64600</f>
        <v>64600.0</v>
      </c>
      <c r="P278" s="34" t="s">
        <v>48</v>
      </c>
      <c r="Q278" s="33" t="n">
        <f>67500</f>
        <v>67500.0</v>
      </c>
      <c r="R278" s="34" t="s">
        <v>51</v>
      </c>
      <c r="S278" s="35" t="n">
        <f>72404.55</f>
        <v>72404.55</v>
      </c>
      <c r="T278" s="32" t="n">
        <f>62450</f>
        <v>62450.0</v>
      </c>
      <c r="U278" s="32" t="n">
        <f>2285</f>
        <v>2285.0</v>
      </c>
      <c r="V278" s="32" t="n">
        <f>4521634074</f>
        <v>4.521634074E9</v>
      </c>
      <c r="W278" s="32" t="n">
        <f>164770774</f>
        <v>1.64770774E8</v>
      </c>
      <c r="X278" s="36" t="n">
        <f>22</f>
        <v>22.0</v>
      </c>
    </row>
    <row r="279">
      <c r="A279" s="27" t="s">
        <v>42</v>
      </c>
      <c r="B279" s="27" t="s">
        <v>891</v>
      </c>
      <c r="C279" s="27" t="s">
        <v>892</v>
      </c>
      <c r="D279" s="27" t="s">
        <v>893</v>
      </c>
      <c r="E279" s="28" t="s">
        <v>46</v>
      </c>
      <c r="F279" s="29" t="s">
        <v>46</v>
      </c>
      <c r="G279" s="30" t="s">
        <v>46</v>
      </c>
      <c r="H279" s="31"/>
      <c r="I279" s="31" t="s">
        <v>47</v>
      </c>
      <c r="J279" s="32" t="n">
        <v>1.0</v>
      </c>
      <c r="K279" s="33" t="n">
        <f>158000</f>
        <v>158000.0</v>
      </c>
      <c r="L279" s="34" t="s">
        <v>48</v>
      </c>
      <c r="M279" s="33" t="n">
        <f>171500</f>
        <v>171500.0</v>
      </c>
      <c r="N279" s="34" t="s">
        <v>77</v>
      </c>
      <c r="O279" s="33" t="n">
        <f>149800</f>
        <v>149800.0</v>
      </c>
      <c r="P279" s="34" t="s">
        <v>62</v>
      </c>
      <c r="Q279" s="33" t="n">
        <f>166200</f>
        <v>166200.0</v>
      </c>
      <c r="R279" s="34" t="s">
        <v>51</v>
      </c>
      <c r="S279" s="35" t="n">
        <f>160936.36</f>
        <v>160936.36</v>
      </c>
      <c r="T279" s="32" t="n">
        <f>167831</f>
        <v>167831.0</v>
      </c>
      <c r="U279" s="32" t="n">
        <f>37641</f>
        <v>37641.0</v>
      </c>
      <c r="V279" s="32" t="n">
        <f>27184737164</f>
        <v>2.7184737164E10</v>
      </c>
      <c r="W279" s="32" t="n">
        <f>6156466764</f>
        <v>6.156466764E9</v>
      </c>
      <c r="X279" s="36" t="n">
        <f>22</f>
        <v>22.0</v>
      </c>
    </row>
    <row r="280">
      <c r="A280" s="27" t="s">
        <v>42</v>
      </c>
      <c r="B280" s="27" t="s">
        <v>894</v>
      </c>
      <c r="C280" s="27" t="s">
        <v>895</v>
      </c>
      <c r="D280" s="27" t="s">
        <v>896</v>
      </c>
      <c r="E280" s="28" t="s">
        <v>46</v>
      </c>
      <c r="F280" s="29" t="s">
        <v>46</v>
      </c>
      <c r="G280" s="30" t="s">
        <v>46</v>
      </c>
      <c r="H280" s="31"/>
      <c r="I280" s="31" t="s">
        <v>641</v>
      </c>
      <c r="J280" s="32" t="n">
        <v>1.0</v>
      </c>
      <c r="K280" s="33" t="n">
        <f>91700</f>
        <v>91700.0</v>
      </c>
      <c r="L280" s="34" t="s">
        <v>48</v>
      </c>
      <c r="M280" s="33" t="n">
        <f>99300</f>
        <v>99300.0</v>
      </c>
      <c r="N280" s="34" t="s">
        <v>69</v>
      </c>
      <c r="O280" s="33" t="n">
        <f>89700</f>
        <v>89700.0</v>
      </c>
      <c r="P280" s="34" t="s">
        <v>48</v>
      </c>
      <c r="Q280" s="33" t="n">
        <f>95300</f>
        <v>95300.0</v>
      </c>
      <c r="R280" s="34" t="s">
        <v>51</v>
      </c>
      <c r="S280" s="35" t="n">
        <f>94304.55</f>
        <v>94304.55</v>
      </c>
      <c r="T280" s="32" t="n">
        <f>48218</f>
        <v>48218.0</v>
      </c>
      <c r="U280" s="32" t="n">
        <f>3422</f>
        <v>3422.0</v>
      </c>
      <c r="V280" s="32" t="n">
        <f>4539632946</f>
        <v>4.539632946E9</v>
      </c>
      <c r="W280" s="32" t="n">
        <f>322388846</f>
        <v>3.22388846E8</v>
      </c>
      <c r="X280" s="36" t="n">
        <f>22</f>
        <v>22.0</v>
      </c>
    </row>
    <row r="281">
      <c r="A281" s="27" t="s">
        <v>42</v>
      </c>
      <c r="B281" s="27" t="s">
        <v>897</v>
      </c>
      <c r="C281" s="27" t="s">
        <v>898</v>
      </c>
      <c r="D281" s="27" t="s">
        <v>899</v>
      </c>
      <c r="E281" s="28" t="s">
        <v>46</v>
      </c>
      <c r="F281" s="29" t="s">
        <v>46</v>
      </c>
      <c r="G281" s="30" t="s">
        <v>46</v>
      </c>
      <c r="H281" s="31"/>
      <c r="I281" s="31" t="s">
        <v>641</v>
      </c>
      <c r="J281" s="32" t="n">
        <v>1.0</v>
      </c>
      <c r="K281" s="33" t="n">
        <f>108000</f>
        <v>108000.0</v>
      </c>
      <c r="L281" s="34" t="s">
        <v>48</v>
      </c>
      <c r="M281" s="33" t="n">
        <f>117400</f>
        <v>117400.0</v>
      </c>
      <c r="N281" s="34" t="s">
        <v>132</v>
      </c>
      <c r="O281" s="33" t="n">
        <f>105100</f>
        <v>105100.0</v>
      </c>
      <c r="P281" s="34" t="s">
        <v>62</v>
      </c>
      <c r="Q281" s="33" t="n">
        <f>106600</f>
        <v>106600.0</v>
      </c>
      <c r="R281" s="34" t="s">
        <v>51</v>
      </c>
      <c r="S281" s="35" t="n">
        <f>113395.45</f>
        <v>113395.45</v>
      </c>
      <c r="T281" s="32" t="n">
        <f>24262</f>
        <v>24262.0</v>
      </c>
      <c r="U281" s="32" t="n">
        <f>1441</f>
        <v>1441.0</v>
      </c>
      <c r="V281" s="32" t="n">
        <f>2739645984</f>
        <v>2.739645984E9</v>
      </c>
      <c r="W281" s="32" t="n">
        <f>164018584</f>
        <v>1.64018584E8</v>
      </c>
      <c r="X281" s="36" t="n">
        <f>22</f>
        <v>22.0</v>
      </c>
    </row>
    <row r="282">
      <c r="A282" s="27" t="s">
        <v>42</v>
      </c>
      <c r="B282" s="27" t="s">
        <v>900</v>
      </c>
      <c r="C282" s="27" t="s">
        <v>901</v>
      </c>
      <c r="D282" s="27" t="s">
        <v>902</v>
      </c>
      <c r="E282" s="28" t="s">
        <v>46</v>
      </c>
      <c r="F282" s="29" t="s">
        <v>46</v>
      </c>
      <c r="G282" s="30" t="s">
        <v>46</v>
      </c>
      <c r="H282" s="31"/>
      <c r="I282" s="31" t="s">
        <v>47</v>
      </c>
      <c r="J282" s="32" t="n">
        <v>1.0</v>
      </c>
      <c r="K282" s="33" t="n">
        <f>469500</f>
        <v>469500.0</v>
      </c>
      <c r="L282" s="34" t="s">
        <v>48</v>
      </c>
      <c r="M282" s="33" t="n">
        <f>498000</f>
        <v>498000.0</v>
      </c>
      <c r="N282" s="34" t="s">
        <v>340</v>
      </c>
      <c r="O282" s="33" t="n">
        <f>428500</f>
        <v>428500.0</v>
      </c>
      <c r="P282" s="34" t="s">
        <v>62</v>
      </c>
      <c r="Q282" s="33" t="n">
        <f>480500</f>
        <v>480500.0</v>
      </c>
      <c r="R282" s="34" t="s">
        <v>51</v>
      </c>
      <c r="S282" s="35" t="n">
        <f>467636.36</f>
        <v>467636.36</v>
      </c>
      <c r="T282" s="32" t="n">
        <f>67598</f>
        <v>67598.0</v>
      </c>
      <c r="U282" s="32" t="n">
        <f>14066</f>
        <v>14066.0</v>
      </c>
      <c r="V282" s="32" t="n">
        <f>31235242385</f>
        <v>3.1235242385E10</v>
      </c>
      <c r="W282" s="32" t="n">
        <f>6421291385</f>
        <v>6.421291385E9</v>
      </c>
      <c r="X282" s="36" t="n">
        <f>22</f>
        <v>22.0</v>
      </c>
    </row>
    <row r="283">
      <c r="A283" s="27" t="s">
        <v>42</v>
      </c>
      <c r="B283" s="27" t="s">
        <v>903</v>
      </c>
      <c r="C283" s="27" t="s">
        <v>904</v>
      </c>
      <c r="D283" s="27" t="s">
        <v>905</v>
      </c>
      <c r="E283" s="28" t="s">
        <v>46</v>
      </c>
      <c r="F283" s="29" t="s">
        <v>46</v>
      </c>
      <c r="G283" s="30" t="s">
        <v>46</v>
      </c>
      <c r="H283" s="31"/>
      <c r="I283" s="31" t="s">
        <v>641</v>
      </c>
      <c r="J283" s="32" t="n">
        <v>1.0</v>
      </c>
      <c r="K283" s="33" t="n">
        <f>71800</f>
        <v>71800.0</v>
      </c>
      <c r="L283" s="34" t="s">
        <v>48</v>
      </c>
      <c r="M283" s="33" t="n">
        <f>73900</f>
        <v>73900.0</v>
      </c>
      <c r="N283" s="34" t="s">
        <v>49</v>
      </c>
      <c r="O283" s="33" t="n">
        <f>65500</f>
        <v>65500.0</v>
      </c>
      <c r="P283" s="34" t="s">
        <v>51</v>
      </c>
      <c r="Q283" s="33" t="n">
        <f>65700</f>
        <v>65700.0</v>
      </c>
      <c r="R283" s="34" t="s">
        <v>51</v>
      </c>
      <c r="S283" s="35" t="n">
        <f>69631.82</f>
        <v>69631.82</v>
      </c>
      <c r="T283" s="32" t="n">
        <f>31346</f>
        <v>31346.0</v>
      </c>
      <c r="U283" s="32" t="n">
        <f>2632</f>
        <v>2632.0</v>
      </c>
      <c r="V283" s="32" t="n">
        <f>2193467106</f>
        <v>2.193467106E9</v>
      </c>
      <c r="W283" s="32" t="n">
        <f>183541106</f>
        <v>1.83541106E8</v>
      </c>
      <c r="X283" s="36" t="n">
        <f>22</f>
        <v>22.0</v>
      </c>
    </row>
    <row r="284">
      <c r="A284" s="27" t="s">
        <v>42</v>
      </c>
      <c r="B284" s="27" t="s">
        <v>906</v>
      </c>
      <c r="C284" s="27" t="s">
        <v>907</v>
      </c>
      <c r="D284" s="27" t="s">
        <v>908</v>
      </c>
      <c r="E284" s="28" t="s">
        <v>46</v>
      </c>
      <c r="F284" s="29" t="s">
        <v>46</v>
      </c>
      <c r="G284" s="30" t="s">
        <v>46</v>
      </c>
      <c r="H284" s="31"/>
      <c r="I284" s="31" t="s">
        <v>641</v>
      </c>
      <c r="J284" s="32" t="n">
        <v>1.0</v>
      </c>
      <c r="K284" s="33" t="n">
        <f>79700</f>
        <v>79700.0</v>
      </c>
      <c r="L284" s="34" t="s">
        <v>48</v>
      </c>
      <c r="M284" s="33" t="n">
        <f>85600</f>
        <v>85600.0</v>
      </c>
      <c r="N284" s="34" t="s">
        <v>49</v>
      </c>
      <c r="O284" s="33" t="n">
        <f>78200</f>
        <v>78200.0</v>
      </c>
      <c r="P284" s="34" t="s">
        <v>62</v>
      </c>
      <c r="Q284" s="33" t="n">
        <f>83500</f>
        <v>83500.0</v>
      </c>
      <c r="R284" s="34" t="s">
        <v>51</v>
      </c>
      <c r="S284" s="35" t="n">
        <f>82050</f>
        <v>82050.0</v>
      </c>
      <c r="T284" s="32" t="n">
        <f>19728</f>
        <v>19728.0</v>
      </c>
      <c r="U284" s="32" t="n">
        <f>2823</f>
        <v>2823.0</v>
      </c>
      <c r="V284" s="32" t="n">
        <f>1612254057</f>
        <v>1.612254057E9</v>
      </c>
      <c r="W284" s="32" t="n">
        <f>231538857</f>
        <v>2.31538857E8</v>
      </c>
      <c r="X284" s="36" t="n">
        <f>22</f>
        <v>22.0</v>
      </c>
    </row>
    <row r="285">
      <c r="A285" s="27" t="s">
        <v>42</v>
      </c>
      <c r="B285" s="27" t="s">
        <v>909</v>
      </c>
      <c r="C285" s="27" t="s">
        <v>910</v>
      </c>
      <c r="D285" s="27" t="s">
        <v>911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1.0</v>
      </c>
      <c r="K285" s="33" t="n">
        <f>39500</f>
        <v>39500.0</v>
      </c>
      <c r="L285" s="34" t="s">
        <v>48</v>
      </c>
      <c r="M285" s="33" t="n">
        <f>42950</f>
        <v>42950.0</v>
      </c>
      <c r="N285" s="34" t="s">
        <v>49</v>
      </c>
      <c r="O285" s="33" t="n">
        <f>37600</f>
        <v>37600.0</v>
      </c>
      <c r="P285" s="34" t="s">
        <v>51</v>
      </c>
      <c r="Q285" s="33" t="n">
        <f>38050</f>
        <v>38050.0</v>
      </c>
      <c r="R285" s="34" t="s">
        <v>51</v>
      </c>
      <c r="S285" s="35" t="n">
        <f>39627.27</f>
        <v>39627.27</v>
      </c>
      <c r="T285" s="32" t="n">
        <f>287274</f>
        <v>287274.0</v>
      </c>
      <c r="U285" s="32" t="n">
        <f>15879</f>
        <v>15879.0</v>
      </c>
      <c r="V285" s="32" t="n">
        <f>11388975867</f>
        <v>1.1388975867E10</v>
      </c>
      <c r="W285" s="32" t="n">
        <f>628186167</f>
        <v>6.28186167E8</v>
      </c>
      <c r="X285" s="36" t="n">
        <f>22</f>
        <v>22.0</v>
      </c>
    </row>
    <row r="286">
      <c r="A286" s="27" t="s">
        <v>42</v>
      </c>
      <c r="B286" s="27" t="s">
        <v>912</v>
      </c>
      <c r="C286" s="27" t="s">
        <v>913</v>
      </c>
      <c r="D286" s="27" t="s">
        <v>914</v>
      </c>
      <c r="E286" s="28" t="s">
        <v>46</v>
      </c>
      <c r="F286" s="29" t="s">
        <v>46</v>
      </c>
      <c r="G286" s="30" t="s">
        <v>46</v>
      </c>
      <c r="H286" s="31"/>
      <c r="I286" s="31" t="s">
        <v>47</v>
      </c>
      <c r="J286" s="32" t="n">
        <v>1.0</v>
      </c>
      <c r="K286" s="33" t="n">
        <f>102100</f>
        <v>102100.0</v>
      </c>
      <c r="L286" s="34" t="s">
        <v>48</v>
      </c>
      <c r="M286" s="33" t="n">
        <f>109900</f>
        <v>109900.0</v>
      </c>
      <c r="N286" s="34" t="s">
        <v>73</v>
      </c>
      <c r="O286" s="33" t="n">
        <f>93800</f>
        <v>93800.0</v>
      </c>
      <c r="P286" s="34" t="s">
        <v>62</v>
      </c>
      <c r="Q286" s="33" t="n">
        <f>98300</f>
        <v>98300.0</v>
      </c>
      <c r="R286" s="34" t="s">
        <v>51</v>
      </c>
      <c r="S286" s="35" t="n">
        <f>102640.91</f>
        <v>102640.91</v>
      </c>
      <c r="T286" s="32" t="n">
        <f>53748</f>
        <v>53748.0</v>
      </c>
      <c r="U286" s="32" t="n">
        <f>5707</f>
        <v>5707.0</v>
      </c>
      <c r="V286" s="32" t="n">
        <f>5525115104</f>
        <v>5.525115104E9</v>
      </c>
      <c r="W286" s="32" t="n">
        <f>585730004</f>
        <v>5.85730004E8</v>
      </c>
      <c r="X286" s="36" t="n">
        <f>22</f>
        <v>22.0</v>
      </c>
    </row>
    <row r="287">
      <c r="A287" s="27" t="s">
        <v>42</v>
      </c>
      <c r="B287" s="27" t="s">
        <v>915</v>
      </c>
      <c r="C287" s="27" t="s">
        <v>916</v>
      </c>
      <c r="D287" s="27" t="s">
        <v>917</v>
      </c>
      <c r="E287" s="28" t="s">
        <v>46</v>
      </c>
      <c r="F287" s="29" t="s">
        <v>46</v>
      </c>
      <c r="G287" s="30" t="s">
        <v>46</v>
      </c>
      <c r="H287" s="31"/>
      <c r="I287" s="31" t="s">
        <v>47</v>
      </c>
      <c r="J287" s="32" t="n">
        <v>1.0</v>
      </c>
      <c r="K287" s="33" t="n">
        <f>396000</f>
        <v>396000.0</v>
      </c>
      <c r="L287" s="34" t="s">
        <v>48</v>
      </c>
      <c r="M287" s="33" t="n">
        <f>410500</f>
        <v>410500.0</v>
      </c>
      <c r="N287" s="34" t="s">
        <v>278</v>
      </c>
      <c r="O287" s="33" t="n">
        <f>369000</f>
        <v>369000.0</v>
      </c>
      <c r="P287" s="34" t="s">
        <v>62</v>
      </c>
      <c r="Q287" s="33" t="n">
        <f>396500</f>
        <v>396500.0</v>
      </c>
      <c r="R287" s="34" t="s">
        <v>51</v>
      </c>
      <c r="S287" s="35" t="n">
        <f>388613.64</f>
        <v>388613.64</v>
      </c>
      <c r="T287" s="32" t="n">
        <f>74457</f>
        <v>74457.0</v>
      </c>
      <c r="U287" s="32" t="n">
        <f>7703</f>
        <v>7703.0</v>
      </c>
      <c r="V287" s="32" t="n">
        <f>29016467503</f>
        <v>2.9016467503E10</v>
      </c>
      <c r="W287" s="32" t="n">
        <f>2990426003</f>
        <v>2.990426003E9</v>
      </c>
      <c r="X287" s="36" t="n">
        <f>22</f>
        <v>22.0</v>
      </c>
    </row>
    <row r="288">
      <c r="A288" s="27" t="s">
        <v>42</v>
      </c>
      <c r="B288" s="27" t="s">
        <v>918</v>
      </c>
      <c r="C288" s="27" t="s">
        <v>919</v>
      </c>
      <c r="D288" s="27" t="s">
        <v>920</v>
      </c>
      <c r="E288" s="28" t="s">
        <v>46</v>
      </c>
      <c r="F288" s="29" t="s">
        <v>46</v>
      </c>
      <c r="G288" s="30" t="s">
        <v>46</v>
      </c>
      <c r="H288" s="31"/>
      <c r="I288" s="31" t="s">
        <v>47</v>
      </c>
      <c r="J288" s="32" t="n">
        <v>1.0</v>
      </c>
      <c r="K288" s="33" t="n">
        <f>154300</f>
        <v>154300.0</v>
      </c>
      <c r="L288" s="34" t="s">
        <v>48</v>
      </c>
      <c r="M288" s="33" t="n">
        <f>156000</f>
        <v>156000.0</v>
      </c>
      <c r="N288" s="34" t="s">
        <v>48</v>
      </c>
      <c r="O288" s="33" t="n">
        <f>138600</f>
        <v>138600.0</v>
      </c>
      <c r="P288" s="34" t="s">
        <v>62</v>
      </c>
      <c r="Q288" s="33" t="n">
        <f>151300</f>
        <v>151300.0</v>
      </c>
      <c r="R288" s="34" t="s">
        <v>51</v>
      </c>
      <c r="S288" s="35" t="n">
        <f>148450</f>
        <v>148450.0</v>
      </c>
      <c r="T288" s="32" t="n">
        <f>66484</f>
        <v>66484.0</v>
      </c>
      <c r="U288" s="32" t="n">
        <f>5628</f>
        <v>5628.0</v>
      </c>
      <c r="V288" s="32" t="n">
        <f>9911017707</f>
        <v>9.911017707E9</v>
      </c>
      <c r="W288" s="32" t="n">
        <f>834610107</f>
        <v>8.34610107E8</v>
      </c>
      <c r="X288" s="36" t="n">
        <f>22</f>
        <v>22.0</v>
      </c>
    </row>
    <row r="289">
      <c r="A289" s="27" t="s">
        <v>42</v>
      </c>
      <c r="B289" s="27" t="s">
        <v>921</v>
      </c>
      <c r="C289" s="27" t="s">
        <v>922</v>
      </c>
      <c r="D289" s="27" t="s">
        <v>923</v>
      </c>
      <c r="E289" s="28" t="s">
        <v>46</v>
      </c>
      <c r="F289" s="29" t="s">
        <v>46</v>
      </c>
      <c r="G289" s="30" t="s">
        <v>46</v>
      </c>
      <c r="H289" s="31"/>
      <c r="I289" s="31" t="s">
        <v>641</v>
      </c>
      <c r="J289" s="32" t="n">
        <v>1.0</v>
      </c>
      <c r="K289" s="33" t="n">
        <f>102100</f>
        <v>102100.0</v>
      </c>
      <c r="L289" s="34" t="s">
        <v>48</v>
      </c>
      <c r="M289" s="33" t="n">
        <f>106500</f>
        <v>106500.0</v>
      </c>
      <c r="N289" s="34" t="s">
        <v>49</v>
      </c>
      <c r="O289" s="33" t="n">
        <f>91000</f>
        <v>91000.0</v>
      </c>
      <c r="P289" s="34" t="s">
        <v>51</v>
      </c>
      <c r="Q289" s="33" t="n">
        <f>91200</f>
        <v>91200.0</v>
      </c>
      <c r="R289" s="34" t="s">
        <v>51</v>
      </c>
      <c r="S289" s="35" t="n">
        <f>98186.36</f>
        <v>98186.36</v>
      </c>
      <c r="T289" s="32" t="n">
        <f>32047</f>
        <v>32047.0</v>
      </c>
      <c r="U289" s="32" t="n">
        <f>3716</f>
        <v>3716.0</v>
      </c>
      <c r="V289" s="32" t="n">
        <f>3158438788</f>
        <v>3.158438788E9</v>
      </c>
      <c r="W289" s="32" t="n">
        <f>366155888</f>
        <v>3.66155888E8</v>
      </c>
      <c r="X289" s="36" t="n">
        <f>22</f>
        <v>22.0</v>
      </c>
    </row>
    <row r="290">
      <c r="A290" s="27" t="s">
        <v>42</v>
      </c>
      <c r="B290" s="27" t="s">
        <v>924</v>
      </c>
      <c r="C290" s="27" t="s">
        <v>925</v>
      </c>
      <c r="D290" s="27" t="s">
        <v>926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1.0</v>
      </c>
      <c r="K290" s="33" t="n">
        <f>91000</f>
        <v>91000.0</v>
      </c>
      <c r="L290" s="34" t="s">
        <v>48</v>
      </c>
      <c r="M290" s="33" t="n">
        <f>98900</f>
        <v>98900.0</v>
      </c>
      <c r="N290" s="34" t="s">
        <v>73</v>
      </c>
      <c r="O290" s="33" t="n">
        <f>87700</f>
        <v>87700.0</v>
      </c>
      <c r="P290" s="34" t="s">
        <v>62</v>
      </c>
      <c r="Q290" s="33" t="n">
        <f>89300</f>
        <v>89300.0</v>
      </c>
      <c r="R290" s="34" t="s">
        <v>51</v>
      </c>
      <c r="S290" s="35" t="n">
        <f>91613.64</f>
        <v>91613.64</v>
      </c>
      <c r="T290" s="32" t="n">
        <f>52813</f>
        <v>52813.0</v>
      </c>
      <c r="U290" s="32" t="n">
        <f>6296</f>
        <v>6296.0</v>
      </c>
      <c r="V290" s="32" t="n">
        <f>4839636308</f>
        <v>4.839636308E9</v>
      </c>
      <c r="W290" s="32" t="n">
        <f>576773408</f>
        <v>5.76773408E8</v>
      </c>
      <c r="X290" s="36" t="n">
        <f>22</f>
        <v>22.0</v>
      </c>
    </row>
    <row r="291">
      <c r="A291" s="27" t="s">
        <v>42</v>
      </c>
      <c r="B291" s="27" t="s">
        <v>927</v>
      </c>
      <c r="C291" s="27" t="s">
        <v>928</v>
      </c>
      <c r="D291" s="27" t="s">
        <v>929</v>
      </c>
      <c r="E291" s="28" t="s">
        <v>46</v>
      </c>
      <c r="F291" s="29" t="s">
        <v>46</v>
      </c>
      <c r="G291" s="30" t="s">
        <v>46</v>
      </c>
      <c r="H291" s="31"/>
      <c r="I291" s="31" t="s">
        <v>641</v>
      </c>
      <c r="J291" s="32" t="n">
        <v>1.0</v>
      </c>
      <c r="K291" s="33" t="n">
        <f>134000</f>
        <v>134000.0</v>
      </c>
      <c r="L291" s="34" t="s">
        <v>48</v>
      </c>
      <c r="M291" s="33" t="n">
        <f>136200</f>
        <v>136200.0</v>
      </c>
      <c r="N291" s="34" t="s">
        <v>77</v>
      </c>
      <c r="O291" s="33" t="n">
        <f>123000</f>
        <v>123000.0</v>
      </c>
      <c r="P291" s="34" t="s">
        <v>62</v>
      </c>
      <c r="Q291" s="33" t="n">
        <f>135300</f>
        <v>135300.0</v>
      </c>
      <c r="R291" s="34" t="s">
        <v>51</v>
      </c>
      <c r="S291" s="35" t="n">
        <f>132036.36</f>
        <v>132036.36</v>
      </c>
      <c r="T291" s="32" t="n">
        <f>50248</f>
        <v>50248.0</v>
      </c>
      <c r="U291" s="32" t="n">
        <f>5474</f>
        <v>5474.0</v>
      </c>
      <c r="V291" s="32" t="n">
        <f>6625666830</f>
        <v>6.62566683E9</v>
      </c>
      <c r="W291" s="32" t="n">
        <f>724096530</f>
        <v>7.2409653E8</v>
      </c>
      <c r="X291" s="36" t="n">
        <f>22</f>
        <v>22.0</v>
      </c>
    </row>
    <row r="292">
      <c r="A292" s="27" t="s">
        <v>42</v>
      </c>
      <c r="B292" s="27" t="s">
        <v>930</v>
      </c>
      <c r="C292" s="27" t="s">
        <v>931</v>
      </c>
      <c r="D292" s="27" t="s">
        <v>932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1.0</v>
      </c>
      <c r="K292" s="33" t="n">
        <f>668000</f>
        <v>668000.0</v>
      </c>
      <c r="L292" s="34" t="s">
        <v>48</v>
      </c>
      <c r="M292" s="33" t="n">
        <f>700000</f>
        <v>700000.0</v>
      </c>
      <c r="N292" s="34" t="s">
        <v>69</v>
      </c>
      <c r="O292" s="33" t="n">
        <f>604000</f>
        <v>604000.0</v>
      </c>
      <c r="P292" s="34" t="s">
        <v>51</v>
      </c>
      <c r="Q292" s="33" t="n">
        <f>614000</f>
        <v>614000.0</v>
      </c>
      <c r="R292" s="34" t="s">
        <v>51</v>
      </c>
      <c r="S292" s="35" t="n">
        <f>659500</f>
        <v>659500.0</v>
      </c>
      <c r="T292" s="32" t="n">
        <f>139465</f>
        <v>139465.0</v>
      </c>
      <c r="U292" s="32" t="n">
        <f>22988</f>
        <v>22988.0</v>
      </c>
      <c r="V292" s="32" t="n">
        <f>92029704008</f>
        <v>9.2029704008E10</v>
      </c>
      <c r="W292" s="32" t="n">
        <f>15022061008</f>
        <v>1.5022061008E10</v>
      </c>
      <c r="X292" s="36" t="n">
        <f>22</f>
        <v>22.0</v>
      </c>
    </row>
    <row r="293">
      <c r="A293" s="27" t="s">
        <v>42</v>
      </c>
      <c r="B293" s="27" t="s">
        <v>933</v>
      </c>
      <c r="C293" s="27" t="s">
        <v>934</v>
      </c>
      <c r="D293" s="27" t="s">
        <v>935</v>
      </c>
      <c r="E293" s="28" t="s">
        <v>46</v>
      </c>
      <c r="F293" s="29" t="s">
        <v>46</v>
      </c>
      <c r="G293" s="30" t="s">
        <v>46</v>
      </c>
      <c r="H293" s="31"/>
      <c r="I293" s="31" t="s">
        <v>47</v>
      </c>
      <c r="J293" s="32" t="n">
        <v>1.0</v>
      </c>
      <c r="K293" s="33" t="n">
        <f>583000</f>
        <v>583000.0</v>
      </c>
      <c r="L293" s="34" t="s">
        <v>48</v>
      </c>
      <c r="M293" s="33" t="n">
        <f>604000</f>
        <v>604000.0</v>
      </c>
      <c r="N293" s="34" t="s">
        <v>49</v>
      </c>
      <c r="O293" s="33" t="n">
        <f>545000</f>
        <v>545000.0</v>
      </c>
      <c r="P293" s="34" t="s">
        <v>51</v>
      </c>
      <c r="Q293" s="33" t="n">
        <f>553000</f>
        <v>553000.0</v>
      </c>
      <c r="R293" s="34" t="s">
        <v>51</v>
      </c>
      <c r="S293" s="35" t="n">
        <f>571227.27</f>
        <v>571227.27</v>
      </c>
      <c r="T293" s="32" t="n">
        <f>135129</f>
        <v>135129.0</v>
      </c>
      <c r="U293" s="32" t="n">
        <f>24887</f>
        <v>24887.0</v>
      </c>
      <c r="V293" s="32" t="n">
        <f>77336882274</f>
        <v>7.7336882274E10</v>
      </c>
      <c r="W293" s="32" t="n">
        <f>14251969274</f>
        <v>1.4251969274E10</v>
      </c>
      <c r="X293" s="36" t="n">
        <f>22</f>
        <v>22.0</v>
      </c>
    </row>
    <row r="294">
      <c r="A294" s="27" t="s">
        <v>42</v>
      </c>
      <c r="B294" s="27" t="s">
        <v>936</v>
      </c>
      <c r="C294" s="27" t="s">
        <v>937</v>
      </c>
      <c r="D294" s="27" t="s">
        <v>938</v>
      </c>
      <c r="E294" s="28" t="s">
        <v>46</v>
      </c>
      <c r="F294" s="29" t="s">
        <v>46</v>
      </c>
      <c r="G294" s="30" t="s">
        <v>46</v>
      </c>
      <c r="H294" s="31"/>
      <c r="I294" s="31" t="s">
        <v>47</v>
      </c>
      <c r="J294" s="32" t="n">
        <v>1.0</v>
      </c>
      <c r="K294" s="33" t="n">
        <f>142700</f>
        <v>142700.0</v>
      </c>
      <c r="L294" s="34" t="s">
        <v>48</v>
      </c>
      <c r="M294" s="33" t="n">
        <f>168500</f>
        <v>168500.0</v>
      </c>
      <c r="N294" s="34" t="s">
        <v>49</v>
      </c>
      <c r="O294" s="33" t="n">
        <f>132400</f>
        <v>132400.0</v>
      </c>
      <c r="P294" s="34" t="s">
        <v>77</v>
      </c>
      <c r="Q294" s="33" t="n">
        <f>134500</f>
        <v>134500.0</v>
      </c>
      <c r="R294" s="34" t="s">
        <v>51</v>
      </c>
      <c r="S294" s="35" t="n">
        <f>146531.82</f>
        <v>146531.82</v>
      </c>
      <c r="T294" s="32" t="n">
        <f>616770</f>
        <v>616770.0</v>
      </c>
      <c r="U294" s="32" t="n">
        <f>63795</f>
        <v>63795.0</v>
      </c>
      <c r="V294" s="32" t="n">
        <f>91116211752</f>
        <v>9.1116211752E10</v>
      </c>
      <c r="W294" s="32" t="n">
        <f>9313955152</f>
        <v>9.313955152E9</v>
      </c>
      <c r="X294" s="36" t="n">
        <f>22</f>
        <v>22.0</v>
      </c>
    </row>
    <row r="295">
      <c r="A295" s="27" t="s">
        <v>42</v>
      </c>
      <c r="B295" s="27" t="s">
        <v>939</v>
      </c>
      <c r="C295" s="27" t="s">
        <v>940</v>
      </c>
      <c r="D295" s="27" t="s">
        <v>941</v>
      </c>
      <c r="E295" s="28" t="s">
        <v>46</v>
      </c>
      <c r="F295" s="29" t="s">
        <v>46</v>
      </c>
      <c r="G295" s="30" t="s">
        <v>46</v>
      </c>
      <c r="H295" s="31"/>
      <c r="I295" s="31" t="s">
        <v>47</v>
      </c>
      <c r="J295" s="32" t="n">
        <v>1.0</v>
      </c>
      <c r="K295" s="33" t="n">
        <f>154800</f>
        <v>154800.0</v>
      </c>
      <c r="L295" s="34" t="s">
        <v>48</v>
      </c>
      <c r="M295" s="33" t="n">
        <f>172200</f>
        <v>172200.0</v>
      </c>
      <c r="N295" s="34" t="s">
        <v>49</v>
      </c>
      <c r="O295" s="33" t="n">
        <f>138400</f>
        <v>138400.0</v>
      </c>
      <c r="P295" s="34" t="s">
        <v>51</v>
      </c>
      <c r="Q295" s="33" t="n">
        <f>141400</f>
        <v>141400.0</v>
      </c>
      <c r="R295" s="34" t="s">
        <v>51</v>
      </c>
      <c r="S295" s="35" t="n">
        <f>153445.45</f>
        <v>153445.45</v>
      </c>
      <c r="T295" s="32" t="n">
        <f>513755</f>
        <v>513755.0</v>
      </c>
      <c r="U295" s="32" t="n">
        <f>77905</f>
        <v>77905.0</v>
      </c>
      <c r="V295" s="32" t="n">
        <f>79002637063</f>
        <v>7.9002637063E10</v>
      </c>
      <c r="W295" s="32" t="n">
        <f>12004344363</f>
        <v>1.2004344363E10</v>
      </c>
      <c r="X295" s="36" t="n">
        <f>22</f>
        <v>22.0</v>
      </c>
    </row>
    <row r="296">
      <c r="A296" s="27" t="s">
        <v>42</v>
      </c>
      <c r="B296" s="27" t="s">
        <v>942</v>
      </c>
      <c r="C296" s="27" t="s">
        <v>943</v>
      </c>
      <c r="D296" s="27" t="s">
        <v>944</v>
      </c>
      <c r="E296" s="28" t="s">
        <v>46</v>
      </c>
      <c r="F296" s="29" t="s">
        <v>46</v>
      </c>
      <c r="G296" s="30" t="s">
        <v>46</v>
      </c>
      <c r="H296" s="31"/>
      <c r="I296" s="31" t="s">
        <v>47</v>
      </c>
      <c r="J296" s="32" t="n">
        <v>1.0</v>
      </c>
      <c r="K296" s="33" t="n">
        <f>321500</f>
        <v>321500.0</v>
      </c>
      <c r="L296" s="34" t="s">
        <v>48</v>
      </c>
      <c r="M296" s="33" t="n">
        <f>373000</f>
        <v>373000.0</v>
      </c>
      <c r="N296" s="34" t="s">
        <v>49</v>
      </c>
      <c r="O296" s="33" t="n">
        <f>310500</f>
        <v>310500.0</v>
      </c>
      <c r="P296" s="34" t="s">
        <v>51</v>
      </c>
      <c r="Q296" s="33" t="n">
        <f>316000</f>
        <v>316000.0</v>
      </c>
      <c r="R296" s="34" t="s">
        <v>51</v>
      </c>
      <c r="S296" s="35" t="n">
        <f>337840.91</f>
        <v>337840.91</v>
      </c>
      <c r="T296" s="32" t="n">
        <f>127766</f>
        <v>127766.0</v>
      </c>
      <c r="U296" s="32" t="n">
        <f>25078</f>
        <v>25078.0</v>
      </c>
      <c r="V296" s="32" t="n">
        <f>43132108917</f>
        <v>4.3132108917E10</v>
      </c>
      <c r="W296" s="32" t="n">
        <f>8316122417</f>
        <v>8.316122417E9</v>
      </c>
      <c r="X296" s="36" t="n">
        <f>22</f>
        <v>22.0</v>
      </c>
    </row>
    <row r="297">
      <c r="A297" s="27" t="s">
        <v>42</v>
      </c>
      <c r="B297" s="27" t="s">
        <v>945</v>
      </c>
      <c r="C297" s="27" t="s">
        <v>946</v>
      </c>
      <c r="D297" s="27" t="s">
        <v>947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1.0</v>
      </c>
      <c r="K297" s="33" t="n">
        <f>121500</f>
        <v>121500.0</v>
      </c>
      <c r="L297" s="34" t="s">
        <v>48</v>
      </c>
      <c r="M297" s="33" t="n">
        <f>125800</f>
        <v>125800.0</v>
      </c>
      <c r="N297" s="34" t="s">
        <v>49</v>
      </c>
      <c r="O297" s="33" t="n">
        <f>110900</f>
        <v>110900.0</v>
      </c>
      <c r="P297" s="34" t="s">
        <v>50</v>
      </c>
      <c r="Q297" s="33" t="n">
        <f>119700</f>
        <v>119700.0</v>
      </c>
      <c r="R297" s="34" t="s">
        <v>51</v>
      </c>
      <c r="S297" s="35" t="n">
        <f>120204.55</f>
        <v>120204.55</v>
      </c>
      <c r="T297" s="32" t="n">
        <f>143351</f>
        <v>143351.0</v>
      </c>
      <c r="U297" s="32" t="n">
        <f>29147</f>
        <v>29147.0</v>
      </c>
      <c r="V297" s="32" t="n">
        <f>17194606547</f>
        <v>1.7194606547E10</v>
      </c>
      <c r="W297" s="32" t="n">
        <f>3484382547</f>
        <v>3.484382547E9</v>
      </c>
      <c r="X297" s="36" t="n">
        <f>22</f>
        <v>22.0</v>
      </c>
    </row>
    <row r="298">
      <c r="A298" s="27" t="s">
        <v>42</v>
      </c>
      <c r="B298" s="27" t="s">
        <v>948</v>
      </c>
      <c r="C298" s="27" t="s">
        <v>949</v>
      </c>
      <c r="D298" s="27" t="s">
        <v>950</v>
      </c>
      <c r="E298" s="28" t="s">
        <v>46</v>
      </c>
      <c r="F298" s="29" t="s">
        <v>46</v>
      </c>
      <c r="G298" s="30" t="s">
        <v>46</v>
      </c>
      <c r="H298" s="31"/>
      <c r="I298" s="31" t="s">
        <v>47</v>
      </c>
      <c r="J298" s="32" t="n">
        <v>1.0</v>
      </c>
      <c r="K298" s="33" t="n">
        <f>148800</f>
        <v>148800.0</v>
      </c>
      <c r="L298" s="34" t="s">
        <v>48</v>
      </c>
      <c r="M298" s="33" t="n">
        <f>164100</f>
        <v>164100.0</v>
      </c>
      <c r="N298" s="34" t="s">
        <v>69</v>
      </c>
      <c r="O298" s="33" t="n">
        <f>143200</f>
        <v>143200.0</v>
      </c>
      <c r="P298" s="34" t="s">
        <v>62</v>
      </c>
      <c r="Q298" s="33" t="n">
        <f>147100</f>
        <v>147100.0</v>
      </c>
      <c r="R298" s="34" t="s">
        <v>51</v>
      </c>
      <c r="S298" s="35" t="n">
        <f>152600</f>
        <v>152600.0</v>
      </c>
      <c r="T298" s="32" t="n">
        <f>94730</f>
        <v>94730.0</v>
      </c>
      <c r="U298" s="32" t="n">
        <f>14921</f>
        <v>14921.0</v>
      </c>
      <c r="V298" s="32" t="n">
        <f>14400276039</f>
        <v>1.4400276039E10</v>
      </c>
      <c r="W298" s="32" t="n">
        <f>2240816839</f>
        <v>2.240816839E9</v>
      </c>
      <c r="X298" s="36" t="n">
        <f>22</f>
        <v>22.0</v>
      </c>
    </row>
    <row r="299">
      <c r="A299" s="27" t="s">
        <v>42</v>
      </c>
      <c r="B299" s="27" t="s">
        <v>951</v>
      </c>
      <c r="C299" s="27" t="s">
        <v>952</v>
      </c>
      <c r="D299" s="27" t="s">
        <v>953</v>
      </c>
      <c r="E299" s="28" t="s">
        <v>46</v>
      </c>
      <c r="F299" s="29" t="s">
        <v>46</v>
      </c>
      <c r="G299" s="30" t="s">
        <v>46</v>
      </c>
      <c r="H299" s="31"/>
      <c r="I299" s="31" t="s">
        <v>47</v>
      </c>
      <c r="J299" s="32" t="n">
        <v>1.0</v>
      </c>
      <c r="K299" s="33" t="n">
        <f>101700</f>
        <v>101700.0</v>
      </c>
      <c r="L299" s="34" t="s">
        <v>48</v>
      </c>
      <c r="M299" s="33" t="n">
        <f>107600</f>
        <v>107600.0</v>
      </c>
      <c r="N299" s="34" t="s">
        <v>73</v>
      </c>
      <c r="O299" s="33" t="n">
        <f>95100</f>
        <v>95100.0</v>
      </c>
      <c r="P299" s="34" t="s">
        <v>50</v>
      </c>
      <c r="Q299" s="33" t="n">
        <f>99800</f>
        <v>99800.0</v>
      </c>
      <c r="R299" s="34" t="s">
        <v>51</v>
      </c>
      <c r="S299" s="35" t="n">
        <f>102190.91</f>
        <v>102190.91</v>
      </c>
      <c r="T299" s="32" t="n">
        <f>106518</f>
        <v>106518.0</v>
      </c>
      <c r="U299" s="32" t="n">
        <f>15085</f>
        <v>15085.0</v>
      </c>
      <c r="V299" s="32" t="n">
        <f>10863128613</f>
        <v>1.0863128613E10</v>
      </c>
      <c r="W299" s="32" t="n">
        <f>1541358413</f>
        <v>1.541358413E9</v>
      </c>
      <c r="X299" s="36" t="n">
        <f>22</f>
        <v>22.0</v>
      </c>
    </row>
    <row r="300">
      <c r="A300" s="27" t="s">
        <v>42</v>
      </c>
      <c r="B300" s="27" t="s">
        <v>954</v>
      </c>
      <c r="C300" s="27" t="s">
        <v>955</v>
      </c>
      <c r="D300" s="27" t="s">
        <v>956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1.0</v>
      </c>
      <c r="K300" s="33" t="n">
        <f>114200</f>
        <v>114200.0</v>
      </c>
      <c r="L300" s="34" t="s">
        <v>48</v>
      </c>
      <c r="M300" s="33" t="n">
        <f>138000</f>
        <v>138000.0</v>
      </c>
      <c r="N300" s="34" t="s">
        <v>69</v>
      </c>
      <c r="O300" s="33" t="n">
        <f>110300</f>
        <v>110300.0</v>
      </c>
      <c r="P300" s="34" t="s">
        <v>48</v>
      </c>
      <c r="Q300" s="33" t="n">
        <f>115800</f>
        <v>115800.0</v>
      </c>
      <c r="R300" s="34" t="s">
        <v>51</v>
      </c>
      <c r="S300" s="35" t="n">
        <f>122050</f>
        <v>122050.0</v>
      </c>
      <c r="T300" s="32" t="n">
        <f>522070</f>
        <v>522070.0</v>
      </c>
      <c r="U300" s="32" t="n">
        <f>77494</f>
        <v>77494.0</v>
      </c>
      <c r="V300" s="32" t="n">
        <f>64078334099</f>
        <v>6.4078334099E10</v>
      </c>
      <c r="W300" s="32" t="n">
        <f>9472491299</f>
        <v>9.472491299E9</v>
      </c>
      <c r="X300" s="36" t="n">
        <f>22</f>
        <v>22.0</v>
      </c>
    </row>
    <row r="301">
      <c r="A301" s="27" t="s">
        <v>42</v>
      </c>
      <c r="B301" s="27" t="s">
        <v>957</v>
      </c>
      <c r="C301" s="27" t="s">
        <v>958</v>
      </c>
      <c r="D301" s="27" t="s">
        <v>959</v>
      </c>
      <c r="E301" s="28" t="s">
        <v>46</v>
      </c>
      <c r="F301" s="29" t="s">
        <v>46</v>
      </c>
      <c r="G301" s="30" t="s">
        <v>46</v>
      </c>
      <c r="H301" s="31"/>
      <c r="I301" s="31" t="s">
        <v>47</v>
      </c>
      <c r="J301" s="32" t="n">
        <v>1.0</v>
      </c>
      <c r="K301" s="33" t="n">
        <f>135000</f>
        <v>135000.0</v>
      </c>
      <c r="L301" s="34" t="s">
        <v>48</v>
      </c>
      <c r="M301" s="33" t="n">
        <f>146000</f>
        <v>146000.0</v>
      </c>
      <c r="N301" s="34" t="s">
        <v>69</v>
      </c>
      <c r="O301" s="33" t="n">
        <f>129300</f>
        <v>129300.0</v>
      </c>
      <c r="P301" s="34" t="s">
        <v>50</v>
      </c>
      <c r="Q301" s="33" t="n">
        <f>132700</f>
        <v>132700.0</v>
      </c>
      <c r="R301" s="34" t="s">
        <v>51</v>
      </c>
      <c r="S301" s="35" t="n">
        <f>136563.64</f>
        <v>136563.64</v>
      </c>
      <c r="T301" s="32" t="n">
        <f>98722</f>
        <v>98722.0</v>
      </c>
      <c r="U301" s="32" t="n">
        <f>11711</f>
        <v>11711.0</v>
      </c>
      <c r="V301" s="32" t="n">
        <f>13462934178</f>
        <v>1.3462934178E10</v>
      </c>
      <c r="W301" s="32" t="n">
        <f>1600750078</f>
        <v>1.600750078E9</v>
      </c>
      <c r="X301" s="36" t="n">
        <f>22</f>
        <v>22.0</v>
      </c>
    </row>
    <row r="302">
      <c r="A302" s="27" t="s">
        <v>42</v>
      </c>
      <c r="B302" s="27" t="s">
        <v>960</v>
      </c>
      <c r="C302" s="27" t="s">
        <v>961</v>
      </c>
      <c r="D302" s="27" t="s">
        <v>962</v>
      </c>
      <c r="E302" s="28" t="s">
        <v>46</v>
      </c>
      <c r="F302" s="29" t="s">
        <v>46</v>
      </c>
      <c r="G302" s="30" t="s">
        <v>46</v>
      </c>
      <c r="H302" s="31"/>
      <c r="I302" s="31" t="s">
        <v>47</v>
      </c>
      <c r="J302" s="32" t="n">
        <v>1.0</v>
      </c>
      <c r="K302" s="33" t="n">
        <f>27210</f>
        <v>27210.0</v>
      </c>
      <c r="L302" s="34" t="s">
        <v>48</v>
      </c>
      <c r="M302" s="33" t="n">
        <f>35000</f>
        <v>35000.0</v>
      </c>
      <c r="N302" s="34" t="s">
        <v>69</v>
      </c>
      <c r="O302" s="33" t="n">
        <f>25930</f>
        <v>25930.0</v>
      </c>
      <c r="P302" s="34" t="s">
        <v>48</v>
      </c>
      <c r="Q302" s="33" t="n">
        <f>27790</f>
        <v>27790.0</v>
      </c>
      <c r="R302" s="34" t="s">
        <v>51</v>
      </c>
      <c r="S302" s="35" t="n">
        <f>30509.55</f>
        <v>30509.55</v>
      </c>
      <c r="T302" s="32" t="n">
        <f>2456526</f>
        <v>2456526.0</v>
      </c>
      <c r="U302" s="32" t="n">
        <f>253403</f>
        <v>253403.0</v>
      </c>
      <c r="V302" s="32" t="n">
        <f>74460465039</f>
        <v>7.4460465039E10</v>
      </c>
      <c r="W302" s="32" t="n">
        <f>7731777339</f>
        <v>7.731777339E9</v>
      </c>
      <c r="X302" s="36" t="n">
        <f>22</f>
        <v>22.0</v>
      </c>
    </row>
    <row r="303">
      <c r="A303" s="27" t="s">
        <v>42</v>
      </c>
      <c r="B303" s="27" t="s">
        <v>963</v>
      </c>
      <c r="C303" s="27" t="s">
        <v>964</v>
      </c>
      <c r="D303" s="27" t="s">
        <v>965</v>
      </c>
      <c r="E303" s="28" t="s">
        <v>46</v>
      </c>
      <c r="F303" s="29" t="s">
        <v>46</v>
      </c>
      <c r="G303" s="30" t="s">
        <v>46</v>
      </c>
      <c r="H303" s="31"/>
      <c r="I303" s="31" t="s">
        <v>47</v>
      </c>
      <c r="J303" s="32" t="n">
        <v>1.0</v>
      </c>
      <c r="K303" s="33" t="n">
        <f>349000</f>
        <v>349000.0</v>
      </c>
      <c r="L303" s="34" t="s">
        <v>48</v>
      </c>
      <c r="M303" s="33" t="n">
        <f>387500</f>
        <v>387500.0</v>
      </c>
      <c r="N303" s="34" t="s">
        <v>49</v>
      </c>
      <c r="O303" s="33" t="n">
        <f>332000</f>
        <v>332000.0</v>
      </c>
      <c r="P303" s="34" t="s">
        <v>51</v>
      </c>
      <c r="Q303" s="33" t="n">
        <f>340500</f>
        <v>340500.0</v>
      </c>
      <c r="R303" s="34" t="s">
        <v>51</v>
      </c>
      <c r="S303" s="35" t="n">
        <f>359795.45</f>
        <v>359795.45</v>
      </c>
      <c r="T303" s="32" t="n">
        <f>87786</f>
        <v>87786.0</v>
      </c>
      <c r="U303" s="32" t="n">
        <f>15088</f>
        <v>15088.0</v>
      </c>
      <c r="V303" s="32" t="n">
        <f>31518928922</f>
        <v>3.1518928922E10</v>
      </c>
      <c r="W303" s="32" t="n">
        <f>5310693922</f>
        <v>5.310693922E9</v>
      </c>
      <c r="X303" s="36" t="n">
        <f>22</f>
        <v>22.0</v>
      </c>
    </row>
    <row r="304">
      <c r="A304" s="27" t="s">
        <v>42</v>
      </c>
      <c r="B304" s="27" t="s">
        <v>966</v>
      </c>
      <c r="C304" s="27" t="s">
        <v>967</v>
      </c>
      <c r="D304" s="27" t="s">
        <v>968</v>
      </c>
      <c r="E304" s="28" t="s">
        <v>46</v>
      </c>
      <c r="F304" s="29" t="s">
        <v>46</v>
      </c>
      <c r="G304" s="30" t="s">
        <v>46</v>
      </c>
      <c r="H304" s="31"/>
      <c r="I304" s="31" t="s">
        <v>47</v>
      </c>
      <c r="J304" s="32" t="n">
        <v>1.0</v>
      </c>
      <c r="K304" s="33" t="n">
        <f>104700</f>
        <v>104700.0</v>
      </c>
      <c r="L304" s="34" t="s">
        <v>48</v>
      </c>
      <c r="M304" s="33" t="n">
        <f>112200</f>
        <v>112200.0</v>
      </c>
      <c r="N304" s="34" t="s">
        <v>73</v>
      </c>
      <c r="O304" s="33" t="n">
        <f>98800</f>
        <v>98800.0</v>
      </c>
      <c r="P304" s="34" t="s">
        <v>62</v>
      </c>
      <c r="Q304" s="33" t="n">
        <f>102300</f>
        <v>102300.0</v>
      </c>
      <c r="R304" s="34" t="s">
        <v>51</v>
      </c>
      <c r="S304" s="35" t="n">
        <f>106486.36</f>
        <v>106486.36</v>
      </c>
      <c r="T304" s="32" t="n">
        <f>74574</f>
        <v>74574.0</v>
      </c>
      <c r="U304" s="32" t="n">
        <f>9587</f>
        <v>9587.0</v>
      </c>
      <c r="V304" s="32" t="n">
        <f>7951542495</f>
        <v>7.951542495E9</v>
      </c>
      <c r="W304" s="32" t="n">
        <f>1026445895</f>
        <v>1.026445895E9</v>
      </c>
      <c r="X304" s="36" t="n">
        <f>22</f>
        <v>22.0</v>
      </c>
    </row>
    <row r="305">
      <c r="A305" s="27" t="s">
        <v>42</v>
      </c>
      <c r="B305" s="27" t="s">
        <v>969</v>
      </c>
      <c r="C305" s="27" t="s">
        <v>970</v>
      </c>
      <c r="D305" s="27" t="s">
        <v>971</v>
      </c>
      <c r="E305" s="28" t="s">
        <v>46</v>
      </c>
      <c r="F305" s="29" t="s">
        <v>46</v>
      </c>
      <c r="G305" s="30" t="s">
        <v>46</v>
      </c>
      <c r="H305" s="31"/>
      <c r="I305" s="31" t="s">
        <v>47</v>
      </c>
      <c r="J305" s="32" t="n">
        <v>1.0</v>
      </c>
      <c r="K305" s="33" t="n">
        <f>285000</f>
        <v>285000.0</v>
      </c>
      <c r="L305" s="34" t="s">
        <v>48</v>
      </c>
      <c r="M305" s="33" t="n">
        <f>299500</f>
        <v>299500.0</v>
      </c>
      <c r="N305" s="34" t="s">
        <v>278</v>
      </c>
      <c r="O305" s="33" t="n">
        <f>266400</f>
        <v>266400.0</v>
      </c>
      <c r="P305" s="34" t="s">
        <v>73</v>
      </c>
      <c r="Q305" s="33" t="n">
        <f>292800</f>
        <v>292800.0</v>
      </c>
      <c r="R305" s="34" t="s">
        <v>51</v>
      </c>
      <c r="S305" s="35" t="n">
        <f>284677.27</f>
        <v>284677.27</v>
      </c>
      <c r="T305" s="32" t="n">
        <f>135290</f>
        <v>135290.0</v>
      </c>
      <c r="U305" s="32" t="n">
        <f>24782</f>
        <v>24782.0</v>
      </c>
      <c r="V305" s="32" t="n">
        <f>38275409283</f>
        <v>3.8275409283E10</v>
      </c>
      <c r="W305" s="32" t="n">
        <f>7024023283</f>
        <v>7.024023283E9</v>
      </c>
      <c r="X305" s="36" t="n">
        <f>22</f>
        <v>22.0</v>
      </c>
    </row>
    <row r="306">
      <c r="A306" s="27" t="s">
        <v>42</v>
      </c>
      <c r="B306" s="27" t="s">
        <v>972</v>
      </c>
      <c r="C306" s="27" t="s">
        <v>973</v>
      </c>
      <c r="D306" s="27" t="s">
        <v>974</v>
      </c>
      <c r="E306" s="28" t="s">
        <v>46</v>
      </c>
      <c r="F306" s="29" t="s">
        <v>46</v>
      </c>
      <c r="G306" s="30" t="s">
        <v>46</v>
      </c>
      <c r="H306" s="31"/>
      <c r="I306" s="31" t="s">
        <v>47</v>
      </c>
      <c r="J306" s="32" t="n">
        <v>1.0</v>
      </c>
      <c r="K306" s="33" t="n">
        <f>125800</f>
        <v>125800.0</v>
      </c>
      <c r="L306" s="34" t="s">
        <v>48</v>
      </c>
      <c r="M306" s="33" t="n">
        <f>142800</f>
        <v>142800.0</v>
      </c>
      <c r="N306" s="34" t="s">
        <v>49</v>
      </c>
      <c r="O306" s="33" t="n">
        <f>122900</f>
        <v>122900.0</v>
      </c>
      <c r="P306" s="34" t="s">
        <v>50</v>
      </c>
      <c r="Q306" s="33" t="n">
        <f>131200</f>
        <v>131200.0</v>
      </c>
      <c r="R306" s="34" t="s">
        <v>51</v>
      </c>
      <c r="S306" s="35" t="n">
        <f>133022.73</f>
        <v>133022.73</v>
      </c>
      <c r="T306" s="32" t="n">
        <f>91509</f>
        <v>91509.0</v>
      </c>
      <c r="U306" s="32" t="n">
        <f>8200</f>
        <v>8200.0</v>
      </c>
      <c r="V306" s="32" t="n">
        <f>12126440998</f>
        <v>1.2126440998E10</v>
      </c>
      <c r="W306" s="32" t="n">
        <f>1091611298</f>
        <v>1.091611298E9</v>
      </c>
      <c r="X306" s="36" t="n">
        <f>22</f>
        <v>22.0</v>
      </c>
    </row>
    <row r="307">
      <c r="A307" s="27" t="s">
        <v>42</v>
      </c>
      <c r="B307" s="27" t="s">
        <v>975</v>
      </c>
      <c r="C307" s="27" t="s">
        <v>976</v>
      </c>
      <c r="D307" s="27" t="s">
        <v>977</v>
      </c>
      <c r="E307" s="28" t="s">
        <v>46</v>
      </c>
      <c r="F307" s="29" t="s">
        <v>46</v>
      </c>
      <c r="G307" s="30" t="s">
        <v>46</v>
      </c>
      <c r="H307" s="31"/>
      <c r="I307" s="31" t="s">
        <v>47</v>
      </c>
      <c r="J307" s="32" t="n">
        <v>1.0</v>
      </c>
      <c r="K307" s="33" t="n">
        <f>589000</f>
        <v>589000.0</v>
      </c>
      <c r="L307" s="34" t="s">
        <v>48</v>
      </c>
      <c r="M307" s="33" t="n">
        <f>646000</f>
        <v>646000.0</v>
      </c>
      <c r="N307" s="34" t="s">
        <v>69</v>
      </c>
      <c r="O307" s="33" t="n">
        <f>578000</f>
        <v>578000.0</v>
      </c>
      <c r="P307" s="34" t="s">
        <v>48</v>
      </c>
      <c r="Q307" s="33" t="n">
        <f>601000</f>
        <v>601000.0</v>
      </c>
      <c r="R307" s="34" t="s">
        <v>51</v>
      </c>
      <c r="S307" s="35" t="n">
        <f>615000</f>
        <v>615000.0</v>
      </c>
      <c r="T307" s="32" t="n">
        <f>57855</f>
        <v>57855.0</v>
      </c>
      <c r="U307" s="32" t="n">
        <f>12063</f>
        <v>12063.0</v>
      </c>
      <c r="V307" s="32" t="n">
        <f>35525024391</f>
        <v>3.5525024391E10</v>
      </c>
      <c r="W307" s="32" t="n">
        <f>7401328391</f>
        <v>7.401328391E9</v>
      </c>
      <c r="X307" s="36" t="n">
        <f>22</f>
        <v>22.0</v>
      </c>
    </row>
    <row r="308">
      <c r="A308" s="27" t="s">
        <v>42</v>
      </c>
      <c r="B308" s="27" t="s">
        <v>978</v>
      </c>
      <c r="C308" s="27" t="s">
        <v>979</v>
      </c>
      <c r="D308" s="27" t="s">
        <v>980</v>
      </c>
      <c r="E308" s="28" t="s">
        <v>46</v>
      </c>
      <c r="F308" s="29" t="s">
        <v>46</v>
      </c>
      <c r="G308" s="30" t="s">
        <v>46</v>
      </c>
      <c r="H308" s="31"/>
      <c r="I308" s="31" t="s">
        <v>47</v>
      </c>
      <c r="J308" s="32" t="n">
        <v>1.0</v>
      </c>
      <c r="K308" s="33" t="n">
        <f>75000</f>
        <v>75000.0</v>
      </c>
      <c r="L308" s="34" t="s">
        <v>48</v>
      </c>
      <c r="M308" s="33" t="n">
        <f>82200</f>
        <v>82200.0</v>
      </c>
      <c r="N308" s="34" t="s">
        <v>49</v>
      </c>
      <c r="O308" s="33" t="n">
        <f>72100</f>
        <v>72100.0</v>
      </c>
      <c r="P308" s="34" t="s">
        <v>51</v>
      </c>
      <c r="Q308" s="33" t="n">
        <f>74500</f>
        <v>74500.0</v>
      </c>
      <c r="R308" s="34" t="s">
        <v>51</v>
      </c>
      <c r="S308" s="35" t="n">
        <f>76954.55</f>
        <v>76954.55</v>
      </c>
      <c r="T308" s="32" t="n">
        <f>184081</f>
        <v>184081.0</v>
      </c>
      <c r="U308" s="32" t="n">
        <f>35296</f>
        <v>35296.0</v>
      </c>
      <c r="V308" s="32" t="n">
        <f>14173228514</f>
        <v>1.4173228514E10</v>
      </c>
      <c r="W308" s="32" t="n">
        <f>2727347914</f>
        <v>2.727347914E9</v>
      </c>
      <c r="X308" s="36" t="n">
        <f>22</f>
        <v>22.0</v>
      </c>
    </row>
    <row r="309">
      <c r="A309" s="27" t="s">
        <v>42</v>
      </c>
      <c r="B309" s="27" t="s">
        <v>981</v>
      </c>
      <c r="C309" s="27" t="s">
        <v>982</v>
      </c>
      <c r="D309" s="27" t="s">
        <v>983</v>
      </c>
      <c r="E309" s="28" t="s">
        <v>46</v>
      </c>
      <c r="F309" s="29" t="s">
        <v>46</v>
      </c>
      <c r="G309" s="30" t="s">
        <v>46</v>
      </c>
      <c r="H309" s="31"/>
      <c r="I309" s="31" t="s">
        <v>47</v>
      </c>
      <c r="J309" s="32" t="n">
        <v>1.0</v>
      </c>
      <c r="K309" s="33" t="n">
        <f>625000</f>
        <v>625000.0</v>
      </c>
      <c r="L309" s="34" t="s">
        <v>48</v>
      </c>
      <c r="M309" s="33" t="n">
        <f>646000</f>
        <v>646000.0</v>
      </c>
      <c r="N309" s="34" t="s">
        <v>49</v>
      </c>
      <c r="O309" s="33" t="n">
        <f>584000</f>
        <v>584000.0</v>
      </c>
      <c r="P309" s="34" t="s">
        <v>50</v>
      </c>
      <c r="Q309" s="33" t="n">
        <f>597000</f>
        <v>597000.0</v>
      </c>
      <c r="R309" s="34" t="s">
        <v>51</v>
      </c>
      <c r="S309" s="35" t="n">
        <f>614409.09</f>
        <v>614409.09</v>
      </c>
      <c r="T309" s="32" t="n">
        <f>40556</f>
        <v>40556.0</v>
      </c>
      <c r="U309" s="32" t="n">
        <f>7253</f>
        <v>7253.0</v>
      </c>
      <c r="V309" s="32" t="n">
        <f>24962657565</f>
        <v>2.4962657565E10</v>
      </c>
      <c r="W309" s="32" t="n">
        <f>4476083565</f>
        <v>4.476083565E9</v>
      </c>
      <c r="X309" s="36" t="n">
        <f>22</f>
        <v>22.0</v>
      </c>
    </row>
    <row r="310">
      <c r="A310" s="27" t="s">
        <v>42</v>
      </c>
      <c r="B310" s="27" t="s">
        <v>984</v>
      </c>
      <c r="C310" s="27" t="s">
        <v>985</v>
      </c>
      <c r="D310" s="27" t="s">
        <v>986</v>
      </c>
      <c r="E310" s="28" t="s">
        <v>46</v>
      </c>
      <c r="F310" s="29" t="s">
        <v>46</v>
      </c>
      <c r="G310" s="30" t="s">
        <v>46</v>
      </c>
      <c r="H310" s="31"/>
      <c r="I310" s="31" t="s">
        <v>641</v>
      </c>
      <c r="J310" s="32" t="n">
        <v>1.0</v>
      </c>
      <c r="K310" s="33" t="n">
        <f>136000</f>
        <v>136000.0</v>
      </c>
      <c r="L310" s="34" t="s">
        <v>48</v>
      </c>
      <c r="M310" s="33" t="n">
        <f>145700</f>
        <v>145700.0</v>
      </c>
      <c r="N310" s="34" t="s">
        <v>73</v>
      </c>
      <c r="O310" s="33" t="n">
        <f>123100</f>
        <v>123100.0</v>
      </c>
      <c r="P310" s="34" t="s">
        <v>51</v>
      </c>
      <c r="Q310" s="33" t="n">
        <f>124100</f>
        <v>124100.0</v>
      </c>
      <c r="R310" s="34" t="s">
        <v>51</v>
      </c>
      <c r="S310" s="35" t="n">
        <f>133827.27</f>
        <v>133827.27</v>
      </c>
      <c r="T310" s="32" t="n">
        <f>68089</f>
        <v>68089.0</v>
      </c>
      <c r="U310" s="32" t="n">
        <f>7083</f>
        <v>7083.0</v>
      </c>
      <c r="V310" s="32" t="n">
        <f>9146616687</f>
        <v>9.146616687E9</v>
      </c>
      <c r="W310" s="32" t="n">
        <f>964494787</f>
        <v>9.64494787E8</v>
      </c>
      <c r="X310" s="36" t="n">
        <f>22</f>
        <v>22.0</v>
      </c>
    </row>
    <row r="311">
      <c r="A311" s="27" t="s">
        <v>42</v>
      </c>
      <c r="B311" s="27" t="s">
        <v>987</v>
      </c>
      <c r="C311" s="27" t="s">
        <v>988</v>
      </c>
      <c r="D311" s="27" t="s">
        <v>989</v>
      </c>
      <c r="E311" s="28" t="s">
        <v>46</v>
      </c>
      <c r="F311" s="29" t="s">
        <v>46</v>
      </c>
      <c r="G311" s="30" t="s">
        <v>46</v>
      </c>
      <c r="H311" s="31"/>
      <c r="I311" s="31" t="s">
        <v>641</v>
      </c>
      <c r="J311" s="32" t="n">
        <v>1.0</v>
      </c>
      <c r="K311" s="33" t="n">
        <f>199100</f>
        <v>199100.0</v>
      </c>
      <c r="L311" s="34" t="s">
        <v>48</v>
      </c>
      <c r="M311" s="33" t="n">
        <f>211600</f>
        <v>211600.0</v>
      </c>
      <c r="N311" s="34" t="s">
        <v>340</v>
      </c>
      <c r="O311" s="33" t="n">
        <f>190000</f>
        <v>190000.0</v>
      </c>
      <c r="P311" s="34" t="s">
        <v>62</v>
      </c>
      <c r="Q311" s="33" t="n">
        <f>205400</f>
        <v>205400.0</v>
      </c>
      <c r="R311" s="34" t="s">
        <v>51</v>
      </c>
      <c r="S311" s="35" t="n">
        <f>201140.91</f>
        <v>201140.91</v>
      </c>
      <c r="T311" s="32" t="n">
        <f>14924</f>
        <v>14924.0</v>
      </c>
      <c r="U311" s="32" t="n">
        <f>1519</f>
        <v>1519.0</v>
      </c>
      <c r="V311" s="32" t="n">
        <f>2998626290</f>
        <v>2.99862629E9</v>
      </c>
      <c r="W311" s="32" t="n">
        <f>305092090</f>
        <v>3.0509209E8</v>
      </c>
      <c r="X311" s="36" t="n">
        <f>22</f>
        <v>22.0</v>
      </c>
    </row>
    <row r="312">
      <c r="A312" s="27" t="s">
        <v>42</v>
      </c>
      <c r="B312" s="27" t="s">
        <v>990</v>
      </c>
      <c r="C312" s="27" t="s">
        <v>991</v>
      </c>
      <c r="D312" s="27" t="s">
        <v>992</v>
      </c>
      <c r="E312" s="28" t="s">
        <v>46</v>
      </c>
      <c r="F312" s="29" t="s">
        <v>46</v>
      </c>
      <c r="G312" s="30" t="s">
        <v>46</v>
      </c>
      <c r="H312" s="31"/>
      <c r="I312" s="31" t="s">
        <v>47</v>
      </c>
      <c r="J312" s="32" t="n">
        <v>1.0</v>
      </c>
      <c r="K312" s="33" t="n">
        <f>265000</f>
        <v>265000.0</v>
      </c>
      <c r="L312" s="34" t="s">
        <v>48</v>
      </c>
      <c r="M312" s="33" t="n">
        <f>274400</f>
        <v>274400.0</v>
      </c>
      <c r="N312" s="34" t="s">
        <v>61</v>
      </c>
      <c r="O312" s="33" t="n">
        <f>252100</f>
        <v>252100.0</v>
      </c>
      <c r="P312" s="34" t="s">
        <v>77</v>
      </c>
      <c r="Q312" s="33" t="n">
        <f>254000</f>
        <v>254000.0</v>
      </c>
      <c r="R312" s="34" t="s">
        <v>51</v>
      </c>
      <c r="S312" s="35" t="n">
        <f>261609.09</f>
        <v>261609.09</v>
      </c>
      <c r="T312" s="32" t="n">
        <f>164367</f>
        <v>164367.0</v>
      </c>
      <c r="U312" s="32" t="n">
        <f>23869</f>
        <v>23869.0</v>
      </c>
      <c r="V312" s="32" t="n">
        <f>43004045828</f>
        <v>4.3004045828E10</v>
      </c>
      <c r="W312" s="32" t="n">
        <f>6249800028</f>
        <v>6.249800028E9</v>
      </c>
      <c r="X312" s="36" t="n">
        <f>22</f>
        <v>22.0</v>
      </c>
    </row>
    <row r="313">
      <c r="A313" s="27" t="s">
        <v>42</v>
      </c>
      <c r="B313" s="27" t="s">
        <v>993</v>
      </c>
      <c r="C313" s="27" t="s">
        <v>994</v>
      </c>
      <c r="D313" s="27" t="s">
        <v>995</v>
      </c>
      <c r="E313" s="28" t="s">
        <v>46</v>
      </c>
      <c r="F313" s="29" t="s">
        <v>46</v>
      </c>
      <c r="G313" s="30" t="s">
        <v>46</v>
      </c>
      <c r="H313" s="31"/>
      <c r="I313" s="31" t="s">
        <v>47</v>
      </c>
      <c r="J313" s="32" t="n">
        <v>1.0</v>
      </c>
      <c r="K313" s="33" t="n">
        <f>45200</f>
        <v>45200.0</v>
      </c>
      <c r="L313" s="34" t="s">
        <v>48</v>
      </c>
      <c r="M313" s="33" t="n">
        <f>53800</f>
        <v>53800.0</v>
      </c>
      <c r="N313" s="34" t="s">
        <v>73</v>
      </c>
      <c r="O313" s="33" t="n">
        <f>42200</f>
        <v>42200.0</v>
      </c>
      <c r="P313" s="34" t="s">
        <v>62</v>
      </c>
      <c r="Q313" s="33" t="n">
        <f>44500</f>
        <v>44500.0</v>
      </c>
      <c r="R313" s="34" t="s">
        <v>51</v>
      </c>
      <c r="S313" s="35" t="n">
        <f>47965.91</f>
        <v>47965.91</v>
      </c>
      <c r="T313" s="32" t="n">
        <f>1514274</f>
        <v>1514274.0</v>
      </c>
      <c r="U313" s="32" t="n">
        <f>215938</f>
        <v>215938.0</v>
      </c>
      <c r="V313" s="32" t="n">
        <f>72684723311</f>
        <v>7.2684723311E10</v>
      </c>
      <c r="W313" s="32" t="n">
        <f>10490172711</f>
        <v>1.0490172711E10</v>
      </c>
      <c r="X313" s="36" t="n">
        <f>22</f>
        <v>22.0</v>
      </c>
    </row>
    <row r="314">
      <c r="A314" s="27" t="s">
        <v>42</v>
      </c>
      <c r="B314" s="27" t="s">
        <v>996</v>
      </c>
      <c r="C314" s="27" t="s">
        <v>997</v>
      </c>
      <c r="D314" s="27" t="s">
        <v>998</v>
      </c>
      <c r="E314" s="28" t="s">
        <v>46</v>
      </c>
      <c r="F314" s="29" t="s">
        <v>46</v>
      </c>
      <c r="G314" s="30" t="s">
        <v>46</v>
      </c>
      <c r="H314" s="31"/>
      <c r="I314" s="31" t="s">
        <v>47</v>
      </c>
      <c r="J314" s="32" t="n">
        <v>1.0</v>
      </c>
      <c r="K314" s="33" t="n">
        <f>98900</f>
        <v>98900.0</v>
      </c>
      <c r="L314" s="34" t="s">
        <v>48</v>
      </c>
      <c r="M314" s="33" t="n">
        <f>103300</f>
        <v>103300.0</v>
      </c>
      <c r="N314" s="34" t="s">
        <v>77</v>
      </c>
      <c r="O314" s="33" t="n">
        <f>91700</f>
        <v>91700.0</v>
      </c>
      <c r="P314" s="34" t="s">
        <v>62</v>
      </c>
      <c r="Q314" s="33" t="n">
        <f>100400</f>
        <v>100400.0</v>
      </c>
      <c r="R314" s="34" t="s">
        <v>51</v>
      </c>
      <c r="S314" s="35" t="n">
        <f>98295.45</f>
        <v>98295.45</v>
      </c>
      <c r="T314" s="32" t="n">
        <f>250110</f>
        <v>250110.0</v>
      </c>
      <c r="U314" s="32" t="n">
        <f>48317</f>
        <v>48317.0</v>
      </c>
      <c r="V314" s="32" t="n">
        <f>24552958651</f>
        <v>2.4552958651E10</v>
      </c>
      <c r="W314" s="32" t="n">
        <f>4725880151</f>
        <v>4.725880151E9</v>
      </c>
      <c r="X314" s="36" t="n">
        <f>22</f>
        <v>22.0</v>
      </c>
    </row>
    <row r="315">
      <c r="A315" s="27" t="s">
        <v>42</v>
      </c>
      <c r="B315" s="27" t="s">
        <v>999</v>
      </c>
      <c r="C315" s="27" t="s">
        <v>1000</v>
      </c>
      <c r="D315" s="27" t="s">
        <v>1001</v>
      </c>
      <c r="E315" s="28" t="s">
        <v>46</v>
      </c>
      <c r="F315" s="29" t="s">
        <v>46</v>
      </c>
      <c r="G315" s="30" t="s">
        <v>46</v>
      </c>
      <c r="H315" s="31"/>
      <c r="I315" s="31" t="s">
        <v>47</v>
      </c>
      <c r="J315" s="32" t="n">
        <v>1.0</v>
      </c>
      <c r="K315" s="33" t="n">
        <f>131400</f>
        <v>131400.0</v>
      </c>
      <c r="L315" s="34" t="s">
        <v>48</v>
      </c>
      <c r="M315" s="33" t="n">
        <f>143500</f>
        <v>143500.0</v>
      </c>
      <c r="N315" s="34" t="s">
        <v>73</v>
      </c>
      <c r="O315" s="33" t="n">
        <f>123300</f>
        <v>123300.0</v>
      </c>
      <c r="P315" s="34" t="s">
        <v>51</v>
      </c>
      <c r="Q315" s="33" t="n">
        <f>125200</f>
        <v>125200.0</v>
      </c>
      <c r="R315" s="34" t="s">
        <v>51</v>
      </c>
      <c r="S315" s="35" t="n">
        <f>133827.27</f>
        <v>133827.27</v>
      </c>
      <c r="T315" s="32" t="n">
        <f>131917</f>
        <v>131917.0</v>
      </c>
      <c r="U315" s="32" t="n">
        <f>33756</f>
        <v>33756.0</v>
      </c>
      <c r="V315" s="32" t="n">
        <f>17523387114</f>
        <v>1.7523387114E10</v>
      </c>
      <c r="W315" s="32" t="n">
        <f>4394836614</f>
        <v>4.394836614E9</v>
      </c>
      <c r="X315" s="36" t="n">
        <f>22</f>
        <v>22.0</v>
      </c>
    </row>
    <row r="316">
      <c r="A316" s="27" t="s">
        <v>42</v>
      </c>
      <c r="B316" s="27" t="s">
        <v>1002</v>
      </c>
      <c r="C316" s="27" t="s">
        <v>1003</v>
      </c>
      <c r="D316" s="27" t="s">
        <v>1004</v>
      </c>
      <c r="E316" s="28" t="s">
        <v>46</v>
      </c>
      <c r="F316" s="29" t="s">
        <v>46</v>
      </c>
      <c r="G316" s="30" t="s">
        <v>46</v>
      </c>
      <c r="H316" s="31"/>
      <c r="I316" s="31" t="s">
        <v>47</v>
      </c>
      <c r="J316" s="32" t="n">
        <v>1.0</v>
      </c>
      <c r="K316" s="33" t="n">
        <f>115100</f>
        <v>115100.0</v>
      </c>
      <c r="L316" s="34" t="s">
        <v>48</v>
      </c>
      <c r="M316" s="33" t="n">
        <f>115100</f>
        <v>115100.0</v>
      </c>
      <c r="N316" s="34" t="s">
        <v>48</v>
      </c>
      <c r="O316" s="33" t="n">
        <f>112700</f>
        <v>112700.0</v>
      </c>
      <c r="P316" s="34" t="s">
        <v>77</v>
      </c>
      <c r="Q316" s="33" t="n">
        <f>112900</f>
        <v>112900.0</v>
      </c>
      <c r="R316" s="34" t="s">
        <v>51</v>
      </c>
      <c r="S316" s="35" t="n">
        <f>113936.36</f>
        <v>113936.36</v>
      </c>
      <c r="T316" s="32" t="n">
        <f>9307</f>
        <v>9307.0</v>
      </c>
      <c r="U316" s="32" t="n">
        <f>316</f>
        <v>316.0</v>
      </c>
      <c r="V316" s="32" t="n">
        <f>1062004888</f>
        <v>1.062004888E9</v>
      </c>
      <c r="W316" s="32" t="n">
        <f>36068188</f>
        <v>3.6068188E7</v>
      </c>
      <c r="X316" s="36" t="n">
        <f>22</f>
        <v>22.0</v>
      </c>
    </row>
    <row r="317">
      <c r="A317" s="27" t="s">
        <v>42</v>
      </c>
      <c r="B317" s="27" t="s">
        <v>1005</v>
      </c>
      <c r="C317" s="27" t="s">
        <v>1006</v>
      </c>
      <c r="D317" s="27" t="s">
        <v>1007</v>
      </c>
      <c r="E317" s="28" t="s">
        <v>46</v>
      </c>
      <c r="F317" s="29" t="s">
        <v>46</v>
      </c>
      <c r="G317" s="30" t="s">
        <v>46</v>
      </c>
      <c r="H317" s="31"/>
      <c r="I317" s="31" t="s">
        <v>641</v>
      </c>
      <c r="J317" s="32" t="n">
        <v>1.0</v>
      </c>
      <c r="K317" s="33" t="n">
        <f>61400</f>
        <v>61400.0</v>
      </c>
      <c r="L317" s="34" t="s">
        <v>48</v>
      </c>
      <c r="M317" s="33" t="n">
        <f>63500</f>
        <v>63500.0</v>
      </c>
      <c r="N317" s="34" t="s">
        <v>94</v>
      </c>
      <c r="O317" s="33" t="n">
        <f>54500</f>
        <v>54500.0</v>
      </c>
      <c r="P317" s="34" t="s">
        <v>77</v>
      </c>
      <c r="Q317" s="33" t="n">
        <f>57300</f>
        <v>57300.0</v>
      </c>
      <c r="R317" s="34" t="s">
        <v>51</v>
      </c>
      <c r="S317" s="35" t="n">
        <f>61618.18</f>
        <v>61618.18</v>
      </c>
      <c r="T317" s="32" t="n">
        <f>13386</f>
        <v>13386.0</v>
      </c>
      <c r="U317" s="32" t="n">
        <f>410</f>
        <v>410.0</v>
      </c>
      <c r="V317" s="32" t="n">
        <f>818750400</f>
        <v>8.187504E8</v>
      </c>
      <c r="W317" s="32" t="n">
        <f>25549300</f>
        <v>2.55493E7</v>
      </c>
      <c r="X317" s="36" t="n">
        <f>22</f>
        <v>22.0</v>
      </c>
    </row>
    <row r="318">
      <c r="A318" s="27" t="s">
        <v>42</v>
      </c>
      <c r="B318" s="27" t="s">
        <v>1008</v>
      </c>
      <c r="C318" s="27" t="s">
        <v>1009</v>
      </c>
      <c r="D318" s="27" t="s">
        <v>1010</v>
      </c>
      <c r="E318" s="28" t="s">
        <v>46</v>
      </c>
      <c r="F318" s="29" t="s">
        <v>46</v>
      </c>
      <c r="G318" s="30" t="s">
        <v>46</v>
      </c>
      <c r="H318" s="31"/>
      <c r="I318" s="31" t="s">
        <v>641</v>
      </c>
      <c r="J318" s="32" t="n">
        <v>1.0</v>
      </c>
      <c r="K318" s="33" t="n">
        <f>100400</f>
        <v>100400.0</v>
      </c>
      <c r="L318" s="34" t="s">
        <v>48</v>
      </c>
      <c r="M318" s="33" t="n">
        <f>103300</f>
        <v>103300.0</v>
      </c>
      <c r="N318" s="34" t="s">
        <v>330</v>
      </c>
      <c r="O318" s="33" t="n">
        <f>98500</f>
        <v>98500.0</v>
      </c>
      <c r="P318" s="34" t="s">
        <v>62</v>
      </c>
      <c r="Q318" s="33" t="n">
        <f>102300</f>
        <v>102300.0</v>
      </c>
      <c r="R318" s="34" t="s">
        <v>51</v>
      </c>
      <c r="S318" s="35" t="n">
        <f>101718.18</f>
        <v>101718.18</v>
      </c>
      <c r="T318" s="32" t="n">
        <f>7253</f>
        <v>7253.0</v>
      </c>
      <c r="U318" s="32" t="n">
        <f>61</f>
        <v>61.0</v>
      </c>
      <c r="V318" s="32" t="n">
        <f>737129900</f>
        <v>7.371299E8</v>
      </c>
      <c r="W318" s="32" t="n">
        <f>6199300</f>
        <v>6199300.0</v>
      </c>
      <c r="X318" s="36" t="n">
        <f>22</f>
        <v>22.0</v>
      </c>
    </row>
    <row r="319">
      <c r="A319" s="27" t="s">
        <v>42</v>
      </c>
      <c r="B319" s="27" t="s">
        <v>1011</v>
      </c>
      <c r="C319" s="27" t="s">
        <v>1012</v>
      </c>
      <c r="D319" s="27" t="s">
        <v>1013</v>
      </c>
      <c r="E319" s="28" t="s">
        <v>46</v>
      </c>
      <c r="F319" s="29" t="s">
        <v>46</v>
      </c>
      <c r="G319" s="30" t="s">
        <v>46</v>
      </c>
      <c r="H319" s="31"/>
      <c r="I319" s="31" t="s">
        <v>641</v>
      </c>
      <c r="J319" s="32" t="n">
        <v>1.0</v>
      </c>
      <c r="K319" s="33" t="n">
        <f>115100</f>
        <v>115100.0</v>
      </c>
      <c r="L319" s="34" t="s">
        <v>48</v>
      </c>
      <c r="M319" s="33" t="n">
        <f>119300</f>
        <v>119300.0</v>
      </c>
      <c r="N319" s="34" t="s">
        <v>298</v>
      </c>
      <c r="O319" s="33" t="n">
        <f>111400</f>
        <v>111400.0</v>
      </c>
      <c r="P319" s="34" t="s">
        <v>62</v>
      </c>
      <c r="Q319" s="33" t="n">
        <f>114100</f>
        <v>114100.0</v>
      </c>
      <c r="R319" s="34" t="s">
        <v>51</v>
      </c>
      <c r="S319" s="35" t="n">
        <f>117190.91</f>
        <v>117190.91</v>
      </c>
      <c r="T319" s="32" t="n">
        <f>11224</f>
        <v>11224.0</v>
      </c>
      <c r="U319" s="32" t="n">
        <f>1955</f>
        <v>1955.0</v>
      </c>
      <c r="V319" s="32" t="n">
        <f>1307808982</f>
        <v>1.307808982E9</v>
      </c>
      <c r="W319" s="32" t="n">
        <f>225257482</f>
        <v>2.25257482E8</v>
      </c>
      <c r="X319" s="36" t="n">
        <f>22</f>
        <v>22.0</v>
      </c>
    </row>
    <row r="320">
      <c r="A320" s="27" t="s">
        <v>42</v>
      </c>
      <c r="B320" s="27" t="s">
        <v>1014</v>
      </c>
      <c r="C320" s="27" t="s">
        <v>1015</v>
      </c>
      <c r="D320" s="27" t="s">
        <v>1016</v>
      </c>
      <c r="E320" s="28" t="s">
        <v>46</v>
      </c>
      <c r="F320" s="29" t="s">
        <v>46</v>
      </c>
      <c r="G320" s="30" t="s">
        <v>46</v>
      </c>
      <c r="H320" s="31"/>
      <c r="I320" s="31" t="s">
        <v>641</v>
      </c>
      <c r="J320" s="32" t="n">
        <v>1.0</v>
      </c>
      <c r="K320" s="33" t="n">
        <f>102900</f>
        <v>102900.0</v>
      </c>
      <c r="L320" s="34" t="s">
        <v>48</v>
      </c>
      <c r="M320" s="33" t="n">
        <f>107000</f>
        <v>107000.0</v>
      </c>
      <c r="N320" s="34" t="s">
        <v>330</v>
      </c>
      <c r="O320" s="33" t="n">
        <f>100000</f>
        <v>100000.0</v>
      </c>
      <c r="P320" s="34" t="s">
        <v>77</v>
      </c>
      <c r="Q320" s="33" t="n">
        <f>100800</f>
        <v>100800.0</v>
      </c>
      <c r="R320" s="34" t="s">
        <v>51</v>
      </c>
      <c r="S320" s="35" t="n">
        <f>104781.82</f>
        <v>104781.82</v>
      </c>
      <c r="T320" s="32" t="n">
        <f>4774</f>
        <v>4774.0</v>
      </c>
      <c r="U320" s="32" t="str">
        <f>"－"</f>
        <v>－</v>
      </c>
      <c r="V320" s="32" t="n">
        <f>497691900</f>
        <v>4.976919E8</v>
      </c>
      <c r="W320" s="32" t="str">
        <f>"－"</f>
        <v>－</v>
      </c>
      <c r="X320" s="36" t="n">
        <f>22</f>
        <v>22.0</v>
      </c>
    </row>
    <row r="321">
      <c r="A321" s="27" t="s">
        <v>42</v>
      </c>
      <c r="B321" s="27" t="s">
        <v>1017</v>
      </c>
      <c r="C321" s="27" t="s">
        <v>1018</v>
      </c>
      <c r="D321" s="27" t="s">
        <v>1019</v>
      </c>
      <c r="E321" s="28" t="s">
        <v>46</v>
      </c>
      <c r="F321" s="29" t="s">
        <v>46</v>
      </c>
      <c r="G321" s="30" t="s">
        <v>46</v>
      </c>
      <c r="H321" s="31"/>
      <c r="I321" s="31" t="s">
        <v>641</v>
      </c>
      <c r="J321" s="32" t="n">
        <v>1.0</v>
      </c>
      <c r="K321" s="33" t="n">
        <f>93000</f>
        <v>93000.0</v>
      </c>
      <c r="L321" s="34" t="s">
        <v>48</v>
      </c>
      <c r="M321" s="33" t="n">
        <f>96300</f>
        <v>96300.0</v>
      </c>
      <c r="N321" s="34" t="s">
        <v>49</v>
      </c>
      <c r="O321" s="33" t="n">
        <f>92000</f>
        <v>92000.0</v>
      </c>
      <c r="P321" s="34" t="s">
        <v>62</v>
      </c>
      <c r="Q321" s="33" t="n">
        <f>94500</f>
        <v>94500.0</v>
      </c>
      <c r="R321" s="34" t="s">
        <v>51</v>
      </c>
      <c r="S321" s="35" t="n">
        <f>94763.64</f>
        <v>94763.64</v>
      </c>
      <c r="T321" s="32" t="n">
        <f>5302</f>
        <v>5302.0</v>
      </c>
      <c r="U321" s="32" t="n">
        <f>9</f>
        <v>9.0</v>
      </c>
      <c r="V321" s="32" t="n">
        <f>500701200</f>
        <v>5.007012E8</v>
      </c>
      <c r="W321" s="32" t="n">
        <f>853200</f>
        <v>853200.0</v>
      </c>
      <c r="X321" s="36" t="n">
        <f>22</f>
        <v>22.0</v>
      </c>
    </row>
    <row r="322">
      <c r="A322" s="27" t="s">
        <v>42</v>
      </c>
      <c r="B322" s="27" t="s">
        <v>1020</v>
      </c>
      <c r="C322" s="27" t="s">
        <v>1021</v>
      </c>
      <c r="D322" s="27" t="s">
        <v>1022</v>
      </c>
      <c r="E322" s="28" t="s">
        <v>46</v>
      </c>
      <c r="F322" s="29" t="s">
        <v>46</v>
      </c>
      <c r="G322" s="30" t="s">
        <v>46</v>
      </c>
      <c r="H322" s="31"/>
      <c r="I322" s="31" t="s">
        <v>641</v>
      </c>
      <c r="J322" s="32" t="n">
        <v>1.0</v>
      </c>
      <c r="K322" s="33" t="n">
        <f>94800</f>
        <v>94800.0</v>
      </c>
      <c r="L322" s="34" t="s">
        <v>48</v>
      </c>
      <c r="M322" s="33" t="n">
        <f>96500</f>
        <v>96500.0</v>
      </c>
      <c r="N322" s="34" t="s">
        <v>50</v>
      </c>
      <c r="O322" s="33" t="n">
        <f>93900</f>
        <v>93900.0</v>
      </c>
      <c r="P322" s="34" t="s">
        <v>90</v>
      </c>
      <c r="Q322" s="33" t="n">
        <f>94700</f>
        <v>94700.0</v>
      </c>
      <c r="R322" s="34" t="s">
        <v>51</v>
      </c>
      <c r="S322" s="35" t="n">
        <f>95040.91</f>
        <v>95040.91</v>
      </c>
      <c r="T322" s="32" t="n">
        <f>5546</f>
        <v>5546.0</v>
      </c>
      <c r="U322" s="32" t="str">
        <f>"－"</f>
        <v>－</v>
      </c>
      <c r="V322" s="32" t="n">
        <f>527596200</f>
        <v>5.275962E8</v>
      </c>
      <c r="W322" s="32" t="str">
        <f>"－"</f>
        <v>－</v>
      </c>
      <c r="X322" s="36" t="n">
        <f>22</f>
        <v>22.0</v>
      </c>
    </row>
  </sheetData>
  <mergeCells count="3">
    <mergeCell ref="N1:X3"/>
    <mergeCell ref="A2:M2"/>
    <mergeCell ref="A3:M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2019-03-19T12:06:25Z</dcterms:modified>
</cp:coreProperties>
</file>