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<sst xmlns="http://schemas.openxmlformats.org/spreadsheetml/2006/main" count="3881" uniqueCount="1028">
  <si>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</si>
  <si>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</si>
  <si>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</si>
  <si>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</si>
  <si>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</si>
  <si>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</si>
  <si>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</si>
  <si>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</si>
  <si>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</si>
  <si>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</si>
  <si>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</si>
  <si>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</si>
  <si>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</si>
  <si>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</si>
  <si>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</si>
  <si>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</si>
  <si>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</si>
  <si>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</si>
  <si>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</si>
  <si>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</si>
  <si>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</si>
  <si>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</si>
  <si>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</si>
  <si>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</si>
  <si>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</si>
  <si>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</si>
  <si>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</si>
  <si>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</si>
  <si>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</si>
  <si>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</si>
  <si>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</si>
  <si>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</si>
  <si>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</si>
  <si>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</si>
  <si>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</si>
  <si>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</si>
  <si>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</si>
  <si>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</si>
  <si>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</si>
  <si>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</si>
  <si>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</si>
  <si>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</si>
  <si>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2020/09</t>
  </si>
  <si>
    <t>1305</t>
  </si>
  <si>
    <t>ダイワ上場投信－トピックス　受益証券</t>
  </si>
  <si>
    <t>Daiwa ETF-TOPIX</t>
  </si>
  <si>
    <t/>
  </si>
  <si>
    <t>貸借</t>
  </si>
  <si>
    <t>1</t>
  </si>
  <si>
    <t>29</t>
  </si>
  <si>
    <t>9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</si>
  <si>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</si>
  <si>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</si>
  <si>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</si>
  <si>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</si>
  <si>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</si>
  <si>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</si>
  <si>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</si>
  <si>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</si>
  <si>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</si>
  <si>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</si>
  <si>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3</t>
  </si>
  <si>
    <t>11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</si>
  <si>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</si>
  <si>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</si>
  <si>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</si>
  <si>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</si>
  <si>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</si>
  <si>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</si>
  <si>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4</t>
  </si>
  <si>
    <t>1313</t>
  </si>
  <si>
    <t>サムスンＫＯＤＥＸ２００証券上場指数投資信託[株式]　受益証券</t>
  </si>
  <si>
    <t>SAMSUNG KODEX200 SECURITIES EXCHANGE TRADED FUND [STOCK]</t>
  </si>
  <si>
    <t>15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</si>
  <si>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</si>
  <si>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</si>
  <si>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</si>
  <si>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</si>
  <si>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</si>
  <si>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</si>
  <si>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</si>
  <si>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</si>
  <si>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</si>
  <si>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</si>
  <si>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</si>
  <si>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</si>
  <si>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28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</si>
  <si>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</si>
  <si>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</si>
  <si>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</si>
  <si>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18</t>
  </si>
  <si>
    <t>1324</t>
  </si>
  <si>
    <t>ＮＥＸＴ　ＦＵＮＤＳ　ロシア株式指数・ＲＴＳ連動型上場投信　受益証券</t>
  </si>
  <si>
    <t>NEXT FUNDS Russia RTS Linked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</si>
  <si>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</si>
  <si>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</si>
  <si>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</si>
  <si>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2</t>
  </si>
  <si>
    <t>24</t>
  </si>
  <si>
    <t>1326</t>
  </si>
  <si>
    <t>ＳＰＤＲゴールド・シェア　受益証券</t>
  </si>
  <si>
    <t>SPDR Gold Shares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</si>
  <si>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</si>
  <si>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</si>
  <si>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</si>
  <si>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</si>
  <si>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</si>
  <si>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</si>
  <si>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</si>
  <si>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</si>
  <si>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</si>
  <si>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</si>
  <si>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</si>
  <si>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</si>
  <si>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</si>
  <si>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</si>
  <si>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</si>
  <si>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</si>
  <si>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</si>
  <si>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</si>
  <si>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</si>
  <si>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</si>
  <si>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</si>
  <si>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</si>
  <si>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</si>
  <si>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</si>
  <si>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</si>
  <si>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</si>
  <si>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</si>
  <si>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</si>
  <si>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</si>
  <si>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</si>
  <si>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</si>
  <si>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</si>
  <si>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</si>
  <si>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</si>
  <si>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</si>
  <si>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</si>
  <si>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</si>
  <si>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</si>
  <si>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</si>
  <si>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</si>
  <si>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</si>
  <si>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</si>
  <si>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</si>
  <si>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</si>
  <si>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</si>
  <si>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</si>
  <si>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</si>
  <si>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</si>
  <si>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</si>
  <si>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</si>
  <si>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</si>
  <si>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</si>
  <si>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</si>
  <si>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</si>
  <si>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</si>
  <si>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</si>
  <si>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</si>
  <si>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</si>
  <si>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</si>
  <si>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</si>
  <si>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</si>
  <si>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</si>
  <si>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</si>
  <si>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</si>
  <si>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</si>
  <si>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</si>
  <si>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25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</si>
  <si>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</si>
  <si>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</si>
  <si>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</si>
  <si>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</si>
  <si>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</si>
  <si>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</si>
  <si>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10</t>
  </si>
  <si>
    <t>23</t>
  </si>
  <si>
    <t>1389</t>
  </si>
  <si>
    <t>ＵＢＳ　ＥＴＦ　英国大型株１００（ＦＴＳＥ　１００）　受益証券</t>
  </si>
  <si>
    <t>UBS ETF FTSE 100 UCITS ETF-JDR</t>
  </si>
  <si>
    <t>17</t>
  </si>
  <si>
    <t>1390</t>
  </si>
  <si>
    <t>ＵＢＳ　ＥＴＦ　ＭＳＣＩアジア太平洋株（除く日本）　受益証券</t>
  </si>
  <si>
    <t>UBS ETF MSCI Pacific (ex Japan) UCITS ETF-JDR</t>
  </si>
  <si>
    <t>16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</si>
  <si>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</si>
  <si>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</si>
  <si>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</si>
  <si>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</si>
  <si>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</si>
  <si>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</si>
  <si>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</si>
  <si>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</si>
  <si>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</si>
  <si>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</si>
  <si>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</si>
  <si>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</si>
  <si>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</si>
  <si>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</si>
  <si>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</si>
  <si>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</si>
  <si>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</si>
  <si>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</si>
  <si>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</si>
  <si>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</si>
  <si>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</si>
  <si>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</si>
  <si>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</si>
  <si>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</si>
  <si>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</si>
  <si>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</si>
  <si>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</si>
  <si>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</si>
  <si>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</si>
  <si>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</si>
  <si>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</si>
  <si>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</si>
  <si>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</si>
  <si>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</si>
  <si>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</si>
  <si>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</si>
  <si>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</si>
  <si>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</si>
  <si>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</si>
  <si>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</si>
  <si>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</si>
  <si>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</si>
  <si>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</si>
  <si>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</si>
  <si>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</si>
  <si>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</si>
  <si>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</si>
  <si>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</si>
  <si>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</si>
  <si>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</si>
  <si>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</si>
  <si>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</si>
  <si>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</si>
  <si>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</si>
  <si>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</si>
  <si>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</si>
  <si>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</si>
  <si>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</si>
  <si>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</si>
  <si>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</si>
  <si>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</si>
  <si>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</si>
  <si>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</si>
  <si>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</si>
  <si>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</si>
  <si>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</si>
  <si>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</si>
  <si>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</si>
  <si>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</si>
  <si>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</si>
  <si>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</si>
  <si>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</si>
  <si>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</si>
  <si>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</si>
  <si>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</si>
  <si>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</si>
  <si>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</si>
  <si>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</si>
  <si>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</si>
  <si>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</si>
  <si>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</si>
  <si>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</si>
  <si>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</si>
  <si>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</si>
  <si>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</si>
  <si>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</si>
  <si>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</si>
  <si>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</si>
  <si>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</si>
  <si>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</si>
  <si>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</si>
  <si>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</si>
  <si>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</si>
  <si>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</si>
  <si>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7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</si>
  <si>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</si>
  <si>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</si>
  <si>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</si>
  <si>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</si>
  <si>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</si>
  <si>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</si>
  <si>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</si>
  <si>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</si>
  <si>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</si>
  <si>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</si>
  <si>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</si>
  <si>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</si>
  <si>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</si>
  <si>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</si>
  <si>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</si>
  <si>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</si>
  <si>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</si>
  <si>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</si>
  <si>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</si>
  <si>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</si>
  <si>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</si>
  <si>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</si>
  <si>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</si>
  <si>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</si>
  <si>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</si>
  <si>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</si>
  <si>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</si>
  <si>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</si>
  <si>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</si>
  <si>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</si>
  <si>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</si>
  <si>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</si>
  <si>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</si>
  <si>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</si>
  <si>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</si>
  <si>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</si>
  <si>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</si>
  <si>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</si>
  <si>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</si>
  <si>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</si>
  <si>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</si>
  <si>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</si>
  <si>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</si>
  <si>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</si>
  <si>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</si>
  <si>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</si>
  <si>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</si>
  <si>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</si>
  <si>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</si>
  <si>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</si>
  <si>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</si>
  <si>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</si>
  <si>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</si>
  <si>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</si>
  <si>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</si>
  <si>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</si>
  <si>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</si>
  <si>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</si>
  <si>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</si>
  <si>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</si>
  <si>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</si>
  <si>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</si>
  <si>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</si>
  <si>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</si>
  <si>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</si>
  <si>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</si>
  <si>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</si>
  <si>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</si>
  <si>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</si>
  <si>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</si>
  <si>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</si>
  <si>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</si>
  <si>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</si>
  <si>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</si>
  <si>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</si>
  <si>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</si>
  <si>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</si>
  <si>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</si>
  <si>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</si>
  <si>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</si>
  <si>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</si>
  <si>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</si>
  <si>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</si>
  <si>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</si>
  <si>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</si>
  <si>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</si>
  <si>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</si>
  <si>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</si>
  <si>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</si>
  <si>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</si>
  <si>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8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</si>
  <si>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</si>
  <si>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</si>
  <si>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</si>
  <si>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</si>
  <si>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</si>
  <si>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</si>
  <si>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</si>
  <si>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</si>
  <si>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</si>
  <si>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</si>
  <si>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</si>
  <si>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</si>
  <si>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</si>
  <si>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</si>
  <si>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</si>
  <si>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</si>
  <si>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</si>
  <si>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</si>
  <si>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</si>
  <si>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</si>
  <si>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</si>
  <si>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</si>
  <si>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</si>
  <si>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</si>
  <si>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</si>
  <si>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</si>
  <si>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</si>
  <si>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</si>
  <si>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</si>
  <si>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</si>
  <si>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</si>
  <si>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</si>
  <si>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</si>
  <si>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</si>
  <si>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</si>
  <si>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</si>
  <si>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</si>
  <si>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</si>
  <si>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</si>
  <si>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</si>
  <si>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</si>
  <si>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</si>
  <si>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</si>
  <si>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</si>
  <si>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</si>
  <si>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</si>
  <si>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</si>
  <si>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</si>
  <si>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</si>
  <si>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</si>
  <si>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</si>
  <si>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</si>
  <si>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</si>
  <si>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</si>
  <si>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</si>
  <si>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</si>
  <si>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</si>
  <si>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</si>
  <si>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</si>
  <si>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</si>
  <si>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</si>
  <si>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</si>
  <si>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</si>
  <si>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</si>
  <si>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</si>
  <si>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</si>
  <si>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</si>
  <si>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</si>
  <si>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</si>
  <si>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</si>
  <si>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</si>
  <si>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</si>
  <si>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</si>
  <si>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</si>
  <si>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</si>
  <si>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</si>
  <si>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</si>
  <si>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</si>
  <si>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</si>
  <si>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</si>
  <si>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</si>
  <si>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</si>
  <si>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</si>
  <si>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</si>
  <si>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</si>
  <si>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</si>
  <si>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</si>
  <si>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</si>
  <si>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</si>
  <si>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</si>
  <si>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</si>
  <si>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</si>
  <si>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</si>
  <si>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</si>
  <si>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</si>
  <si>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</si>
  <si>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</si>
  <si>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</si>
  <si>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</si>
  <si>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</si>
  <si>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</si>
  <si>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</si>
  <si>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</si>
  <si>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</si>
  <si>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</si>
  <si>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</si>
  <si>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</si>
  <si>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</si>
  <si>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</si>
  <si>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</si>
  <si>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</si>
  <si>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</si>
  <si>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</si>
  <si>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</si>
  <si>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</si>
  <si>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</si>
  <si>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</si>
  <si>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</si>
  <si>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</si>
  <si>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</si>
  <si>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</si>
  <si>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</si>
  <si>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</si>
  <si>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</si>
  <si>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</si>
  <si>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</si>
  <si>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</si>
  <si>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</si>
  <si>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</si>
  <si>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</si>
  <si>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</si>
  <si>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</si>
  <si>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</si>
  <si>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</si>
  <si>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</si>
  <si>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</si>
  <si>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</si>
  <si>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</si>
  <si>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</si>
  <si>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</si>
  <si>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</si>
  <si>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</si>
  <si>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</si>
  <si>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</si>
  <si>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</si>
  <si>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</si>
  <si>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</si>
  <si>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</si>
  <si>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</si>
  <si>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</si>
  <si>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</si>
  <si>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</si>
  <si>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</si>
  <si>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</si>
  <si>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</si>
  <si>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</si>
  <si>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</si>
  <si>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</si>
  <si>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</si>
  <si>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</si>
  <si>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</si>
  <si>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</si>
  <si>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</si>
  <si>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</si>
  <si>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</si>
  <si>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</si>
  <si>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</si>
  <si>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</si>
  <si>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</si>
  <si>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</si>
  <si>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</si>
  <si>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</si>
  <si>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</si>
  <si>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</si>
  <si>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</si>
  <si>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</si>
  <si>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</si>
  <si>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</si>
  <si>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</si>
  <si>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</si>
  <si>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</si>
  <si>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</si>
  <si>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</si>
  <si>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</si>
  <si>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</si>
  <si>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</si>
  <si>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</si>
  <si>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</si>
  <si>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</si>
  <si>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</si>
  <si>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</si>
  <si>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</si>
  <si>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</si>
  <si>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</si>
  <si>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</si>
  <si>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</si>
  <si>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</si>
  <si>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</si>
  <si>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</si>
  <si>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</si>
  <si>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</si>
  <si>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</si>
  <si>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</si>
  <si>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</si>
  <si>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</si>
  <si>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</si>
  <si>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</si>
  <si>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</si>
  <si>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</si>
  <si>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</si>
  <si>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</si>
  <si>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</si>
  <si>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</si>
  <si>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</si>
  <si>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</si>
  <si>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</si>
  <si>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</si>
  <si>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</si>
  <si>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</si>
  <si>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</si>
  <si>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</si>
  <si>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</si>
  <si>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</si>
  <si>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</si>
  <si>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</si>
  <si>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</si>
  <si>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</si>
  <si>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</si>
  <si>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</si>
  <si>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</si>
  <si>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</si>
  <si>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</si>
  <si>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</si>
  <si>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</si>
  <si>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</si>
  <si>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</si>
  <si>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</si>
  <si>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</si>
  <si>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</si>
  <si>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</si>
  <si>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</si>
  <si>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</si>
  <si>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</si>
  <si>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</si>
  <si>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</si>
  <si>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</si>
  <si>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</si>
  <si>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</si>
  <si>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</si>
  <si>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</si>
  <si>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</si>
  <si>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</si>
  <si>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</si>
  <si>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</si>
  <si>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</si>
  <si>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</si>
  <si>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</si>
  <si>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</si>
  <si>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</si>
  <si>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</si>
  <si>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</si>
  <si>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</si>
  <si>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</si>
  <si>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</si>
  <si>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</si>
  <si>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</si>
  <si>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</si>
  <si>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</si>
  <si>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</si>
  <si>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</si>
  <si>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</si>
  <si>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</si>
  <si>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</si>
  <si>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</si>
  <si>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</si>
  <si>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</si>
  <si>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</si>
  <si>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</si>
  <si>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</si>
  <si>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</si>
  <si>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</si>
  <si>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</si>
  <si>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</si>
  <si>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</si>
  <si>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</si>
  <si>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</si>
  <si>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</si>
  <si>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</si>
  <si>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</si>
  <si>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</si>
  <si>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</si>
  <si>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</si>
  <si>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</si>
  <si>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</si>
  <si>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</si>
  <si>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</si>
  <si>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</si>
  <si>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</si>
  <si>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</si>
  <si>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</si>
  <si>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</si>
  <si>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</si>
  <si>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</si>
  <si>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</si>
  <si>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</si>
  <si>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</si>
  <si>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</si>
  <si>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</si>
  <si>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</si>
  <si>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</si>
  <si>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</si>
  <si>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</si>
  <si>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</si>
  <si>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</si>
  <si>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</si>
  <si>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</si>
  <si>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</si>
  <si>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</si>
  <si>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</si>
  <si>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</si>
  <si>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</si>
  <si>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</si>
  <si>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</si>
  <si>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</si>
  <si>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</si>
  <si>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</si>
  <si>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</si>
  <si>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</si>
  <si>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</si>
  <si>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</si>
  <si>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</si>
  <si>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</si>
  <si>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</si>
  <si>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</si>
  <si>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</si>
  <si>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</si>
  <si>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</si>
  <si>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</si>
  <si>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</si>
  <si>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</si>
  <si>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</si>
  <si>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</si>
  <si>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</si>
  <si>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</si>
  <si>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</si>
  <si>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</si>
  <si>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</si>
  <si>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</si>
  <si>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</si>
  <si>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</si>
  <si>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</si>
  <si>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</si>
  <si>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</si>
  <si>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</si>
  <si>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</si>
  <si>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</si>
  <si>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</si>
  <si>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</si>
  <si>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</si>
  <si>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</si>
  <si>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</si>
  <si>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</si>
  <si>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</si>
  <si>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</si>
  <si>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</si>
  <si>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</si>
  <si>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</si>
  <si>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</si>
  <si>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</si>
  <si>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</si>
  <si>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</si>
  <si>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</si>
  <si>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</si>
  <si>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</si>
  <si>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</si>
  <si>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</si>
  <si>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</si>
  <si>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</si>
  <si>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</si>
  <si>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</si>
  <si>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</si>
  <si>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</si>
  <si>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</si>
  <si>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</si>
  <si>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</si>
  <si>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</si>
  <si>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</si>
  <si>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</si>
  <si>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</si>
  <si>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</si>
  <si>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</si>
  <si>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</si>
  <si>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</si>
  <si>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</si>
  <si>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</si>
  <si>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</si>
  <si>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</si>
  <si>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</si>
  <si>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</si>
  <si>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</si>
  <si>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</si>
  <si>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</si>
  <si>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</si>
  <si>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</si>
  <si>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</si>
  <si>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</si>
  <si>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</si>
  <si>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</si>
  <si>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</si>
  <si>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</si>
  <si>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</si>
  <si>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</si>
  <si>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</si>
  <si>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</si>
  <si>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</si>
  <si>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</si>
  <si>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</si>
  <si>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</si>
  <si>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</si>
  <si>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</si>
  <si>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</si>
  <si>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</si>
  <si>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</si>
  <si>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</si>
  <si>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</si>
  <si>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</si>
  <si>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</si>
  <si>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</si>
  <si>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</si>
  <si>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</si>
  <si>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</si>
  <si>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</si>
  <si>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</si>
  <si>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</si>
  <si>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</si>
  <si>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</si>
  <si>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 xml:space="preserve">新規上場  </t>
  </si>
  <si>
    <t xml:space="preserve">New Listing  </t>
  </si>
  <si>
    <t xml:space="preserve">2020/09/07  </t>
  </si>
  <si>
    <t>2567</t>
  </si>
  <si>
    <t>ＮＺＡＭ　上場投信　Ｓ＆Ｐ／ＪＰＸカーボン・エフィシェント指数　受益証券</t>
  </si>
  <si>
    <t>NZAM ETF S&amp;P/JPX Carbon Efficient Index</t>
  </si>
  <si>
    <t xml:space="preserve">2020/09/11  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</si>
  <si>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</si>
  <si>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</si>
  <si>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</si>
  <si>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 xml:space="preserve">2020/09/24  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</si>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</sst>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25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1682</f>
        <v>1682.0</v>
      </c>
      <c r="L7" s="34" t="s">
        <v>48</v>
      </c>
      <c r="M7" s="33" t="n">
        <f>1753</f>
        <v>1753.0</v>
      </c>
      <c r="N7" s="34" t="s">
        <v>49</v>
      </c>
      <c r="O7" s="33" t="n">
        <f>1660</f>
        <v>1660.0</v>
      </c>
      <c r="P7" s="34" t="s">
        <v>50</v>
      </c>
      <c r="Q7" s="33" t="n">
        <f>1704</f>
        <v>1704.0</v>
      </c>
      <c r="R7" s="34" t="s">
        <v>51</v>
      </c>
      <c r="S7" s="35" t="n">
        <f>1702.5</f>
        <v>1702.5</v>
      </c>
      <c r="T7" s="32" t="n">
        <f>15550100</f>
        <v>1.55501E7</v>
      </c>
      <c r="U7" s="32" t="n">
        <f>6203370</f>
        <v>6203370.0</v>
      </c>
      <c r="V7" s="32" t="n">
        <f>26218416154</f>
        <v>2.6218416154E10</v>
      </c>
      <c r="W7" s="32" t="n">
        <f>10325225544</f>
        <v>1.0325225544E10</v>
      </c>
      <c r="X7" s="36" t="n">
        <f>20</f>
        <v>20.0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1662</f>
        <v>1662.0</v>
      </c>
      <c r="L8" s="34" t="s">
        <v>48</v>
      </c>
      <c r="M8" s="33" t="n">
        <f>1733</f>
        <v>1733.0</v>
      </c>
      <c r="N8" s="34" t="s">
        <v>49</v>
      </c>
      <c r="O8" s="33" t="n">
        <f>1639</f>
        <v>1639.0</v>
      </c>
      <c r="P8" s="34" t="s">
        <v>50</v>
      </c>
      <c r="Q8" s="33" t="n">
        <f>1686</f>
        <v>1686.0</v>
      </c>
      <c r="R8" s="34" t="s">
        <v>51</v>
      </c>
      <c r="S8" s="35" t="n">
        <f>1682.45</f>
        <v>1682.45</v>
      </c>
      <c r="T8" s="32" t="n">
        <f>58654410</f>
        <v>5.865441E7</v>
      </c>
      <c r="U8" s="32" t="n">
        <f>15729920</f>
        <v>1.572992E7</v>
      </c>
      <c r="V8" s="32" t="n">
        <f>98426538760</f>
        <v>9.842653876E10</v>
      </c>
      <c r="W8" s="32" t="n">
        <f>26441359940</f>
        <v>2.644135994E10</v>
      </c>
      <c r="X8" s="36" t="n">
        <f>20</f>
        <v>20.0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1644</f>
        <v>1644.0</v>
      </c>
      <c r="L9" s="34" t="s">
        <v>48</v>
      </c>
      <c r="M9" s="33" t="n">
        <f>1714</f>
        <v>1714.0</v>
      </c>
      <c r="N9" s="34" t="s">
        <v>49</v>
      </c>
      <c r="O9" s="33" t="n">
        <f>1623</f>
        <v>1623.0</v>
      </c>
      <c r="P9" s="34" t="s">
        <v>50</v>
      </c>
      <c r="Q9" s="33" t="n">
        <f>1668</f>
        <v>1668.0</v>
      </c>
      <c r="R9" s="34" t="s">
        <v>51</v>
      </c>
      <c r="S9" s="35" t="n">
        <f>1664.65</f>
        <v>1664.65</v>
      </c>
      <c r="T9" s="32" t="n">
        <f>8064800</f>
        <v>8064800.0</v>
      </c>
      <c r="U9" s="32" t="n">
        <f>1200</f>
        <v>1200.0</v>
      </c>
      <c r="V9" s="32" t="n">
        <f>13481270800</f>
        <v>1.34812708E10</v>
      </c>
      <c r="W9" s="32" t="n">
        <f>1994000</f>
        <v>1994000.0</v>
      </c>
      <c r="X9" s="36" t="n">
        <f>20</f>
        <v>20.0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39650</f>
        <v>39650.0</v>
      </c>
      <c r="L10" s="34" t="s">
        <v>48</v>
      </c>
      <c r="M10" s="33" t="n">
        <f>39750</f>
        <v>39750.0</v>
      </c>
      <c r="N10" s="34" t="s">
        <v>61</v>
      </c>
      <c r="O10" s="33" t="n">
        <f>37550</f>
        <v>37550.0</v>
      </c>
      <c r="P10" s="34" t="s">
        <v>62</v>
      </c>
      <c r="Q10" s="33" t="n">
        <f>38250</f>
        <v>38250.0</v>
      </c>
      <c r="R10" s="34" t="s">
        <v>51</v>
      </c>
      <c r="S10" s="35" t="n">
        <f>38532.5</f>
        <v>38532.5</v>
      </c>
      <c r="T10" s="32" t="n">
        <f>5128</f>
        <v>5128.0</v>
      </c>
      <c r="U10" s="32" t="str">
        <f>"－"</f>
        <v>－</v>
      </c>
      <c r="V10" s="32" t="n">
        <f>197287900</f>
        <v>1.972879E8</v>
      </c>
      <c r="W10" s="32" t="str">
        <f>"－"</f>
        <v>－</v>
      </c>
      <c r="X10" s="36" t="n">
        <f>20</f>
        <v>20.0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730</f>
        <v>730.0</v>
      </c>
      <c r="L11" s="34" t="s">
        <v>48</v>
      </c>
      <c r="M11" s="33" t="n">
        <f>749</f>
        <v>749.0</v>
      </c>
      <c r="N11" s="34" t="s">
        <v>49</v>
      </c>
      <c r="O11" s="33" t="n">
        <f>712</f>
        <v>712.0</v>
      </c>
      <c r="P11" s="34" t="s">
        <v>50</v>
      </c>
      <c r="Q11" s="33" t="n">
        <f>731</f>
        <v>731.0</v>
      </c>
      <c r="R11" s="34" t="s">
        <v>51</v>
      </c>
      <c r="S11" s="35" t="n">
        <f>730.65</f>
        <v>730.65</v>
      </c>
      <c r="T11" s="32" t="n">
        <f>78880</f>
        <v>78880.0</v>
      </c>
      <c r="U11" s="32" t="str">
        <f>"－"</f>
        <v>－</v>
      </c>
      <c r="V11" s="32" t="n">
        <f>57795580</f>
        <v>5.779558E7</v>
      </c>
      <c r="W11" s="32" t="str">
        <f>"－"</f>
        <v>－</v>
      </c>
      <c r="X11" s="36" t="n">
        <f>20</f>
        <v>20.0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18630</f>
        <v>18630.0</v>
      </c>
      <c r="L12" s="34" t="s">
        <v>48</v>
      </c>
      <c r="M12" s="33" t="n">
        <f>20030</f>
        <v>20030.0</v>
      </c>
      <c r="N12" s="34" t="s">
        <v>49</v>
      </c>
      <c r="O12" s="33" t="n">
        <f>18400</f>
        <v>18400.0</v>
      </c>
      <c r="P12" s="34" t="s">
        <v>69</v>
      </c>
      <c r="Q12" s="33" t="n">
        <f>20000</f>
        <v>20000.0</v>
      </c>
      <c r="R12" s="34" t="s">
        <v>51</v>
      </c>
      <c r="S12" s="35" t="n">
        <f>19150</f>
        <v>19150.0</v>
      </c>
      <c r="T12" s="32" t="n">
        <f>352</f>
        <v>352.0</v>
      </c>
      <c r="U12" s="32" t="str">
        <f>"－"</f>
        <v>－</v>
      </c>
      <c r="V12" s="32" t="n">
        <f>6639890</f>
        <v>6639890.0</v>
      </c>
      <c r="W12" s="32" t="str">
        <f>"－"</f>
        <v>－</v>
      </c>
      <c r="X12" s="36" t="n">
        <f>16</f>
        <v>16.0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2800</f>
        <v>2800.0</v>
      </c>
      <c r="L13" s="34" t="s">
        <v>48</v>
      </c>
      <c r="M13" s="33" t="n">
        <f>3045</f>
        <v>3045.0</v>
      </c>
      <c r="N13" s="34" t="s">
        <v>73</v>
      </c>
      <c r="O13" s="33" t="n">
        <f>2713</f>
        <v>2713.0</v>
      </c>
      <c r="P13" s="34" t="s">
        <v>69</v>
      </c>
      <c r="Q13" s="33" t="n">
        <f>2775</f>
        <v>2775.0</v>
      </c>
      <c r="R13" s="34" t="s">
        <v>51</v>
      </c>
      <c r="S13" s="35" t="n">
        <f>2808.94</f>
        <v>2808.94</v>
      </c>
      <c r="T13" s="32" t="n">
        <f>6580</f>
        <v>6580.0</v>
      </c>
      <c r="U13" s="32" t="str">
        <f>"－"</f>
        <v>－</v>
      </c>
      <c r="V13" s="32" t="n">
        <f>19103070</f>
        <v>1.910307E7</v>
      </c>
      <c r="W13" s="32" t="str">
        <f>"－"</f>
        <v>－</v>
      </c>
      <c r="X13" s="36" t="n">
        <f>18</f>
        <v>18.0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308</f>
        <v>308.0</v>
      </c>
      <c r="L14" s="34" t="s">
        <v>48</v>
      </c>
      <c r="M14" s="33" t="n">
        <f>321</f>
        <v>321.0</v>
      </c>
      <c r="N14" s="34" t="s">
        <v>51</v>
      </c>
      <c r="O14" s="33" t="n">
        <f>299</f>
        <v>299.0</v>
      </c>
      <c r="P14" s="34" t="s">
        <v>50</v>
      </c>
      <c r="Q14" s="33" t="n">
        <f>319</f>
        <v>319.0</v>
      </c>
      <c r="R14" s="34" t="s">
        <v>51</v>
      </c>
      <c r="S14" s="35" t="n">
        <f>308.59</f>
        <v>308.59</v>
      </c>
      <c r="T14" s="32" t="n">
        <f>196000</f>
        <v>196000.0</v>
      </c>
      <c r="U14" s="32" t="str">
        <f>"－"</f>
        <v>－</v>
      </c>
      <c r="V14" s="32" t="n">
        <f>60455000</f>
        <v>6.0455E7</v>
      </c>
      <c r="W14" s="32" t="str">
        <f>"－"</f>
        <v>－</v>
      </c>
      <c r="X14" s="36" t="n">
        <f>17</f>
        <v>17.0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23600</f>
        <v>23600.0</v>
      </c>
      <c r="L15" s="34" t="s">
        <v>48</v>
      </c>
      <c r="M15" s="33" t="n">
        <f>24260</f>
        <v>24260.0</v>
      </c>
      <c r="N15" s="34" t="s">
        <v>49</v>
      </c>
      <c r="O15" s="33" t="n">
        <f>23380</f>
        <v>23380.0</v>
      </c>
      <c r="P15" s="34" t="s">
        <v>50</v>
      </c>
      <c r="Q15" s="33" t="n">
        <f>23820</f>
        <v>23820.0</v>
      </c>
      <c r="R15" s="34" t="s">
        <v>51</v>
      </c>
      <c r="S15" s="35" t="n">
        <f>23818</f>
        <v>23818.0</v>
      </c>
      <c r="T15" s="32" t="n">
        <f>1824236</f>
        <v>1824236.0</v>
      </c>
      <c r="U15" s="32" t="n">
        <f>804874</f>
        <v>804874.0</v>
      </c>
      <c r="V15" s="32" t="n">
        <f>43379393171</f>
        <v>4.3379393171E10</v>
      </c>
      <c r="W15" s="32" t="n">
        <f>19146823291</f>
        <v>1.9146823291E10</v>
      </c>
      <c r="X15" s="36" t="n">
        <f>20</f>
        <v>20.0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23660</f>
        <v>23660.0</v>
      </c>
      <c r="L16" s="34" t="s">
        <v>48</v>
      </c>
      <c r="M16" s="33" t="n">
        <f>24320</f>
        <v>24320.0</v>
      </c>
      <c r="N16" s="34" t="s">
        <v>49</v>
      </c>
      <c r="O16" s="33" t="n">
        <f>23430</f>
        <v>23430.0</v>
      </c>
      <c r="P16" s="34" t="s">
        <v>50</v>
      </c>
      <c r="Q16" s="33" t="n">
        <f>23880</f>
        <v>23880.0</v>
      </c>
      <c r="R16" s="34" t="s">
        <v>51</v>
      </c>
      <c r="S16" s="35" t="n">
        <f>23877</f>
        <v>23877.0</v>
      </c>
      <c r="T16" s="32" t="n">
        <f>4491451</f>
        <v>4491451.0</v>
      </c>
      <c r="U16" s="32" t="n">
        <f>122724</f>
        <v>122724.0</v>
      </c>
      <c r="V16" s="32" t="n">
        <f>107190037725</f>
        <v>1.07190037725E11</v>
      </c>
      <c r="W16" s="32" t="n">
        <f>2942328355</f>
        <v>2.942328355E9</v>
      </c>
      <c r="X16" s="36" t="n">
        <f>20</f>
        <v>20.0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7150</f>
        <v>7150.0</v>
      </c>
      <c r="L17" s="34" t="s">
        <v>48</v>
      </c>
      <c r="M17" s="33" t="n">
        <f>7420</f>
        <v>7420.0</v>
      </c>
      <c r="N17" s="34" t="s">
        <v>48</v>
      </c>
      <c r="O17" s="33" t="n">
        <f>6760</f>
        <v>6760.0</v>
      </c>
      <c r="P17" s="34" t="s">
        <v>86</v>
      </c>
      <c r="Q17" s="33" t="n">
        <f>6840</f>
        <v>6840.0</v>
      </c>
      <c r="R17" s="34" t="s">
        <v>51</v>
      </c>
      <c r="S17" s="35" t="n">
        <f>6955</f>
        <v>6955.0</v>
      </c>
      <c r="T17" s="32" t="n">
        <f>14310</f>
        <v>14310.0</v>
      </c>
      <c r="U17" s="32" t="str">
        <f>"－"</f>
        <v>－</v>
      </c>
      <c r="V17" s="32" t="n">
        <f>100857600</f>
        <v>1.008576E8</v>
      </c>
      <c r="W17" s="32" t="str">
        <f>"－"</f>
        <v>－</v>
      </c>
      <c r="X17" s="36" t="n">
        <f>20</f>
        <v>20.0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314</f>
        <v>314.0</v>
      </c>
      <c r="L18" s="34" t="s">
        <v>48</v>
      </c>
      <c r="M18" s="33" t="n">
        <f>326</f>
        <v>326.0</v>
      </c>
      <c r="N18" s="34" t="s">
        <v>90</v>
      </c>
      <c r="O18" s="33" t="n">
        <f>310</f>
        <v>310.0</v>
      </c>
      <c r="P18" s="34" t="s">
        <v>50</v>
      </c>
      <c r="Q18" s="33" t="n">
        <f>319</f>
        <v>319.0</v>
      </c>
      <c r="R18" s="34" t="s">
        <v>51</v>
      </c>
      <c r="S18" s="35" t="n">
        <f>317.4</f>
        <v>317.4</v>
      </c>
      <c r="T18" s="32" t="n">
        <f>26900</f>
        <v>26900.0</v>
      </c>
      <c r="U18" s="32" t="str">
        <f>"－"</f>
        <v>－</v>
      </c>
      <c r="V18" s="32" t="n">
        <f>8588100</f>
        <v>8588100.0</v>
      </c>
      <c r="W18" s="32" t="str">
        <f>"－"</f>
        <v>－</v>
      </c>
      <c r="X18" s="36" t="n">
        <f>20</f>
        <v>20.0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135</f>
        <v>135.0</v>
      </c>
      <c r="L19" s="34" t="s">
        <v>48</v>
      </c>
      <c r="M19" s="33" t="n">
        <f>136</f>
        <v>136.0</v>
      </c>
      <c r="N19" s="34" t="s">
        <v>48</v>
      </c>
      <c r="O19" s="33" t="n">
        <f>129</f>
        <v>129.0</v>
      </c>
      <c r="P19" s="34" t="s">
        <v>51</v>
      </c>
      <c r="Q19" s="33" t="n">
        <f>130</f>
        <v>130.0</v>
      </c>
      <c r="R19" s="34" t="s">
        <v>51</v>
      </c>
      <c r="S19" s="35" t="n">
        <f>133.05</f>
        <v>133.05</v>
      </c>
      <c r="T19" s="32" t="n">
        <f>228500</f>
        <v>228500.0</v>
      </c>
      <c r="U19" s="32" t="n">
        <f>4100</f>
        <v>4100.0</v>
      </c>
      <c r="V19" s="32" t="n">
        <f>30292500</f>
        <v>3.02925E7</v>
      </c>
      <c r="W19" s="32" t="n">
        <f>537100</f>
        <v>537100.0</v>
      </c>
      <c r="X19" s="36" t="n">
        <f>20</f>
        <v>20.0</v>
      </c>
    </row>
    <row r="20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159</f>
        <v>159.0</v>
      </c>
      <c r="L20" s="34" t="s">
        <v>48</v>
      </c>
      <c r="M20" s="33" t="n">
        <f>160</f>
        <v>160.0</v>
      </c>
      <c r="N20" s="34" t="s">
        <v>97</v>
      </c>
      <c r="O20" s="33" t="n">
        <f>150</f>
        <v>150.0</v>
      </c>
      <c r="P20" s="34" t="s">
        <v>98</v>
      </c>
      <c r="Q20" s="33" t="n">
        <f>150</f>
        <v>150.0</v>
      </c>
      <c r="R20" s="34" t="s">
        <v>51</v>
      </c>
      <c r="S20" s="35" t="n">
        <f>155.45</f>
        <v>155.45</v>
      </c>
      <c r="T20" s="32" t="n">
        <f>261200</f>
        <v>261200.0</v>
      </c>
      <c r="U20" s="32" t="str">
        <f>"－"</f>
        <v>－</v>
      </c>
      <c r="V20" s="32" t="n">
        <f>40569500</f>
        <v>4.05695E7</v>
      </c>
      <c r="W20" s="32" t="str">
        <f>"－"</f>
        <v>－</v>
      </c>
      <c r="X20" s="36" t="n">
        <f>20</f>
        <v>20.0</v>
      </c>
    </row>
    <row r="21">
      <c r="A21" s="27" t="s">
        <v>42</v>
      </c>
      <c r="B21" s="27" t="s">
        <v>99</v>
      </c>
      <c r="C21" s="27" t="s">
        <v>100</v>
      </c>
      <c r="D21" s="27" t="s">
        <v>101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19600</f>
        <v>19600.0</v>
      </c>
      <c r="L21" s="34" t="s">
        <v>48</v>
      </c>
      <c r="M21" s="33" t="n">
        <f>19760</f>
        <v>19760.0</v>
      </c>
      <c r="N21" s="34" t="s">
        <v>48</v>
      </c>
      <c r="O21" s="33" t="n">
        <f>18310</f>
        <v>18310.0</v>
      </c>
      <c r="P21" s="34" t="s">
        <v>98</v>
      </c>
      <c r="Q21" s="33" t="n">
        <f>18710</f>
        <v>18710.0</v>
      </c>
      <c r="R21" s="34" t="s">
        <v>51</v>
      </c>
      <c r="S21" s="35" t="n">
        <f>19106</f>
        <v>19106.0</v>
      </c>
      <c r="T21" s="32" t="n">
        <f>422095</f>
        <v>422095.0</v>
      </c>
      <c r="U21" s="32" t="str">
        <f>"－"</f>
        <v>－</v>
      </c>
      <c r="V21" s="32" t="n">
        <f>8016795750</f>
        <v>8.01679575E9</v>
      </c>
      <c r="W21" s="32" t="str">
        <f>"－"</f>
        <v>－</v>
      </c>
      <c r="X21" s="36" t="n">
        <f>20</f>
        <v>20.0</v>
      </c>
    </row>
    <row r="22">
      <c r="A22" s="27" t="s">
        <v>42</v>
      </c>
      <c r="B22" s="27" t="s">
        <v>102</v>
      </c>
      <c r="C22" s="27" t="s">
        <v>103</v>
      </c>
      <c r="D22" s="27" t="s">
        <v>104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2766</f>
        <v>2766.0</v>
      </c>
      <c r="L22" s="34" t="s">
        <v>48</v>
      </c>
      <c r="M22" s="33" t="n">
        <f>2810</f>
        <v>2810.0</v>
      </c>
      <c r="N22" s="34" t="s">
        <v>97</v>
      </c>
      <c r="O22" s="33" t="n">
        <f>2642</f>
        <v>2642.0</v>
      </c>
      <c r="P22" s="34" t="s">
        <v>50</v>
      </c>
      <c r="Q22" s="33" t="n">
        <f>2760</f>
        <v>2760.0</v>
      </c>
      <c r="R22" s="34" t="s">
        <v>51</v>
      </c>
      <c r="S22" s="35" t="n">
        <f>2738.8</f>
        <v>2738.8</v>
      </c>
      <c r="T22" s="32" t="n">
        <f>3621</f>
        <v>3621.0</v>
      </c>
      <c r="U22" s="32" t="str">
        <f>"－"</f>
        <v>－</v>
      </c>
      <c r="V22" s="32" t="n">
        <f>9858931</f>
        <v>9858931.0</v>
      </c>
      <c r="W22" s="32" t="str">
        <f>"－"</f>
        <v>－</v>
      </c>
      <c r="X22" s="36" t="n">
        <f>20</f>
        <v>20.0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5410</f>
        <v>5410.0</v>
      </c>
      <c r="L23" s="34" t="s">
        <v>48</v>
      </c>
      <c r="M23" s="33" t="n">
        <f>5410</f>
        <v>5410.0</v>
      </c>
      <c r="N23" s="34" t="s">
        <v>48</v>
      </c>
      <c r="O23" s="33" t="n">
        <f>5000</f>
        <v>5000.0</v>
      </c>
      <c r="P23" s="34" t="s">
        <v>98</v>
      </c>
      <c r="Q23" s="33" t="n">
        <f>5120</f>
        <v>5120.0</v>
      </c>
      <c r="R23" s="34" t="s">
        <v>51</v>
      </c>
      <c r="S23" s="35" t="n">
        <f>5233</f>
        <v>5233.0</v>
      </c>
      <c r="T23" s="32" t="n">
        <f>424900</f>
        <v>424900.0</v>
      </c>
      <c r="U23" s="32" t="str">
        <f>"－"</f>
        <v>－</v>
      </c>
      <c r="V23" s="32" t="n">
        <f>2214328800</f>
        <v>2.2143288E9</v>
      </c>
      <c r="W23" s="32" t="str">
        <f>"－"</f>
        <v>－</v>
      </c>
      <c r="X23" s="36" t="n">
        <f>20</f>
        <v>20.0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23760</f>
        <v>23760.0</v>
      </c>
      <c r="L24" s="34" t="s">
        <v>48</v>
      </c>
      <c r="M24" s="33" t="n">
        <f>24410</f>
        <v>24410.0</v>
      </c>
      <c r="N24" s="34" t="s">
        <v>49</v>
      </c>
      <c r="O24" s="33" t="n">
        <f>23530</f>
        <v>23530.0</v>
      </c>
      <c r="P24" s="34" t="s">
        <v>50</v>
      </c>
      <c r="Q24" s="33" t="n">
        <f>23970</f>
        <v>23970.0</v>
      </c>
      <c r="R24" s="34" t="s">
        <v>51</v>
      </c>
      <c r="S24" s="35" t="n">
        <f>23969</f>
        <v>23969.0</v>
      </c>
      <c r="T24" s="32" t="n">
        <f>397339</f>
        <v>397339.0</v>
      </c>
      <c r="U24" s="32" t="n">
        <f>85566</f>
        <v>85566.0</v>
      </c>
      <c r="V24" s="32" t="n">
        <f>9523516286</f>
        <v>9.523516286E9</v>
      </c>
      <c r="W24" s="32" t="n">
        <f>2054149226</f>
        <v>2.054149226E9</v>
      </c>
      <c r="X24" s="36" t="n">
        <f>20</f>
        <v>20.0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23700</f>
        <v>23700.0</v>
      </c>
      <c r="L25" s="34" t="s">
        <v>48</v>
      </c>
      <c r="M25" s="33" t="n">
        <f>24360</f>
        <v>24360.0</v>
      </c>
      <c r="N25" s="34" t="s">
        <v>49</v>
      </c>
      <c r="O25" s="33" t="n">
        <f>23470</f>
        <v>23470.0</v>
      </c>
      <c r="P25" s="34" t="s">
        <v>50</v>
      </c>
      <c r="Q25" s="33" t="n">
        <f>23910</f>
        <v>23910.0</v>
      </c>
      <c r="R25" s="34" t="s">
        <v>51</v>
      </c>
      <c r="S25" s="35" t="n">
        <f>23919</f>
        <v>23919.0</v>
      </c>
      <c r="T25" s="32" t="n">
        <f>1505670</f>
        <v>1505670.0</v>
      </c>
      <c r="U25" s="32" t="n">
        <f>94920</f>
        <v>94920.0</v>
      </c>
      <c r="V25" s="32" t="n">
        <f>35963579329</f>
        <v>3.5963579329E10</v>
      </c>
      <c r="W25" s="32" t="n">
        <f>2257483129</f>
        <v>2.257483129E9</v>
      </c>
      <c r="X25" s="36" t="n">
        <f>20</f>
        <v>20.0</v>
      </c>
    </row>
    <row r="26">
      <c r="A26" s="27" t="s">
        <v>42</v>
      </c>
      <c r="B26" s="27" t="s">
        <v>114</v>
      </c>
      <c r="C26" s="27" t="s">
        <v>115</v>
      </c>
      <c r="D26" s="27" t="s">
        <v>116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1870</f>
        <v>1870.0</v>
      </c>
      <c r="L26" s="34" t="s">
        <v>48</v>
      </c>
      <c r="M26" s="33" t="n">
        <f>1888</f>
        <v>1888.0</v>
      </c>
      <c r="N26" s="34" t="s">
        <v>90</v>
      </c>
      <c r="O26" s="33" t="n">
        <f>1805</f>
        <v>1805.0</v>
      </c>
      <c r="P26" s="34" t="s">
        <v>62</v>
      </c>
      <c r="Q26" s="33" t="n">
        <f>1858</f>
        <v>1858.0</v>
      </c>
      <c r="R26" s="34" t="s">
        <v>51</v>
      </c>
      <c r="S26" s="35" t="n">
        <f>1846.5</f>
        <v>1846.5</v>
      </c>
      <c r="T26" s="32" t="n">
        <f>8328720</f>
        <v>8328720.0</v>
      </c>
      <c r="U26" s="32" t="n">
        <f>616640</f>
        <v>616640.0</v>
      </c>
      <c r="V26" s="32" t="n">
        <f>15436433407</f>
        <v>1.5436433407E10</v>
      </c>
      <c r="W26" s="32" t="n">
        <f>1152269537</f>
        <v>1.152269537E9</v>
      </c>
      <c r="X26" s="36" t="n">
        <f>20</f>
        <v>20.0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710</f>
        <v>710.0</v>
      </c>
      <c r="L27" s="34" t="s">
        <v>48</v>
      </c>
      <c r="M27" s="33" t="n">
        <f>723</f>
        <v>723.0</v>
      </c>
      <c r="N27" s="34" t="s">
        <v>51</v>
      </c>
      <c r="O27" s="33" t="n">
        <f>693</f>
        <v>693.0</v>
      </c>
      <c r="P27" s="34" t="s">
        <v>50</v>
      </c>
      <c r="Q27" s="33" t="n">
        <f>715</f>
        <v>715.0</v>
      </c>
      <c r="R27" s="34" t="s">
        <v>51</v>
      </c>
      <c r="S27" s="35" t="n">
        <f>710.15</f>
        <v>710.15</v>
      </c>
      <c r="T27" s="32" t="n">
        <f>45980</f>
        <v>45980.0</v>
      </c>
      <c r="U27" s="32" t="str">
        <f>"－"</f>
        <v>－</v>
      </c>
      <c r="V27" s="32" t="n">
        <f>32771580</f>
        <v>3.277158E7</v>
      </c>
      <c r="W27" s="32" t="str">
        <f>"－"</f>
        <v>－</v>
      </c>
      <c r="X27" s="36" t="n">
        <f>20</f>
        <v>20.0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1777</f>
        <v>1777.0</v>
      </c>
      <c r="L28" s="34" t="s">
        <v>48</v>
      </c>
      <c r="M28" s="33" t="n">
        <f>1780</f>
        <v>1780.0</v>
      </c>
      <c r="N28" s="34" t="s">
        <v>48</v>
      </c>
      <c r="O28" s="33" t="n">
        <f>1697</f>
        <v>1697.0</v>
      </c>
      <c r="P28" s="34" t="s">
        <v>62</v>
      </c>
      <c r="Q28" s="33" t="n">
        <f>1748</f>
        <v>1748.0</v>
      </c>
      <c r="R28" s="34" t="s">
        <v>51</v>
      </c>
      <c r="S28" s="35" t="n">
        <f>1740.8</f>
        <v>1740.8</v>
      </c>
      <c r="T28" s="32" t="n">
        <f>1459500</f>
        <v>1459500.0</v>
      </c>
      <c r="U28" s="32" t="n">
        <f>209800</f>
        <v>209800.0</v>
      </c>
      <c r="V28" s="32" t="n">
        <f>2543711724</f>
        <v>2.543711724E9</v>
      </c>
      <c r="W28" s="32" t="n">
        <f>361743724</f>
        <v>3.61743724E8</v>
      </c>
      <c r="X28" s="36" t="n">
        <f>20</f>
        <v>20.0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23780</f>
        <v>23780.0</v>
      </c>
      <c r="L29" s="34" t="s">
        <v>48</v>
      </c>
      <c r="M29" s="33" t="n">
        <f>24430</f>
        <v>24430.0</v>
      </c>
      <c r="N29" s="34" t="s">
        <v>49</v>
      </c>
      <c r="O29" s="33" t="n">
        <f>23540</f>
        <v>23540.0</v>
      </c>
      <c r="P29" s="34" t="s">
        <v>50</v>
      </c>
      <c r="Q29" s="33" t="n">
        <f>24000</f>
        <v>24000.0</v>
      </c>
      <c r="R29" s="34" t="s">
        <v>51</v>
      </c>
      <c r="S29" s="35" t="n">
        <f>23984</f>
        <v>23984.0</v>
      </c>
      <c r="T29" s="32" t="n">
        <f>453161</f>
        <v>453161.0</v>
      </c>
      <c r="U29" s="32" t="n">
        <f>115</f>
        <v>115.0</v>
      </c>
      <c r="V29" s="32" t="n">
        <f>10859180575</f>
        <v>1.0859180575E10</v>
      </c>
      <c r="W29" s="32" t="n">
        <f>2765685</f>
        <v>2765685.0</v>
      </c>
      <c r="X29" s="36" t="n">
        <f>20</f>
        <v>20.0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1660</f>
        <v>1660.0</v>
      </c>
      <c r="L30" s="34" t="s">
        <v>48</v>
      </c>
      <c r="M30" s="33" t="n">
        <f>1733</f>
        <v>1733.0</v>
      </c>
      <c r="N30" s="34" t="s">
        <v>49</v>
      </c>
      <c r="O30" s="33" t="n">
        <f>1640</f>
        <v>1640.0</v>
      </c>
      <c r="P30" s="34" t="s">
        <v>50</v>
      </c>
      <c r="Q30" s="33" t="n">
        <f>1687</f>
        <v>1687.0</v>
      </c>
      <c r="R30" s="34" t="s">
        <v>51</v>
      </c>
      <c r="S30" s="35" t="n">
        <f>1683</f>
        <v>1683.0</v>
      </c>
      <c r="T30" s="32" t="n">
        <f>2224330</f>
        <v>2224330.0</v>
      </c>
      <c r="U30" s="32" t="n">
        <f>120300</f>
        <v>120300.0</v>
      </c>
      <c r="V30" s="32" t="n">
        <f>3742221510</f>
        <v>3.74222151E9</v>
      </c>
      <c r="W30" s="32" t="n">
        <f>204686400</f>
        <v>2.046864E8</v>
      </c>
      <c r="X30" s="36" t="n">
        <f>20</f>
        <v>20.0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12870</f>
        <v>12870.0</v>
      </c>
      <c r="L31" s="34" t="s">
        <v>48</v>
      </c>
      <c r="M31" s="33" t="n">
        <f>12870</f>
        <v>12870.0</v>
      </c>
      <c r="N31" s="34" t="s">
        <v>48</v>
      </c>
      <c r="O31" s="33" t="n">
        <f>12640</f>
        <v>12640.0</v>
      </c>
      <c r="P31" s="34" t="s">
        <v>48</v>
      </c>
      <c r="Q31" s="33" t="n">
        <f>12710</f>
        <v>12710.0</v>
      </c>
      <c r="R31" s="34" t="s">
        <v>51</v>
      </c>
      <c r="S31" s="35" t="n">
        <f>12724</f>
        <v>12724.0</v>
      </c>
      <c r="T31" s="32" t="n">
        <f>861</f>
        <v>861.0</v>
      </c>
      <c r="U31" s="32" t="str">
        <f>"－"</f>
        <v>－</v>
      </c>
      <c r="V31" s="32" t="n">
        <f>10939450</f>
        <v>1.093945E7</v>
      </c>
      <c r="W31" s="32" t="str">
        <f>"－"</f>
        <v>－</v>
      </c>
      <c r="X31" s="36" t="n">
        <f>20</f>
        <v>20.0</v>
      </c>
    </row>
    <row r="32">
      <c r="A32" s="27" t="s">
        <v>42</v>
      </c>
      <c r="B32" s="27" t="s">
        <v>132</v>
      </c>
      <c r="C32" s="27" t="s">
        <v>133</v>
      </c>
      <c r="D32" s="27" t="s">
        <v>134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1871</f>
        <v>1871.0</v>
      </c>
      <c r="L32" s="34" t="s">
        <v>48</v>
      </c>
      <c r="M32" s="33" t="n">
        <f>1913</f>
        <v>1913.0</v>
      </c>
      <c r="N32" s="34" t="s">
        <v>50</v>
      </c>
      <c r="O32" s="33" t="n">
        <f>1705</f>
        <v>1705.0</v>
      </c>
      <c r="P32" s="34" t="s">
        <v>49</v>
      </c>
      <c r="Q32" s="33" t="n">
        <f>1800</f>
        <v>1800.0</v>
      </c>
      <c r="R32" s="34" t="s">
        <v>51</v>
      </c>
      <c r="S32" s="35" t="n">
        <f>1815.25</f>
        <v>1815.25</v>
      </c>
      <c r="T32" s="32" t="n">
        <f>5375570</f>
        <v>5375570.0</v>
      </c>
      <c r="U32" s="32" t="n">
        <f>1680</f>
        <v>1680.0</v>
      </c>
      <c r="V32" s="32" t="n">
        <f>9879407390</f>
        <v>9.87940739E9</v>
      </c>
      <c r="W32" s="32" t="n">
        <f>3055310</f>
        <v>3055310.0</v>
      </c>
      <c r="X32" s="36" t="n">
        <f>20</f>
        <v>20.0</v>
      </c>
    </row>
    <row r="33">
      <c r="A33" s="27" t="s">
        <v>42</v>
      </c>
      <c r="B33" s="27" t="s">
        <v>135</v>
      </c>
      <c r="C33" s="27" t="s">
        <v>136</v>
      </c>
      <c r="D33" s="27" t="s">
        <v>137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731</f>
        <v>731.0</v>
      </c>
      <c r="L33" s="34" t="s">
        <v>48</v>
      </c>
      <c r="M33" s="33" t="n">
        <f>743</f>
        <v>743.0</v>
      </c>
      <c r="N33" s="34" t="s">
        <v>50</v>
      </c>
      <c r="O33" s="33" t="n">
        <f>686</f>
        <v>686.0</v>
      </c>
      <c r="P33" s="34" t="s">
        <v>49</v>
      </c>
      <c r="Q33" s="33" t="n">
        <f>710</f>
        <v>710.0</v>
      </c>
      <c r="R33" s="34" t="s">
        <v>51</v>
      </c>
      <c r="S33" s="35" t="n">
        <f>714.8</f>
        <v>714.8</v>
      </c>
      <c r="T33" s="32" t="n">
        <f>796611858</f>
        <v>7.96611858E8</v>
      </c>
      <c r="U33" s="32" t="n">
        <f>2563019</f>
        <v>2563019.0</v>
      </c>
      <c r="V33" s="32" t="n">
        <f>570131642913</f>
        <v>5.70131642913E11</v>
      </c>
      <c r="W33" s="32" t="n">
        <f>1860496310</f>
        <v>1.86049631E9</v>
      </c>
      <c r="X33" s="36" t="n">
        <f>20</f>
        <v>20.0</v>
      </c>
    </row>
    <row r="34">
      <c r="A34" s="27" t="s">
        <v>42</v>
      </c>
      <c r="B34" s="27" t="s">
        <v>138</v>
      </c>
      <c r="C34" s="27" t="s">
        <v>139</v>
      </c>
      <c r="D34" s="27" t="s">
        <v>140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18990</f>
        <v>18990.0</v>
      </c>
      <c r="L34" s="34" t="s">
        <v>48</v>
      </c>
      <c r="M34" s="33" t="n">
        <f>20050</f>
        <v>20050.0</v>
      </c>
      <c r="N34" s="34" t="s">
        <v>49</v>
      </c>
      <c r="O34" s="33" t="n">
        <f>18610</f>
        <v>18610.0</v>
      </c>
      <c r="P34" s="34" t="s">
        <v>50</v>
      </c>
      <c r="Q34" s="33" t="n">
        <f>19320</f>
        <v>19320.0</v>
      </c>
      <c r="R34" s="34" t="s">
        <v>51</v>
      </c>
      <c r="S34" s="35" t="n">
        <f>19322</f>
        <v>19322.0</v>
      </c>
      <c r="T34" s="32" t="n">
        <f>301782</f>
        <v>301782.0</v>
      </c>
      <c r="U34" s="32" t="n">
        <f>20</f>
        <v>20.0</v>
      </c>
      <c r="V34" s="32" t="n">
        <f>5830484210</f>
        <v>5.83048421E9</v>
      </c>
      <c r="W34" s="32" t="n">
        <f>394400</f>
        <v>394400.0</v>
      </c>
      <c r="X34" s="36" t="n">
        <f>20</f>
        <v>20.0</v>
      </c>
    </row>
    <row r="35">
      <c r="A35" s="27" t="s">
        <v>42</v>
      </c>
      <c r="B35" s="27" t="s">
        <v>141</v>
      </c>
      <c r="C35" s="27" t="s">
        <v>142</v>
      </c>
      <c r="D35" s="27" t="s">
        <v>143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1778</f>
        <v>1778.0</v>
      </c>
      <c r="L35" s="34" t="s">
        <v>48</v>
      </c>
      <c r="M35" s="33" t="n">
        <f>1806</f>
        <v>1806.0</v>
      </c>
      <c r="N35" s="34" t="s">
        <v>50</v>
      </c>
      <c r="O35" s="33" t="n">
        <f>1668</f>
        <v>1668.0</v>
      </c>
      <c r="P35" s="34" t="s">
        <v>49</v>
      </c>
      <c r="Q35" s="33" t="n">
        <f>1731</f>
        <v>1731.0</v>
      </c>
      <c r="R35" s="34" t="s">
        <v>51</v>
      </c>
      <c r="S35" s="35" t="n">
        <f>1738.2</f>
        <v>1738.2</v>
      </c>
      <c r="T35" s="32" t="n">
        <f>62146950</f>
        <v>6.214695E7</v>
      </c>
      <c r="U35" s="32" t="n">
        <f>3350</f>
        <v>3350.0</v>
      </c>
      <c r="V35" s="32" t="n">
        <f>108387712860</f>
        <v>1.0838771286E11</v>
      </c>
      <c r="W35" s="32" t="n">
        <f>5892170</f>
        <v>5892170.0</v>
      </c>
      <c r="X35" s="36" t="n">
        <f>20</f>
        <v>20.0</v>
      </c>
    </row>
    <row r="36">
      <c r="A36" s="27" t="s">
        <v>42</v>
      </c>
      <c r="B36" s="27" t="s">
        <v>144</v>
      </c>
      <c r="C36" s="27" t="s">
        <v>145</v>
      </c>
      <c r="D36" s="27" t="s">
        <v>146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14780</f>
        <v>14780.0</v>
      </c>
      <c r="L36" s="34" t="s">
        <v>48</v>
      </c>
      <c r="M36" s="33" t="n">
        <f>15270</f>
        <v>15270.0</v>
      </c>
      <c r="N36" s="34" t="s">
        <v>49</v>
      </c>
      <c r="O36" s="33" t="n">
        <f>14620</f>
        <v>14620.0</v>
      </c>
      <c r="P36" s="34" t="s">
        <v>50</v>
      </c>
      <c r="Q36" s="33" t="n">
        <f>14990</f>
        <v>14990.0</v>
      </c>
      <c r="R36" s="34" t="s">
        <v>51</v>
      </c>
      <c r="S36" s="35" t="n">
        <f>14937</f>
        <v>14937.0</v>
      </c>
      <c r="T36" s="32" t="n">
        <f>18332</f>
        <v>18332.0</v>
      </c>
      <c r="U36" s="32" t="n">
        <f>9000</f>
        <v>9000.0</v>
      </c>
      <c r="V36" s="32" t="n">
        <f>272541880</f>
        <v>2.7254188E8</v>
      </c>
      <c r="W36" s="32" t="n">
        <f>133380000</f>
        <v>1.3338E8</v>
      </c>
      <c r="X36" s="36" t="n">
        <f>20</f>
        <v>20.0</v>
      </c>
    </row>
    <row r="37">
      <c r="A37" s="27" t="s">
        <v>42</v>
      </c>
      <c r="B37" s="27" t="s">
        <v>147</v>
      </c>
      <c r="C37" s="27" t="s">
        <v>148</v>
      </c>
      <c r="D37" s="27" t="s">
        <v>149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15590</f>
        <v>15590.0</v>
      </c>
      <c r="L37" s="34" t="s">
        <v>48</v>
      </c>
      <c r="M37" s="33" t="n">
        <f>16480</f>
        <v>16480.0</v>
      </c>
      <c r="N37" s="34" t="s">
        <v>49</v>
      </c>
      <c r="O37" s="33" t="n">
        <f>15290</f>
        <v>15290.0</v>
      </c>
      <c r="P37" s="34" t="s">
        <v>50</v>
      </c>
      <c r="Q37" s="33" t="n">
        <f>15880</f>
        <v>15880.0</v>
      </c>
      <c r="R37" s="34" t="s">
        <v>51</v>
      </c>
      <c r="S37" s="35" t="n">
        <f>15885</f>
        <v>15885.0</v>
      </c>
      <c r="T37" s="32" t="n">
        <f>792437</f>
        <v>792437.0</v>
      </c>
      <c r="U37" s="32" t="str">
        <f>"－"</f>
        <v>－</v>
      </c>
      <c r="V37" s="32" t="n">
        <f>12547797110</f>
        <v>1.254779711E10</v>
      </c>
      <c r="W37" s="32" t="str">
        <f>"－"</f>
        <v>－</v>
      </c>
      <c r="X37" s="36" t="n">
        <f>20</f>
        <v>20.0</v>
      </c>
    </row>
    <row r="38">
      <c r="A38" s="27" t="s">
        <v>42</v>
      </c>
      <c r="B38" s="27" t="s">
        <v>150</v>
      </c>
      <c r="C38" s="27" t="s">
        <v>151</v>
      </c>
      <c r="D38" s="27" t="s">
        <v>152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1905</f>
        <v>1905.0</v>
      </c>
      <c r="L38" s="34" t="s">
        <v>48</v>
      </c>
      <c r="M38" s="33" t="n">
        <f>1936</f>
        <v>1936.0</v>
      </c>
      <c r="N38" s="34" t="s">
        <v>50</v>
      </c>
      <c r="O38" s="33" t="n">
        <f>1790</f>
        <v>1790.0</v>
      </c>
      <c r="P38" s="34" t="s">
        <v>49</v>
      </c>
      <c r="Q38" s="33" t="n">
        <f>1855</f>
        <v>1855.0</v>
      </c>
      <c r="R38" s="34" t="s">
        <v>51</v>
      </c>
      <c r="S38" s="35" t="n">
        <f>1863.3</f>
        <v>1863.3</v>
      </c>
      <c r="T38" s="32" t="n">
        <f>6416551</f>
        <v>6416551.0</v>
      </c>
      <c r="U38" s="32" t="n">
        <f>203</f>
        <v>203.0</v>
      </c>
      <c r="V38" s="32" t="n">
        <f>12009239443</f>
        <v>1.2009239443E10</v>
      </c>
      <c r="W38" s="32" t="n">
        <f>383179</f>
        <v>383179.0</v>
      </c>
      <c r="X38" s="36" t="n">
        <f>20</f>
        <v>20.0</v>
      </c>
    </row>
    <row r="39">
      <c r="A39" s="27" t="s">
        <v>42</v>
      </c>
      <c r="B39" s="27" t="s">
        <v>153</v>
      </c>
      <c r="C39" s="27" t="s">
        <v>154</v>
      </c>
      <c r="D39" s="27" t="s">
        <v>155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12610</f>
        <v>12610.0</v>
      </c>
      <c r="L39" s="34" t="s">
        <v>48</v>
      </c>
      <c r="M39" s="33" t="n">
        <f>13700</f>
        <v>13700.0</v>
      </c>
      <c r="N39" s="34" t="s">
        <v>49</v>
      </c>
      <c r="O39" s="33" t="n">
        <f>12270</f>
        <v>12270.0</v>
      </c>
      <c r="P39" s="34" t="s">
        <v>50</v>
      </c>
      <c r="Q39" s="33" t="n">
        <f>12960</f>
        <v>12960.0</v>
      </c>
      <c r="R39" s="34" t="s">
        <v>51</v>
      </c>
      <c r="S39" s="35" t="n">
        <f>12915.5</f>
        <v>12915.5</v>
      </c>
      <c r="T39" s="32" t="n">
        <f>208945</f>
        <v>208945.0</v>
      </c>
      <c r="U39" s="32" t="n">
        <f>200</f>
        <v>200.0</v>
      </c>
      <c r="V39" s="32" t="n">
        <f>2725379910</f>
        <v>2.72537991E9</v>
      </c>
      <c r="W39" s="32" t="n">
        <f>2510000</f>
        <v>2510000.0</v>
      </c>
      <c r="X39" s="36" t="n">
        <f>20</f>
        <v>20.0</v>
      </c>
    </row>
    <row r="40">
      <c r="A40" s="27" t="s">
        <v>42</v>
      </c>
      <c r="B40" s="27" t="s">
        <v>156</v>
      </c>
      <c r="C40" s="27" t="s">
        <v>157</v>
      </c>
      <c r="D40" s="27" t="s">
        <v>158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2719</f>
        <v>2719.0</v>
      </c>
      <c r="L40" s="34" t="s">
        <v>48</v>
      </c>
      <c r="M40" s="33" t="n">
        <f>2779</f>
        <v>2779.0</v>
      </c>
      <c r="N40" s="34" t="s">
        <v>50</v>
      </c>
      <c r="O40" s="33" t="n">
        <f>2477</f>
        <v>2477.0</v>
      </c>
      <c r="P40" s="34" t="s">
        <v>49</v>
      </c>
      <c r="Q40" s="33" t="n">
        <f>2614</f>
        <v>2614.0</v>
      </c>
      <c r="R40" s="34" t="s">
        <v>51</v>
      </c>
      <c r="S40" s="35" t="n">
        <f>2636.95</f>
        <v>2636.95</v>
      </c>
      <c r="T40" s="32" t="n">
        <f>1566185</f>
        <v>1566185.0</v>
      </c>
      <c r="U40" s="32" t="n">
        <f>3893</f>
        <v>3893.0</v>
      </c>
      <c r="V40" s="32" t="n">
        <f>4194216351</f>
        <v>4.194216351E9</v>
      </c>
      <c r="W40" s="32" t="n">
        <f>10078384</f>
        <v>1.0078384E7</v>
      </c>
      <c r="X40" s="36" t="n">
        <f>20</f>
        <v>20.0</v>
      </c>
    </row>
    <row r="41">
      <c r="A41" s="27" t="s">
        <v>42</v>
      </c>
      <c r="B41" s="27" t="s">
        <v>159</v>
      </c>
      <c r="C41" s="27" t="s">
        <v>160</v>
      </c>
      <c r="D41" s="27" t="s">
        <v>161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23090</f>
        <v>23090.0</v>
      </c>
      <c r="L41" s="34" t="s">
        <v>48</v>
      </c>
      <c r="M41" s="33" t="n">
        <f>23710</f>
        <v>23710.0</v>
      </c>
      <c r="N41" s="34" t="s">
        <v>49</v>
      </c>
      <c r="O41" s="33" t="n">
        <f>22900</f>
        <v>22900.0</v>
      </c>
      <c r="P41" s="34" t="s">
        <v>50</v>
      </c>
      <c r="Q41" s="33" t="n">
        <f>23330</f>
        <v>23330.0</v>
      </c>
      <c r="R41" s="34" t="s">
        <v>51</v>
      </c>
      <c r="S41" s="35" t="n">
        <f>23326</f>
        <v>23326.0</v>
      </c>
      <c r="T41" s="32" t="n">
        <f>92950</f>
        <v>92950.0</v>
      </c>
      <c r="U41" s="32" t="n">
        <f>27843</f>
        <v>27843.0</v>
      </c>
      <c r="V41" s="32" t="n">
        <f>2179511586</f>
        <v>2.179511586E9</v>
      </c>
      <c r="W41" s="32" t="n">
        <f>651891496</f>
        <v>6.51891496E8</v>
      </c>
      <c r="X41" s="36" t="n">
        <f>20</f>
        <v>20.0</v>
      </c>
    </row>
    <row r="42">
      <c r="A42" s="27" t="s">
        <v>42</v>
      </c>
      <c r="B42" s="27" t="s">
        <v>162</v>
      </c>
      <c r="C42" s="27" t="s">
        <v>163</v>
      </c>
      <c r="D42" s="27" t="s">
        <v>164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4250</f>
        <v>4250.0</v>
      </c>
      <c r="L42" s="34" t="s">
        <v>48</v>
      </c>
      <c r="M42" s="33" t="n">
        <f>4290</f>
        <v>4290.0</v>
      </c>
      <c r="N42" s="34" t="s">
        <v>61</v>
      </c>
      <c r="O42" s="33" t="n">
        <f>3955</f>
        <v>3955.0</v>
      </c>
      <c r="P42" s="34" t="s">
        <v>98</v>
      </c>
      <c r="Q42" s="33" t="n">
        <f>4080</f>
        <v>4080.0</v>
      </c>
      <c r="R42" s="34" t="s">
        <v>51</v>
      </c>
      <c r="S42" s="35" t="n">
        <f>4167.5</f>
        <v>4167.5</v>
      </c>
      <c r="T42" s="32" t="n">
        <f>4924</f>
        <v>4924.0</v>
      </c>
      <c r="U42" s="32" t="str">
        <f>"－"</f>
        <v>－</v>
      </c>
      <c r="V42" s="32" t="n">
        <f>20495285</f>
        <v>2.0495285E7</v>
      </c>
      <c r="W42" s="32" t="str">
        <f>"－"</f>
        <v>－</v>
      </c>
      <c r="X42" s="36" t="n">
        <f>20</f>
        <v>20.0</v>
      </c>
    </row>
    <row r="43">
      <c r="A43" s="27" t="s">
        <v>42</v>
      </c>
      <c r="B43" s="27" t="s">
        <v>165</v>
      </c>
      <c r="C43" s="27" t="s">
        <v>166</v>
      </c>
      <c r="D43" s="27" t="s">
        <v>167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7790</f>
        <v>7790.0</v>
      </c>
      <c r="L43" s="34" t="s">
        <v>48</v>
      </c>
      <c r="M43" s="33" t="n">
        <f>7910</f>
        <v>7910.0</v>
      </c>
      <c r="N43" s="34" t="s">
        <v>61</v>
      </c>
      <c r="O43" s="33" t="n">
        <f>7260</f>
        <v>7260.0</v>
      </c>
      <c r="P43" s="34" t="s">
        <v>168</v>
      </c>
      <c r="Q43" s="33" t="n">
        <f>7470</f>
        <v>7470.0</v>
      </c>
      <c r="R43" s="34" t="s">
        <v>51</v>
      </c>
      <c r="S43" s="35" t="n">
        <f>7627</f>
        <v>7627.0</v>
      </c>
      <c r="T43" s="32" t="n">
        <f>1739</f>
        <v>1739.0</v>
      </c>
      <c r="U43" s="32" t="str">
        <f>"－"</f>
        <v>－</v>
      </c>
      <c r="V43" s="32" t="n">
        <f>13170990</f>
        <v>1.317099E7</v>
      </c>
      <c r="W43" s="32" t="str">
        <f>"－"</f>
        <v>－</v>
      </c>
      <c r="X43" s="36" t="n">
        <f>20</f>
        <v>20.0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14600</f>
        <v>14600.0</v>
      </c>
      <c r="L44" s="34" t="s">
        <v>97</v>
      </c>
      <c r="M44" s="33" t="n">
        <f>15130</f>
        <v>15130.0</v>
      </c>
      <c r="N44" s="34" t="s">
        <v>61</v>
      </c>
      <c r="O44" s="33" t="n">
        <f>13900</f>
        <v>13900.0</v>
      </c>
      <c r="P44" s="34" t="s">
        <v>98</v>
      </c>
      <c r="Q44" s="33" t="n">
        <f>13900</f>
        <v>13900.0</v>
      </c>
      <c r="R44" s="34" t="s">
        <v>98</v>
      </c>
      <c r="S44" s="35" t="n">
        <f>14497</f>
        <v>14497.0</v>
      </c>
      <c r="T44" s="32" t="n">
        <f>4423</f>
        <v>4423.0</v>
      </c>
      <c r="U44" s="32" t="n">
        <f>4250</f>
        <v>4250.0</v>
      </c>
      <c r="V44" s="32" t="n">
        <f>59007410</f>
        <v>5.900741E7</v>
      </c>
      <c r="W44" s="32" t="n">
        <f>56521750</f>
        <v>5.652175E7</v>
      </c>
      <c r="X44" s="36" t="n">
        <f>10</f>
        <v>10.0</v>
      </c>
    </row>
    <row r="45">
      <c r="A45" s="27" t="s">
        <v>42</v>
      </c>
      <c r="B45" s="27" t="s">
        <v>172</v>
      </c>
      <c r="C45" s="27" t="s">
        <v>173</v>
      </c>
      <c r="D45" s="27" t="s">
        <v>174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11810</f>
        <v>11810.0</v>
      </c>
      <c r="L45" s="34" t="s">
        <v>48</v>
      </c>
      <c r="M45" s="33" t="n">
        <f>12470</f>
        <v>12470.0</v>
      </c>
      <c r="N45" s="34" t="s">
        <v>175</v>
      </c>
      <c r="O45" s="33" t="n">
        <f>11340</f>
        <v>11340.0</v>
      </c>
      <c r="P45" s="34" t="s">
        <v>176</v>
      </c>
      <c r="Q45" s="33" t="n">
        <f>11540</f>
        <v>11540.0</v>
      </c>
      <c r="R45" s="34" t="s">
        <v>51</v>
      </c>
      <c r="S45" s="35" t="n">
        <f>11866.25</f>
        <v>11866.25</v>
      </c>
      <c r="T45" s="32" t="n">
        <f>222</f>
        <v>222.0</v>
      </c>
      <c r="U45" s="32" t="str">
        <f>"－"</f>
        <v>－</v>
      </c>
      <c r="V45" s="32" t="n">
        <f>2598170</f>
        <v>2598170.0</v>
      </c>
      <c r="W45" s="32" t="str">
        <f>"－"</f>
        <v>－</v>
      </c>
      <c r="X45" s="36" t="n">
        <f>16</f>
        <v>16.0</v>
      </c>
    </row>
    <row r="46">
      <c r="A46" s="27" t="s">
        <v>42</v>
      </c>
      <c r="B46" s="27" t="s">
        <v>177</v>
      </c>
      <c r="C46" s="27" t="s">
        <v>178</v>
      </c>
      <c r="D46" s="27" t="s">
        <v>179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7930</f>
        <v>7930.0</v>
      </c>
      <c r="L46" s="34" t="s">
        <v>48</v>
      </c>
      <c r="M46" s="33" t="n">
        <f>8150</f>
        <v>8150.0</v>
      </c>
      <c r="N46" s="34" t="s">
        <v>180</v>
      </c>
      <c r="O46" s="33" t="n">
        <f>7580</f>
        <v>7580.0</v>
      </c>
      <c r="P46" s="34" t="s">
        <v>49</v>
      </c>
      <c r="Q46" s="33" t="n">
        <f>7770</f>
        <v>7770.0</v>
      </c>
      <c r="R46" s="34" t="s">
        <v>51</v>
      </c>
      <c r="S46" s="35" t="n">
        <f>7845.5</f>
        <v>7845.5</v>
      </c>
      <c r="T46" s="32" t="n">
        <f>7906</f>
        <v>7906.0</v>
      </c>
      <c r="U46" s="32" t="str">
        <f>"－"</f>
        <v>－</v>
      </c>
      <c r="V46" s="32" t="n">
        <f>62081680</f>
        <v>6.208168E7</v>
      </c>
      <c r="W46" s="32" t="str">
        <f>"－"</f>
        <v>－</v>
      </c>
      <c r="X46" s="36" t="n">
        <f>20</f>
        <v>20.0</v>
      </c>
    </row>
    <row r="47">
      <c r="A47" s="27" t="s">
        <v>42</v>
      </c>
      <c r="B47" s="27" t="s">
        <v>181</v>
      </c>
      <c r="C47" s="27" t="s">
        <v>182</v>
      </c>
      <c r="D47" s="27" t="s">
        <v>183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4300</f>
        <v>4300.0</v>
      </c>
      <c r="L47" s="34" t="s">
        <v>48</v>
      </c>
      <c r="M47" s="33" t="n">
        <f>4500</f>
        <v>4500.0</v>
      </c>
      <c r="N47" s="34" t="s">
        <v>184</v>
      </c>
      <c r="O47" s="33" t="n">
        <f>4205</f>
        <v>4205.0</v>
      </c>
      <c r="P47" s="34" t="s">
        <v>49</v>
      </c>
      <c r="Q47" s="33" t="n">
        <f>4310</f>
        <v>4310.0</v>
      </c>
      <c r="R47" s="34" t="s">
        <v>51</v>
      </c>
      <c r="S47" s="35" t="n">
        <f>4329</f>
        <v>4329.0</v>
      </c>
      <c r="T47" s="32" t="n">
        <f>1448</f>
        <v>1448.0</v>
      </c>
      <c r="U47" s="32" t="str">
        <f>"－"</f>
        <v>－</v>
      </c>
      <c r="V47" s="32" t="n">
        <f>6314305</f>
        <v>6314305.0</v>
      </c>
      <c r="W47" s="32" t="str">
        <f>"－"</f>
        <v>－</v>
      </c>
      <c r="X47" s="36" t="n">
        <f>20</f>
        <v>20.0</v>
      </c>
    </row>
    <row r="48">
      <c r="A48" s="27" t="s">
        <v>42</v>
      </c>
      <c r="B48" s="27" t="s">
        <v>185</v>
      </c>
      <c r="C48" s="27" t="s">
        <v>186</v>
      </c>
      <c r="D48" s="27" t="s">
        <v>187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2326</f>
        <v>2326.0</v>
      </c>
      <c r="L48" s="34" t="s">
        <v>48</v>
      </c>
      <c r="M48" s="33" t="n">
        <f>2390</f>
        <v>2390.0</v>
      </c>
      <c r="N48" s="34" t="s">
        <v>180</v>
      </c>
      <c r="O48" s="33" t="n">
        <f>2300</f>
        <v>2300.0</v>
      </c>
      <c r="P48" s="34" t="s">
        <v>98</v>
      </c>
      <c r="Q48" s="33" t="n">
        <f>2314</f>
        <v>2314.0</v>
      </c>
      <c r="R48" s="34" t="s">
        <v>51</v>
      </c>
      <c r="S48" s="35" t="n">
        <f>2340.4</f>
        <v>2340.4</v>
      </c>
      <c r="T48" s="32" t="n">
        <f>1901</f>
        <v>1901.0</v>
      </c>
      <c r="U48" s="32" t="str">
        <f>"－"</f>
        <v>－</v>
      </c>
      <c r="V48" s="32" t="n">
        <f>4440605</f>
        <v>4440605.0</v>
      </c>
      <c r="W48" s="32" t="str">
        <f>"－"</f>
        <v>－</v>
      </c>
      <c r="X48" s="36" t="n">
        <f>20</f>
        <v>20.0</v>
      </c>
    </row>
    <row r="49">
      <c r="A49" s="27" t="s">
        <v>42</v>
      </c>
      <c r="B49" s="27" t="s">
        <v>188</v>
      </c>
      <c r="C49" s="27" t="s">
        <v>189</v>
      </c>
      <c r="D49" s="27" t="s">
        <v>190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2209</f>
        <v>2209.0</v>
      </c>
      <c r="L49" s="34" t="s">
        <v>48</v>
      </c>
      <c r="M49" s="33" t="n">
        <f>2209</f>
        <v>2209.0</v>
      </c>
      <c r="N49" s="34" t="s">
        <v>48</v>
      </c>
      <c r="O49" s="33" t="n">
        <f>2025</f>
        <v>2025.0</v>
      </c>
      <c r="P49" s="34" t="s">
        <v>98</v>
      </c>
      <c r="Q49" s="33" t="n">
        <f>2075</f>
        <v>2075.0</v>
      </c>
      <c r="R49" s="34" t="s">
        <v>51</v>
      </c>
      <c r="S49" s="35" t="n">
        <f>2108.95</f>
        <v>2108.95</v>
      </c>
      <c r="T49" s="32" t="n">
        <f>6299</f>
        <v>6299.0</v>
      </c>
      <c r="U49" s="32" t="str">
        <f>"－"</f>
        <v>－</v>
      </c>
      <c r="V49" s="32" t="n">
        <f>13291759</f>
        <v>1.3291759E7</v>
      </c>
      <c r="W49" s="32" t="str">
        <f>"－"</f>
        <v>－</v>
      </c>
      <c r="X49" s="36" t="n">
        <f>20</f>
        <v>20.0</v>
      </c>
    </row>
    <row r="50">
      <c r="A50" s="27" t="s">
        <v>42</v>
      </c>
      <c r="B50" s="27" t="s">
        <v>191</v>
      </c>
      <c r="C50" s="27" t="s">
        <v>192</v>
      </c>
      <c r="D50" s="27" t="s">
        <v>193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36000</f>
        <v>36000.0</v>
      </c>
      <c r="L50" s="34" t="s">
        <v>48</v>
      </c>
      <c r="M50" s="33" t="n">
        <f>37000</f>
        <v>37000.0</v>
      </c>
      <c r="N50" s="34" t="s">
        <v>61</v>
      </c>
      <c r="O50" s="33" t="n">
        <f>33000</f>
        <v>33000.0</v>
      </c>
      <c r="P50" s="34" t="s">
        <v>98</v>
      </c>
      <c r="Q50" s="33" t="n">
        <f>34300</f>
        <v>34300.0</v>
      </c>
      <c r="R50" s="34" t="s">
        <v>51</v>
      </c>
      <c r="S50" s="35" t="n">
        <f>34970</f>
        <v>34970.0</v>
      </c>
      <c r="T50" s="32" t="n">
        <f>539</f>
        <v>539.0</v>
      </c>
      <c r="U50" s="32" t="str">
        <f>"－"</f>
        <v>－</v>
      </c>
      <c r="V50" s="32" t="n">
        <f>18924750</f>
        <v>1.892475E7</v>
      </c>
      <c r="W50" s="32" t="str">
        <f>"－"</f>
        <v>－</v>
      </c>
      <c r="X50" s="36" t="n">
        <f>20</f>
        <v>20.0</v>
      </c>
    </row>
    <row r="51">
      <c r="A51" s="27" t="s">
        <v>42</v>
      </c>
      <c r="B51" s="27" t="s">
        <v>194</v>
      </c>
      <c r="C51" s="27" t="s">
        <v>195</v>
      </c>
      <c r="D51" s="27" t="s">
        <v>196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25950</f>
        <v>25950.0</v>
      </c>
      <c r="L51" s="34" t="s">
        <v>48</v>
      </c>
      <c r="M51" s="33" t="n">
        <f>27050</f>
        <v>27050.0</v>
      </c>
      <c r="N51" s="34" t="s">
        <v>61</v>
      </c>
      <c r="O51" s="33" t="n">
        <f>24300</f>
        <v>24300.0</v>
      </c>
      <c r="P51" s="34" t="s">
        <v>98</v>
      </c>
      <c r="Q51" s="33" t="n">
        <f>24630</f>
        <v>24630.0</v>
      </c>
      <c r="R51" s="34" t="s">
        <v>51</v>
      </c>
      <c r="S51" s="35" t="n">
        <f>25350.91</f>
        <v>25350.91</v>
      </c>
      <c r="T51" s="32" t="n">
        <f>190</f>
        <v>190.0</v>
      </c>
      <c r="U51" s="32" t="str">
        <f>"－"</f>
        <v>－</v>
      </c>
      <c r="V51" s="32" t="n">
        <f>4852580</f>
        <v>4852580.0</v>
      </c>
      <c r="W51" s="32" t="str">
        <f>"－"</f>
        <v>－</v>
      </c>
      <c r="X51" s="36" t="n">
        <f>11</f>
        <v>11.0</v>
      </c>
    </row>
    <row r="52">
      <c r="A52" s="27" t="s">
        <v>42</v>
      </c>
      <c r="B52" s="27" t="s">
        <v>197</v>
      </c>
      <c r="C52" s="27" t="s">
        <v>198</v>
      </c>
      <c r="D52" s="27" t="s">
        <v>199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23370</f>
        <v>23370.0</v>
      </c>
      <c r="L52" s="34" t="s">
        <v>48</v>
      </c>
      <c r="M52" s="33" t="n">
        <f>23810</f>
        <v>23810.0</v>
      </c>
      <c r="N52" s="34" t="s">
        <v>49</v>
      </c>
      <c r="O52" s="33" t="n">
        <f>23090</f>
        <v>23090.0</v>
      </c>
      <c r="P52" s="34" t="s">
        <v>50</v>
      </c>
      <c r="Q52" s="33" t="n">
        <f>23810</f>
        <v>23810.0</v>
      </c>
      <c r="R52" s="34" t="s">
        <v>49</v>
      </c>
      <c r="S52" s="35" t="n">
        <f>23482.5</f>
        <v>23482.5</v>
      </c>
      <c r="T52" s="32" t="n">
        <f>1588</f>
        <v>1588.0</v>
      </c>
      <c r="U52" s="32" t="str">
        <f>"－"</f>
        <v>－</v>
      </c>
      <c r="V52" s="32" t="n">
        <f>37306050</f>
        <v>3.730605E7</v>
      </c>
      <c r="W52" s="32" t="str">
        <f>"－"</f>
        <v>－</v>
      </c>
      <c r="X52" s="36" t="n">
        <f>12</f>
        <v>12.0</v>
      </c>
    </row>
    <row r="53">
      <c r="A53" s="27" t="s">
        <v>42</v>
      </c>
      <c r="B53" s="27" t="s">
        <v>200</v>
      </c>
      <c r="C53" s="27" t="s">
        <v>201</v>
      </c>
      <c r="D53" s="27" t="s">
        <v>202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1794</f>
        <v>1794.0</v>
      </c>
      <c r="L53" s="34" t="s">
        <v>48</v>
      </c>
      <c r="M53" s="33" t="n">
        <f>1798</f>
        <v>1798.0</v>
      </c>
      <c r="N53" s="34" t="s">
        <v>69</v>
      </c>
      <c r="O53" s="33" t="n">
        <f>1707</f>
        <v>1707.0</v>
      </c>
      <c r="P53" s="34" t="s">
        <v>62</v>
      </c>
      <c r="Q53" s="33" t="n">
        <f>1776</f>
        <v>1776.0</v>
      </c>
      <c r="R53" s="34" t="s">
        <v>51</v>
      </c>
      <c r="S53" s="35" t="n">
        <f>1754.75</f>
        <v>1754.75</v>
      </c>
      <c r="T53" s="32" t="n">
        <f>45530</f>
        <v>45530.0</v>
      </c>
      <c r="U53" s="32" t="str">
        <f>"－"</f>
        <v>－</v>
      </c>
      <c r="V53" s="32" t="n">
        <f>80146100</f>
        <v>8.01461E7</v>
      </c>
      <c r="W53" s="32" t="str">
        <f>"－"</f>
        <v>－</v>
      </c>
      <c r="X53" s="36" t="n">
        <f>20</f>
        <v>20.0</v>
      </c>
    </row>
    <row r="54">
      <c r="A54" s="27" t="s">
        <v>42</v>
      </c>
      <c r="B54" s="27" t="s">
        <v>203</v>
      </c>
      <c r="C54" s="27" t="s">
        <v>204</v>
      </c>
      <c r="D54" s="27" t="s">
        <v>205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1342</f>
        <v>1342.0</v>
      </c>
      <c r="L54" s="34" t="s">
        <v>48</v>
      </c>
      <c r="M54" s="33" t="n">
        <f>1478</f>
        <v>1478.0</v>
      </c>
      <c r="N54" s="34" t="s">
        <v>49</v>
      </c>
      <c r="O54" s="33" t="n">
        <f>1332</f>
        <v>1332.0</v>
      </c>
      <c r="P54" s="34" t="s">
        <v>50</v>
      </c>
      <c r="Q54" s="33" t="n">
        <f>1350</f>
        <v>1350.0</v>
      </c>
      <c r="R54" s="34" t="s">
        <v>51</v>
      </c>
      <c r="S54" s="35" t="n">
        <f>1357.8</f>
        <v>1357.8</v>
      </c>
      <c r="T54" s="32" t="n">
        <f>203090</f>
        <v>203090.0</v>
      </c>
      <c r="U54" s="32" t="str">
        <f>"－"</f>
        <v>－</v>
      </c>
      <c r="V54" s="32" t="n">
        <f>275833570</f>
        <v>2.7583357E8</v>
      </c>
      <c r="W54" s="32" t="str">
        <f>"－"</f>
        <v>－</v>
      </c>
      <c r="X54" s="36" t="n">
        <f>20</f>
        <v>20.0</v>
      </c>
    </row>
    <row r="55">
      <c r="A55" s="27" t="s">
        <v>42</v>
      </c>
      <c r="B55" s="27" t="s">
        <v>206</v>
      </c>
      <c r="C55" s="27" t="s">
        <v>207</v>
      </c>
      <c r="D55" s="27" t="s">
        <v>208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5710</f>
        <v>5710.0</v>
      </c>
      <c r="L55" s="34" t="s">
        <v>48</v>
      </c>
      <c r="M55" s="33" t="n">
        <f>5770</f>
        <v>5770.0</v>
      </c>
      <c r="N55" s="34" t="s">
        <v>50</v>
      </c>
      <c r="O55" s="33" t="n">
        <f>5540</f>
        <v>5540.0</v>
      </c>
      <c r="P55" s="34" t="s">
        <v>49</v>
      </c>
      <c r="Q55" s="33" t="n">
        <f>5650</f>
        <v>5650.0</v>
      </c>
      <c r="R55" s="34" t="s">
        <v>51</v>
      </c>
      <c r="S55" s="35" t="n">
        <f>5659.5</f>
        <v>5659.5</v>
      </c>
      <c r="T55" s="32" t="n">
        <f>607746</f>
        <v>607746.0</v>
      </c>
      <c r="U55" s="32" t="n">
        <f>10000</f>
        <v>10000.0</v>
      </c>
      <c r="V55" s="32" t="n">
        <f>3444177802</f>
        <v>3.444177802E9</v>
      </c>
      <c r="W55" s="32" t="n">
        <f>56725992</f>
        <v>5.6725992E7</v>
      </c>
      <c r="X55" s="36" t="n">
        <f>20</f>
        <v>20.0</v>
      </c>
    </row>
    <row r="56">
      <c r="A56" s="27" t="s">
        <v>42</v>
      </c>
      <c r="B56" s="27" t="s">
        <v>209</v>
      </c>
      <c r="C56" s="27" t="s">
        <v>210</v>
      </c>
      <c r="D56" s="27" t="s">
        <v>211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6760</f>
        <v>6760.0</v>
      </c>
      <c r="L56" s="34" t="s">
        <v>48</v>
      </c>
      <c r="M56" s="33" t="n">
        <f>6830</f>
        <v>6830.0</v>
      </c>
      <c r="N56" s="34" t="s">
        <v>50</v>
      </c>
      <c r="O56" s="33" t="n">
        <f>6460</f>
        <v>6460.0</v>
      </c>
      <c r="P56" s="34" t="s">
        <v>49</v>
      </c>
      <c r="Q56" s="33" t="n">
        <f>6630</f>
        <v>6630.0</v>
      </c>
      <c r="R56" s="34" t="s">
        <v>51</v>
      </c>
      <c r="S56" s="35" t="n">
        <f>6658.5</f>
        <v>6658.5</v>
      </c>
      <c r="T56" s="32" t="n">
        <f>205053</f>
        <v>205053.0</v>
      </c>
      <c r="U56" s="32" t="str">
        <f>"－"</f>
        <v>－</v>
      </c>
      <c r="V56" s="32" t="n">
        <f>1389060950</f>
        <v>1.38906095E9</v>
      </c>
      <c r="W56" s="32" t="str">
        <f>"－"</f>
        <v>－</v>
      </c>
      <c r="X56" s="36" t="n">
        <f>20</f>
        <v>20.0</v>
      </c>
    </row>
    <row r="57">
      <c r="A57" s="27" t="s">
        <v>42</v>
      </c>
      <c r="B57" s="27" t="s">
        <v>212</v>
      </c>
      <c r="C57" s="27" t="s">
        <v>213</v>
      </c>
      <c r="D57" s="27" t="s">
        <v>214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11810</f>
        <v>11810.0</v>
      </c>
      <c r="L57" s="34" t="s">
        <v>48</v>
      </c>
      <c r="M57" s="33" t="n">
        <f>12490</f>
        <v>12490.0</v>
      </c>
      <c r="N57" s="34" t="s">
        <v>49</v>
      </c>
      <c r="O57" s="33" t="n">
        <f>11590</f>
        <v>11590.0</v>
      </c>
      <c r="P57" s="34" t="s">
        <v>50</v>
      </c>
      <c r="Q57" s="33" t="n">
        <f>12040</f>
        <v>12040.0</v>
      </c>
      <c r="R57" s="34" t="s">
        <v>51</v>
      </c>
      <c r="S57" s="35" t="n">
        <f>12043.5</f>
        <v>12043.5</v>
      </c>
      <c r="T57" s="32" t="n">
        <f>4931060</f>
        <v>4931060.0</v>
      </c>
      <c r="U57" s="32" t="n">
        <f>25</f>
        <v>25.0</v>
      </c>
      <c r="V57" s="32" t="n">
        <f>59315774885</f>
        <v>5.9315774885E10</v>
      </c>
      <c r="W57" s="32" t="n">
        <f>295025</f>
        <v>295025.0</v>
      </c>
      <c r="X57" s="36" t="n">
        <f>20</f>
        <v>20.0</v>
      </c>
    </row>
    <row r="58">
      <c r="A58" s="27" t="s">
        <v>42</v>
      </c>
      <c r="B58" s="27" t="s">
        <v>215</v>
      </c>
      <c r="C58" s="27" t="s">
        <v>216</v>
      </c>
      <c r="D58" s="27" t="s">
        <v>217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2906</f>
        <v>2906.0</v>
      </c>
      <c r="L58" s="34" t="s">
        <v>48</v>
      </c>
      <c r="M58" s="33" t="n">
        <f>2954</f>
        <v>2954.0</v>
      </c>
      <c r="N58" s="34" t="s">
        <v>50</v>
      </c>
      <c r="O58" s="33" t="n">
        <f>2730</f>
        <v>2730.0</v>
      </c>
      <c r="P58" s="34" t="s">
        <v>49</v>
      </c>
      <c r="Q58" s="33" t="n">
        <f>2831</f>
        <v>2831.0</v>
      </c>
      <c r="R58" s="34" t="s">
        <v>51</v>
      </c>
      <c r="S58" s="35" t="n">
        <f>2842.75</f>
        <v>2842.75</v>
      </c>
      <c r="T58" s="32" t="n">
        <f>25271481</f>
        <v>2.5271481E7</v>
      </c>
      <c r="U58" s="32" t="n">
        <f>1075</f>
        <v>1075.0</v>
      </c>
      <c r="V58" s="32" t="n">
        <f>71963326247</f>
        <v>7.1963326247E10</v>
      </c>
      <c r="W58" s="32" t="n">
        <f>3047200</f>
        <v>3047200.0</v>
      </c>
      <c r="X58" s="36" t="n">
        <f>20</f>
        <v>20.0</v>
      </c>
    </row>
    <row r="59">
      <c r="A59" s="27" t="s">
        <v>42</v>
      </c>
      <c r="B59" s="27" t="s">
        <v>218</v>
      </c>
      <c r="C59" s="27" t="s">
        <v>219</v>
      </c>
      <c r="D59" s="27" t="s">
        <v>220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20380</f>
        <v>20380.0</v>
      </c>
      <c r="L59" s="34" t="s">
        <v>48</v>
      </c>
      <c r="M59" s="33" t="n">
        <f>20440</f>
        <v>20440.0</v>
      </c>
      <c r="N59" s="34" t="s">
        <v>90</v>
      </c>
      <c r="O59" s="33" t="n">
        <f>19710</f>
        <v>19710.0</v>
      </c>
      <c r="P59" s="34" t="s">
        <v>50</v>
      </c>
      <c r="Q59" s="33" t="n">
        <f>20070</f>
        <v>20070.0</v>
      </c>
      <c r="R59" s="34" t="s">
        <v>98</v>
      </c>
      <c r="S59" s="35" t="n">
        <f>20145.71</f>
        <v>20145.71</v>
      </c>
      <c r="T59" s="32" t="n">
        <f>35</f>
        <v>35.0</v>
      </c>
      <c r="U59" s="32" t="str">
        <f>"－"</f>
        <v>－</v>
      </c>
      <c r="V59" s="32" t="n">
        <f>700350</f>
        <v>700350.0</v>
      </c>
      <c r="W59" s="32" t="str">
        <f>"－"</f>
        <v>－</v>
      </c>
      <c r="X59" s="36" t="n">
        <f>7</f>
        <v>7.0</v>
      </c>
    </row>
    <row r="60">
      <c r="A60" s="27" t="s">
        <v>42</v>
      </c>
      <c r="B60" s="27" t="s">
        <v>221</v>
      </c>
      <c r="C60" s="27" t="s">
        <v>222</v>
      </c>
      <c r="D60" s="27" t="s">
        <v>223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10100</f>
        <v>10100.0</v>
      </c>
      <c r="L60" s="34" t="s">
        <v>48</v>
      </c>
      <c r="M60" s="33" t="n">
        <f>10750</f>
        <v>10750.0</v>
      </c>
      <c r="N60" s="34" t="s">
        <v>49</v>
      </c>
      <c r="O60" s="33" t="n">
        <f>9880</f>
        <v>9880.0</v>
      </c>
      <c r="P60" s="34" t="s">
        <v>50</v>
      </c>
      <c r="Q60" s="33" t="n">
        <f>10300</f>
        <v>10300.0</v>
      </c>
      <c r="R60" s="34" t="s">
        <v>51</v>
      </c>
      <c r="S60" s="35" t="n">
        <f>10247.37</f>
        <v>10247.37</v>
      </c>
      <c r="T60" s="32" t="n">
        <f>1552</f>
        <v>1552.0</v>
      </c>
      <c r="U60" s="32" t="str">
        <f>"－"</f>
        <v>－</v>
      </c>
      <c r="V60" s="32" t="n">
        <f>16016250</f>
        <v>1.601625E7</v>
      </c>
      <c r="W60" s="32" t="str">
        <f>"－"</f>
        <v>－</v>
      </c>
      <c r="X60" s="36" t="n">
        <f>19</f>
        <v>19.0</v>
      </c>
    </row>
    <row r="61">
      <c r="A61" s="27" t="s">
        <v>42</v>
      </c>
      <c r="B61" s="27" t="s">
        <v>224</v>
      </c>
      <c r="C61" s="27" t="s">
        <v>225</v>
      </c>
      <c r="D61" s="27" t="s">
        <v>226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6550</f>
        <v>6550.0</v>
      </c>
      <c r="L61" s="34" t="s">
        <v>69</v>
      </c>
      <c r="M61" s="33" t="n">
        <f>6660</f>
        <v>6660.0</v>
      </c>
      <c r="N61" s="34" t="s">
        <v>50</v>
      </c>
      <c r="O61" s="33" t="n">
        <f>6290</f>
        <v>6290.0</v>
      </c>
      <c r="P61" s="34" t="s">
        <v>49</v>
      </c>
      <c r="Q61" s="33" t="n">
        <f>6390</f>
        <v>6390.0</v>
      </c>
      <c r="R61" s="34" t="s">
        <v>51</v>
      </c>
      <c r="S61" s="35" t="n">
        <f>6488.57</f>
        <v>6488.57</v>
      </c>
      <c r="T61" s="32" t="n">
        <f>1010</f>
        <v>1010.0</v>
      </c>
      <c r="U61" s="32" t="str">
        <f>"－"</f>
        <v>－</v>
      </c>
      <c r="V61" s="32" t="n">
        <f>6514130</f>
        <v>6514130.0</v>
      </c>
      <c r="W61" s="32" t="str">
        <f>"－"</f>
        <v>－</v>
      </c>
      <c r="X61" s="36" t="n">
        <f>14</f>
        <v>14.0</v>
      </c>
    </row>
    <row r="62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3525</f>
        <v>3525.0</v>
      </c>
      <c r="L62" s="34" t="s">
        <v>48</v>
      </c>
      <c r="M62" s="33" t="n">
        <f>3595</f>
        <v>3595.0</v>
      </c>
      <c r="N62" s="34" t="s">
        <v>50</v>
      </c>
      <c r="O62" s="33" t="n">
        <f>3250</f>
        <v>3250.0</v>
      </c>
      <c r="P62" s="34" t="s">
        <v>49</v>
      </c>
      <c r="Q62" s="33" t="n">
        <f>3380</f>
        <v>3380.0</v>
      </c>
      <c r="R62" s="34" t="s">
        <v>51</v>
      </c>
      <c r="S62" s="35" t="n">
        <f>3421.75</f>
        <v>3421.75</v>
      </c>
      <c r="T62" s="32" t="n">
        <f>10758</f>
        <v>10758.0</v>
      </c>
      <c r="U62" s="32" t="str">
        <f>"－"</f>
        <v>－</v>
      </c>
      <c r="V62" s="32" t="n">
        <f>36697420</f>
        <v>3.669742E7</v>
      </c>
      <c r="W62" s="32" t="str">
        <f>"－"</f>
        <v>－</v>
      </c>
      <c r="X62" s="36" t="n">
        <f>20</f>
        <v>20.0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9690</f>
        <v>9690.0</v>
      </c>
      <c r="L63" s="34" t="s">
        <v>97</v>
      </c>
      <c r="M63" s="33" t="n">
        <f>10250</f>
        <v>10250.0</v>
      </c>
      <c r="N63" s="34" t="s">
        <v>49</v>
      </c>
      <c r="O63" s="33" t="n">
        <f>9410</f>
        <v>9410.0</v>
      </c>
      <c r="P63" s="34" t="s">
        <v>69</v>
      </c>
      <c r="Q63" s="33" t="n">
        <f>9750</f>
        <v>9750.0</v>
      </c>
      <c r="R63" s="34" t="s">
        <v>51</v>
      </c>
      <c r="S63" s="35" t="n">
        <f>9764</f>
        <v>9764.0</v>
      </c>
      <c r="T63" s="32" t="n">
        <f>5100</f>
        <v>5100.0</v>
      </c>
      <c r="U63" s="32" t="str">
        <f>"－"</f>
        <v>－</v>
      </c>
      <c r="V63" s="32" t="n">
        <f>50183000</f>
        <v>5.0183E7</v>
      </c>
      <c r="W63" s="32" t="str">
        <f>"－"</f>
        <v>－</v>
      </c>
      <c r="X63" s="36" t="n">
        <f>15</f>
        <v>15.0</v>
      </c>
    </row>
    <row r="6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6380</f>
        <v>6380.0</v>
      </c>
      <c r="L64" s="34" t="s">
        <v>61</v>
      </c>
      <c r="M64" s="33" t="n">
        <f>6530</f>
        <v>6530.0</v>
      </c>
      <c r="N64" s="34" t="s">
        <v>50</v>
      </c>
      <c r="O64" s="33" t="n">
        <f>6250</f>
        <v>6250.0</v>
      </c>
      <c r="P64" s="34" t="s">
        <v>49</v>
      </c>
      <c r="Q64" s="33" t="n">
        <f>6250</f>
        <v>6250.0</v>
      </c>
      <c r="R64" s="34" t="s">
        <v>49</v>
      </c>
      <c r="S64" s="35" t="n">
        <f>6366.67</f>
        <v>6366.67</v>
      </c>
      <c r="T64" s="32" t="n">
        <f>1430</f>
        <v>1430.0</v>
      </c>
      <c r="U64" s="32" t="str">
        <f>"－"</f>
        <v>－</v>
      </c>
      <c r="V64" s="32" t="n">
        <f>9124200</f>
        <v>9124200.0</v>
      </c>
      <c r="W64" s="32" t="str">
        <f>"－"</f>
        <v>－</v>
      </c>
      <c r="X64" s="36" t="n">
        <f>12</f>
        <v>12.0</v>
      </c>
    </row>
    <row r="65">
      <c r="A65" s="27" t="s">
        <v>42</v>
      </c>
      <c r="B65" s="27" t="s">
        <v>236</v>
      </c>
      <c r="C65" s="27" t="s">
        <v>237</v>
      </c>
      <c r="D65" s="27" t="s">
        <v>238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3490</f>
        <v>3490.0</v>
      </c>
      <c r="L65" s="34" t="s">
        <v>48</v>
      </c>
      <c r="M65" s="33" t="n">
        <f>3580</f>
        <v>3580.0</v>
      </c>
      <c r="N65" s="34" t="s">
        <v>50</v>
      </c>
      <c r="O65" s="33" t="n">
        <f>3265</f>
        <v>3265.0</v>
      </c>
      <c r="P65" s="34" t="s">
        <v>49</v>
      </c>
      <c r="Q65" s="33" t="n">
        <f>3400</f>
        <v>3400.0</v>
      </c>
      <c r="R65" s="34" t="s">
        <v>51</v>
      </c>
      <c r="S65" s="35" t="n">
        <f>3423.5</f>
        <v>3423.5</v>
      </c>
      <c r="T65" s="32" t="n">
        <f>33790</f>
        <v>33790.0</v>
      </c>
      <c r="U65" s="32" t="n">
        <f>50</f>
        <v>50.0</v>
      </c>
      <c r="V65" s="32" t="n">
        <f>115665500</f>
        <v>1.156655E8</v>
      </c>
      <c r="W65" s="32" t="n">
        <f>163250</f>
        <v>163250.0</v>
      </c>
      <c r="X65" s="36" t="n">
        <f>20</f>
        <v>20.0</v>
      </c>
    </row>
    <row r="66">
      <c r="A66" s="27" t="s">
        <v>42</v>
      </c>
      <c r="B66" s="27" t="s">
        <v>239</v>
      </c>
      <c r="C66" s="27" t="s">
        <v>240</v>
      </c>
      <c r="D66" s="27" t="s">
        <v>241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20000</f>
        <v>20000.0</v>
      </c>
      <c r="L66" s="34" t="s">
        <v>48</v>
      </c>
      <c r="M66" s="33" t="n">
        <f>21450</f>
        <v>21450.0</v>
      </c>
      <c r="N66" s="34" t="s">
        <v>49</v>
      </c>
      <c r="O66" s="33" t="n">
        <f>19210</f>
        <v>19210.0</v>
      </c>
      <c r="P66" s="34" t="s">
        <v>86</v>
      </c>
      <c r="Q66" s="33" t="n">
        <f>20150</f>
        <v>20150.0</v>
      </c>
      <c r="R66" s="34" t="s">
        <v>51</v>
      </c>
      <c r="S66" s="35" t="n">
        <f>20153.89</f>
        <v>20153.89</v>
      </c>
      <c r="T66" s="32" t="n">
        <f>2037</f>
        <v>2037.0</v>
      </c>
      <c r="U66" s="32" t="str">
        <f>"－"</f>
        <v>－</v>
      </c>
      <c r="V66" s="32" t="n">
        <f>41302790</f>
        <v>4.130279E7</v>
      </c>
      <c r="W66" s="32" t="str">
        <f>"－"</f>
        <v>－</v>
      </c>
      <c r="X66" s="36" t="n">
        <f>18</f>
        <v>18.0</v>
      </c>
    </row>
    <row r="67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4250</f>
        <v>4250.0</v>
      </c>
      <c r="L67" s="34" t="s">
        <v>48</v>
      </c>
      <c r="M67" s="33" t="n">
        <f>4370</f>
        <v>4370.0</v>
      </c>
      <c r="N67" s="34" t="s">
        <v>175</v>
      </c>
      <c r="O67" s="33" t="n">
        <f>4095</f>
        <v>4095.0</v>
      </c>
      <c r="P67" s="34" t="s">
        <v>49</v>
      </c>
      <c r="Q67" s="33" t="n">
        <f>4100</f>
        <v>4100.0</v>
      </c>
      <c r="R67" s="34" t="s">
        <v>51</v>
      </c>
      <c r="S67" s="35" t="n">
        <f>4185.29</f>
        <v>4185.29</v>
      </c>
      <c r="T67" s="32" t="n">
        <f>474</f>
        <v>474.0</v>
      </c>
      <c r="U67" s="32" t="str">
        <f>"－"</f>
        <v>－</v>
      </c>
      <c r="V67" s="32" t="n">
        <f>1991925</f>
        <v>1991925.0</v>
      </c>
      <c r="W67" s="32" t="str">
        <f>"－"</f>
        <v>－</v>
      </c>
      <c r="X67" s="36" t="n">
        <f>17</f>
        <v>17.0</v>
      </c>
    </row>
    <row r="68">
      <c r="A68" s="27" t="s">
        <v>42</v>
      </c>
      <c r="B68" s="27" t="s">
        <v>245</v>
      </c>
      <c r="C68" s="27" t="s">
        <v>246</v>
      </c>
      <c r="D68" s="27" t="s">
        <v>247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1395</f>
        <v>1395.0</v>
      </c>
      <c r="L68" s="34" t="s">
        <v>48</v>
      </c>
      <c r="M68" s="33" t="n">
        <f>1419</f>
        <v>1419.0</v>
      </c>
      <c r="N68" s="34" t="s">
        <v>50</v>
      </c>
      <c r="O68" s="33" t="n">
        <f>1291</f>
        <v>1291.0</v>
      </c>
      <c r="P68" s="34" t="s">
        <v>49</v>
      </c>
      <c r="Q68" s="33" t="n">
        <f>1350</f>
        <v>1350.0</v>
      </c>
      <c r="R68" s="34" t="s">
        <v>51</v>
      </c>
      <c r="S68" s="35" t="n">
        <f>1361.55</f>
        <v>1361.55</v>
      </c>
      <c r="T68" s="32" t="n">
        <f>65487</f>
        <v>65487.0</v>
      </c>
      <c r="U68" s="32" t="n">
        <f>170</f>
        <v>170.0</v>
      </c>
      <c r="V68" s="32" t="n">
        <f>89428406</f>
        <v>8.9428406E7</v>
      </c>
      <c r="W68" s="32" t="n">
        <f>233394</f>
        <v>233394.0</v>
      </c>
      <c r="X68" s="36" t="n">
        <f>20</f>
        <v>20.0</v>
      </c>
    </row>
    <row r="69">
      <c r="A69" s="27" t="s">
        <v>42</v>
      </c>
      <c r="B69" s="27" t="s">
        <v>248</v>
      </c>
      <c r="C69" s="27" t="s">
        <v>249</v>
      </c>
      <c r="D69" s="27" t="s">
        <v>250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1626</f>
        <v>1626.0</v>
      </c>
      <c r="L69" s="34" t="s">
        <v>48</v>
      </c>
      <c r="M69" s="33" t="n">
        <f>1690</f>
        <v>1690.0</v>
      </c>
      <c r="N69" s="34" t="s">
        <v>49</v>
      </c>
      <c r="O69" s="33" t="n">
        <f>1608</f>
        <v>1608.0</v>
      </c>
      <c r="P69" s="34" t="s">
        <v>50</v>
      </c>
      <c r="Q69" s="33" t="n">
        <f>1652</f>
        <v>1652.0</v>
      </c>
      <c r="R69" s="34" t="s">
        <v>51</v>
      </c>
      <c r="S69" s="35" t="n">
        <f>1648.35</f>
        <v>1648.35</v>
      </c>
      <c r="T69" s="32" t="n">
        <f>541530</f>
        <v>541530.0</v>
      </c>
      <c r="U69" s="32" t="n">
        <f>100000</f>
        <v>100000.0</v>
      </c>
      <c r="V69" s="32" t="n">
        <f>892087320</f>
        <v>8.9208732E8</v>
      </c>
      <c r="W69" s="32" t="n">
        <f>163180000</f>
        <v>1.6318E8</v>
      </c>
      <c r="X69" s="36" t="n">
        <f>20</f>
        <v>20.0</v>
      </c>
    </row>
    <row r="70">
      <c r="A70" s="27" t="s">
        <v>42</v>
      </c>
      <c r="B70" s="27" t="s">
        <v>251</v>
      </c>
      <c r="C70" s="27" t="s">
        <v>252</v>
      </c>
      <c r="D70" s="27" t="s">
        <v>253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14660</f>
        <v>14660.0</v>
      </c>
      <c r="L70" s="34" t="s">
        <v>48</v>
      </c>
      <c r="M70" s="33" t="n">
        <f>15200</f>
        <v>15200.0</v>
      </c>
      <c r="N70" s="34" t="s">
        <v>49</v>
      </c>
      <c r="O70" s="33" t="n">
        <f>14450</f>
        <v>14450.0</v>
      </c>
      <c r="P70" s="34" t="s">
        <v>86</v>
      </c>
      <c r="Q70" s="33" t="n">
        <f>14800</f>
        <v>14800.0</v>
      </c>
      <c r="R70" s="34" t="s">
        <v>51</v>
      </c>
      <c r="S70" s="35" t="n">
        <f>14787</f>
        <v>14787.0</v>
      </c>
      <c r="T70" s="32" t="n">
        <f>77450</f>
        <v>77450.0</v>
      </c>
      <c r="U70" s="32" t="str">
        <f>"－"</f>
        <v>－</v>
      </c>
      <c r="V70" s="32" t="n">
        <f>1149778180</f>
        <v>1.14977818E9</v>
      </c>
      <c r="W70" s="32" t="str">
        <f>"－"</f>
        <v>－</v>
      </c>
      <c r="X70" s="36" t="n">
        <f>20</f>
        <v>20.0</v>
      </c>
    </row>
    <row r="71">
      <c r="A71" s="27" t="s">
        <v>42</v>
      </c>
      <c r="B71" s="27" t="s">
        <v>254</v>
      </c>
      <c r="C71" s="27" t="s">
        <v>255</v>
      </c>
      <c r="D71" s="27" t="s">
        <v>256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1639</f>
        <v>1639.0</v>
      </c>
      <c r="L71" s="34" t="s">
        <v>48</v>
      </c>
      <c r="M71" s="33" t="n">
        <f>1709</f>
        <v>1709.0</v>
      </c>
      <c r="N71" s="34" t="s">
        <v>49</v>
      </c>
      <c r="O71" s="33" t="n">
        <f>1618</f>
        <v>1618.0</v>
      </c>
      <c r="P71" s="34" t="s">
        <v>50</v>
      </c>
      <c r="Q71" s="33" t="n">
        <f>1660</f>
        <v>1660.0</v>
      </c>
      <c r="R71" s="34" t="s">
        <v>51</v>
      </c>
      <c r="S71" s="35" t="n">
        <f>1659</f>
        <v>1659.0</v>
      </c>
      <c r="T71" s="32" t="n">
        <f>4138564</f>
        <v>4138564.0</v>
      </c>
      <c r="U71" s="32" t="n">
        <f>405418</f>
        <v>405418.0</v>
      </c>
      <c r="V71" s="32" t="n">
        <f>6887772580</f>
        <v>6.88777258E9</v>
      </c>
      <c r="W71" s="32" t="n">
        <f>675786390</f>
        <v>6.7578639E8</v>
      </c>
      <c r="X71" s="36" t="n">
        <f>20</f>
        <v>20.0</v>
      </c>
    </row>
    <row r="72">
      <c r="A72" s="27" t="s">
        <v>42</v>
      </c>
      <c r="B72" s="27" t="s">
        <v>257</v>
      </c>
      <c r="C72" s="27" t="s">
        <v>258</v>
      </c>
      <c r="D72" s="27" t="s">
        <v>259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1795</f>
        <v>1795.0</v>
      </c>
      <c r="L72" s="34" t="s">
        <v>48</v>
      </c>
      <c r="M72" s="33" t="n">
        <f>1815</f>
        <v>1815.0</v>
      </c>
      <c r="N72" s="34" t="s">
        <v>49</v>
      </c>
      <c r="O72" s="33" t="n">
        <f>1723</f>
        <v>1723.0</v>
      </c>
      <c r="P72" s="34" t="s">
        <v>62</v>
      </c>
      <c r="Q72" s="33" t="n">
        <f>1780</f>
        <v>1780.0</v>
      </c>
      <c r="R72" s="34" t="s">
        <v>51</v>
      </c>
      <c r="S72" s="35" t="n">
        <f>1773.2</f>
        <v>1773.2</v>
      </c>
      <c r="T72" s="32" t="n">
        <f>2607940</f>
        <v>2607940.0</v>
      </c>
      <c r="U72" s="32" t="n">
        <f>1194440</f>
        <v>1194440.0</v>
      </c>
      <c r="V72" s="32" t="n">
        <f>4643483086</f>
        <v>4.643483086E9</v>
      </c>
      <c r="W72" s="32" t="n">
        <f>2150403009</f>
        <v>2.150403009E9</v>
      </c>
      <c r="X72" s="36" t="n">
        <f>20</f>
        <v>20.0</v>
      </c>
    </row>
    <row r="73">
      <c r="A73" s="27" t="s">
        <v>42</v>
      </c>
      <c r="B73" s="27" t="s">
        <v>260</v>
      </c>
      <c r="C73" s="27" t="s">
        <v>261</v>
      </c>
      <c r="D73" s="27" t="s">
        <v>262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1719</f>
        <v>1719.0</v>
      </c>
      <c r="L73" s="34" t="s">
        <v>48</v>
      </c>
      <c r="M73" s="33" t="n">
        <f>1758</f>
        <v>1758.0</v>
      </c>
      <c r="N73" s="34" t="s">
        <v>49</v>
      </c>
      <c r="O73" s="33" t="n">
        <f>1683</f>
        <v>1683.0</v>
      </c>
      <c r="P73" s="34" t="s">
        <v>50</v>
      </c>
      <c r="Q73" s="33" t="n">
        <f>1725</f>
        <v>1725.0</v>
      </c>
      <c r="R73" s="34" t="s">
        <v>51</v>
      </c>
      <c r="S73" s="35" t="n">
        <f>1717.4</f>
        <v>1717.4</v>
      </c>
      <c r="T73" s="32" t="n">
        <f>324131</f>
        <v>324131.0</v>
      </c>
      <c r="U73" s="32" t="n">
        <f>318388</f>
        <v>318388.0</v>
      </c>
      <c r="V73" s="32" t="n">
        <f>557903951</f>
        <v>5.57903951E8</v>
      </c>
      <c r="W73" s="32" t="n">
        <f>548047631</f>
        <v>5.48047631E8</v>
      </c>
      <c r="X73" s="36" t="n">
        <f>20</f>
        <v>20.0</v>
      </c>
    </row>
    <row r="74">
      <c r="A74" s="27" t="s">
        <v>42</v>
      </c>
      <c r="B74" s="27" t="s">
        <v>263</v>
      </c>
      <c r="C74" s="27" t="s">
        <v>264</v>
      </c>
      <c r="D74" s="27" t="s">
        <v>265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1730</f>
        <v>1730.0</v>
      </c>
      <c r="L74" s="34" t="s">
        <v>48</v>
      </c>
      <c r="M74" s="33" t="n">
        <f>1765</f>
        <v>1765.0</v>
      </c>
      <c r="N74" s="34" t="s">
        <v>266</v>
      </c>
      <c r="O74" s="33" t="n">
        <f>1680</f>
        <v>1680.0</v>
      </c>
      <c r="P74" s="34" t="s">
        <v>98</v>
      </c>
      <c r="Q74" s="33" t="n">
        <f>1710</f>
        <v>1710.0</v>
      </c>
      <c r="R74" s="34" t="s">
        <v>51</v>
      </c>
      <c r="S74" s="35" t="n">
        <f>1726.05</f>
        <v>1726.05</v>
      </c>
      <c r="T74" s="32" t="n">
        <f>156051</f>
        <v>156051.0</v>
      </c>
      <c r="U74" s="32" t="n">
        <f>14900</f>
        <v>14900.0</v>
      </c>
      <c r="V74" s="32" t="n">
        <f>268633662</f>
        <v>2.68633662E8</v>
      </c>
      <c r="W74" s="32" t="n">
        <f>25747200</f>
        <v>2.57472E7</v>
      </c>
      <c r="X74" s="36" t="n">
        <f>20</f>
        <v>20.0</v>
      </c>
    </row>
    <row r="75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19640</f>
        <v>19640.0</v>
      </c>
      <c r="L75" s="34" t="s">
        <v>48</v>
      </c>
      <c r="M75" s="33" t="n">
        <f>20230</f>
        <v>20230.0</v>
      </c>
      <c r="N75" s="34" t="s">
        <v>49</v>
      </c>
      <c r="O75" s="33" t="n">
        <f>19280</f>
        <v>19280.0</v>
      </c>
      <c r="P75" s="34" t="s">
        <v>50</v>
      </c>
      <c r="Q75" s="33" t="n">
        <f>20080</f>
        <v>20080.0</v>
      </c>
      <c r="R75" s="34" t="s">
        <v>51</v>
      </c>
      <c r="S75" s="35" t="n">
        <f>19701.82</f>
        <v>19701.82</v>
      </c>
      <c r="T75" s="32" t="n">
        <f>17</f>
        <v>17.0</v>
      </c>
      <c r="U75" s="32" t="str">
        <f>"－"</f>
        <v>－</v>
      </c>
      <c r="V75" s="32" t="n">
        <f>336470</f>
        <v>336470.0</v>
      </c>
      <c r="W75" s="32" t="str">
        <f>"－"</f>
        <v>－</v>
      </c>
      <c r="X75" s="36" t="n">
        <f>11</f>
        <v>11.0</v>
      </c>
    </row>
    <row r="76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16180</f>
        <v>16180.0</v>
      </c>
      <c r="L76" s="34" t="s">
        <v>97</v>
      </c>
      <c r="M76" s="33" t="n">
        <f>16640</f>
        <v>16640.0</v>
      </c>
      <c r="N76" s="34" t="s">
        <v>51</v>
      </c>
      <c r="O76" s="33" t="n">
        <f>16070</f>
        <v>16070.0</v>
      </c>
      <c r="P76" s="34" t="s">
        <v>69</v>
      </c>
      <c r="Q76" s="33" t="n">
        <f>16450</f>
        <v>16450.0</v>
      </c>
      <c r="R76" s="34" t="s">
        <v>51</v>
      </c>
      <c r="S76" s="35" t="n">
        <f>16289.17</f>
        <v>16289.17</v>
      </c>
      <c r="T76" s="32" t="n">
        <f>1761</f>
        <v>1761.0</v>
      </c>
      <c r="U76" s="32" t="str">
        <f>"－"</f>
        <v>－</v>
      </c>
      <c r="V76" s="32" t="n">
        <f>28938010</f>
        <v>2.893801E7</v>
      </c>
      <c r="W76" s="32" t="str">
        <f>"－"</f>
        <v>－</v>
      </c>
      <c r="X76" s="36" t="n">
        <f>12</f>
        <v>12.0</v>
      </c>
    </row>
    <row r="77">
      <c r="A77" s="27" t="s">
        <v>42</v>
      </c>
      <c r="B77" s="27" t="s">
        <v>273</v>
      </c>
      <c r="C77" s="27" t="s">
        <v>274</v>
      </c>
      <c r="D77" s="27" t="s">
        <v>275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1607</f>
        <v>1607.0</v>
      </c>
      <c r="L77" s="34" t="s">
        <v>48</v>
      </c>
      <c r="M77" s="33" t="n">
        <f>1660</f>
        <v>1660.0</v>
      </c>
      <c r="N77" s="34" t="s">
        <v>51</v>
      </c>
      <c r="O77" s="33" t="n">
        <f>1581</f>
        <v>1581.0</v>
      </c>
      <c r="P77" s="34" t="s">
        <v>50</v>
      </c>
      <c r="Q77" s="33" t="n">
        <f>1633</f>
        <v>1633.0</v>
      </c>
      <c r="R77" s="34" t="s">
        <v>51</v>
      </c>
      <c r="S77" s="35" t="n">
        <f>1616.42</f>
        <v>1616.42</v>
      </c>
      <c r="T77" s="32" t="n">
        <f>63680</f>
        <v>63680.0</v>
      </c>
      <c r="U77" s="32" t="str">
        <f>"－"</f>
        <v>－</v>
      </c>
      <c r="V77" s="32" t="n">
        <f>102438751</f>
        <v>1.02438751E8</v>
      </c>
      <c r="W77" s="32" t="str">
        <f>"－"</f>
        <v>－</v>
      </c>
      <c r="X77" s="36" t="n">
        <f>19</f>
        <v>19.0</v>
      </c>
    </row>
    <row r="78">
      <c r="A78" s="27" t="s">
        <v>42</v>
      </c>
      <c r="B78" s="27" t="s">
        <v>276</v>
      </c>
      <c r="C78" s="27" t="s">
        <v>277</v>
      </c>
      <c r="D78" s="27" t="s">
        <v>278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2510</f>
        <v>2510.0</v>
      </c>
      <c r="L78" s="34" t="s">
        <v>48</v>
      </c>
      <c r="M78" s="33" t="n">
        <f>2524</f>
        <v>2524.0</v>
      </c>
      <c r="N78" s="34" t="s">
        <v>69</v>
      </c>
      <c r="O78" s="33" t="n">
        <f>2505</f>
        <v>2505.0</v>
      </c>
      <c r="P78" s="34" t="s">
        <v>279</v>
      </c>
      <c r="Q78" s="33" t="n">
        <f>2522</f>
        <v>2522.0</v>
      </c>
      <c r="R78" s="34" t="s">
        <v>51</v>
      </c>
      <c r="S78" s="35" t="n">
        <f>2515.4</f>
        <v>2515.4</v>
      </c>
      <c r="T78" s="32" t="n">
        <f>999480</f>
        <v>999480.0</v>
      </c>
      <c r="U78" s="32" t="n">
        <f>118601</f>
        <v>118601.0</v>
      </c>
      <c r="V78" s="32" t="n">
        <f>2513798271</f>
        <v>2.513798271E9</v>
      </c>
      <c r="W78" s="32" t="n">
        <f>298626048</f>
        <v>2.98626048E8</v>
      </c>
      <c r="X78" s="36" t="n">
        <f>20</f>
        <v>20.0</v>
      </c>
    </row>
    <row r="79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1540</f>
        <v>1540.0</v>
      </c>
      <c r="L79" s="34" t="s">
        <v>48</v>
      </c>
      <c r="M79" s="33" t="n">
        <f>1625</f>
        <v>1625.0</v>
      </c>
      <c r="N79" s="34" t="s">
        <v>49</v>
      </c>
      <c r="O79" s="33" t="n">
        <f>1525</f>
        <v>1525.0</v>
      </c>
      <c r="P79" s="34" t="s">
        <v>48</v>
      </c>
      <c r="Q79" s="33" t="n">
        <f>1624</f>
        <v>1624.0</v>
      </c>
      <c r="R79" s="34" t="s">
        <v>51</v>
      </c>
      <c r="S79" s="35" t="n">
        <f>1576</f>
        <v>1576.0</v>
      </c>
      <c r="T79" s="32" t="n">
        <f>1342</f>
        <v>1342.0</v>
      </c>
      <c r="U79" s="32" t="str">
        <f>"－"</f>
        <v>－</v>
      </c>
      <c r="V79" s="32" t="n">
        <f>2132751</f>
        <v>2132751.0</v>
      </c>
      <c r="W79" s="32" t="str">
        <f>"－"</f>
        <v>－</v>
      </c>
      <c r="X79" s="36" t="n">
        <f>18</f>
        <v>18.0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1583</f>
        <v>1583.0</v>
      </c>
      <c r="L80" s="34" t="s">
        <v>48</v>
      </c>
      <c r="M80" s="33" t="n">
        <f>1639</f>
        <v>1639.0</v>
      </c>
      <c r="N80" s="34" t="s">
        <v>49</v>
      </c>
      <c r="O80" s="33" t="n">
        <f>1566</f>
        <v>1566.0</v>
      </c>
      <c r="P80" s="34" t="s">
        <v>50</v>
      </c>
      <c r="Q80" s="33" t="n">
        <f>1618</f>
        <v>1618.0</v>
      </c>
      <c r="R80" s="34" t="s">
        <v>51</v>
      </c>
      <c r="S80" s="35" t="n">
        <f>1596.35</f>
        <v>1596.35</v>
      </c>
      <c r="T80" s="32" t="n">
        <f>4880</f>
        <v>4880.0</v>
      </c>
      <c r="U80" s="32" t="str">
        <f>"－"</f>
        <v>－</v>
      </c>
      <c r="V80" s="32" t="n">
        <f>7810090</f>
        <v>7810090.0</v>
      </c>
      <c r="W80" s="32" t="str">
        <f>"－"</f>
        <v>－</v>
      </c>
      <c r="X80" s="36" t="n">
        <f>20</f>
        <v>20.0</v>
      </c>
    </row>
    <row r="81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24730</f>
        <v>24730.0</v>
      </c>
      <c r="L81" s="34" t="s">
        <v>279</v>
      </c>
      <c r="M81" s="33" t="n">
        <f>25500</f>
        <v>25500.0</v>
      </c>
      <c r="N81" s="34" t="s">
        <v>49</v>
      </c>
      <c r="O81" s="33" t="n">
        <f>24730</f>
        <v>24730.0</v>
      </c>
      <c r="P81" s="34" t="s">
        <v>279</v>
      </c>
      <c r="Q81" s="33" t="n">
        <f>25500</f>
        <v>25500.0</v>
      </c>
      <c r="R81" s="34" t="s">
        <v>51</v>
      </c>
      <c r="S81" s="35" t="n">
        <f>25296</f>
        <v>25296.0</v>
      </c>
      <c r="T81" s="32" t="n">
        <f>13</f>
        <v>13.0</v>
      </c>
      <c r="U81" s="32" t="str">
        <f>"－"</f>
        <v>－</v>
      </c>
      <c r="V81" s="32" t="n">
        <f>330260</f>
        <v>330260.0</v>
      </c>
      <c r="W81" s="32" t="str">
        <f>"－"</f>
        <v>－</v>
      </c>
      <c r="X81" s="36" t="n">
        <f>5</f>
        <v>5.0</v>
      </c>
    </row>
    <row r="82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22000</f>
        <v>22000.0</v>
      </c>
      <c r="L82" s="34" t="s">
        <v>48</v>
      </c>
      <c r="M82" s="33" t="n">
        <f>22150</f>
        <v>22150.0</v>
      </c>
      <c r="N82" s="34" t="s">
        <v>69</v>
      </c>
      <c r="O82" s="33" t="n">
        <f>21760</f>
        <v>21760.0</v>
      </c>
      <c r="P82" s="34" t="s">
        <v>90</v>
      </c>
      <c r="Q82" s="33" t="n">
        <f>21990</f>
        <v>21990.0</v>
      </c>
      <c r="R82" s="34" t="s">
        <v>51</v>
      </c>
      <c r="S82" s="35" t="n">
        <f>21982.11</f>
        <v>21982.11</v>
      </c>
      <c r="T82" s="32" t="n">
        <f>383930</f>
        <v>383930.0</v>
      </c>
      <c r="U82" s="32" t="n">
        <f>348000</f>
        <v>348000.0</v>
      </c>
      <c r="V82" s="32" t="n">
        <f>8427322230</f>
        <v>8.42732223E9</v>
      </c>
      <c r="W82" s="32" t="n">
        <f>7637334000</f>
        <v>7.637334E9</v>
      </c>
      <c r="X82" s="36" t="n">
        <f>19</f>
        <v>19.0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19620</f>
        <v>19620.0</v>
      </c>
      <c r="L83" s="34" t="s">
        <v>48</v>
      </c>
      <c r="M83" s="33" t="n">
        <f>19750</f>
        <v>19750.0</v>
      </c>
      <c r="N83" s="34" t="s">
        <v>69</v>
      </c>
      <c r="O83" s="33" t="n">
        <f>19620</f>
        <v>19620.0</v>
      </c>
      <c r="P83" s="34" t="s">
        <v>48</v>
      </c>
      <c r="Q83" s="33" t="n">
        <f>19730</f>
        <v>19730.0</v>
      </c>
      <c r="R83" s="34" t="s">
        <v>51</v>
      </c>
      <c r="S83" s="35" t="n">
        <f>19682.5</f>
        <v>19682.5</v>
      </c>
      <c r="T83" s="32" t="n">
        <f>53981</f>
        <v>53981.0</v>
      </c>
      <c r="U83" s="32" t="n">
        <f>2500</f>
        <v>2500.0</v>
      </c>
      <c r="V83" s="32" t="n">
        <f>1062756345</f>
        <v>1.062756345E9</v>
      </c>
      <c r="W83" s="32" t="n">
        <f>49172075</f>
        <v>4.9172075E7</v>
      </c>
      <c r="X83" s="36" t="n">
        <f>20</f>
        <v>20.0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1811</f>
        <v>1811.0</v>
      </c>
      <c r="L84" s="34" t="s">
        <v>48</v>
      </c>
      <c r="M84" s="33" t="n">
        <f>1818</f>
        <v>1818.0</v>
      </c>
      <c r="N84" s="34" t="s">
        <v>48</v>
      </c>
      <c r="O84" s="33" t="n">
        <f>1710</f>
        <v>1710.0</v>
      </c>
      <c r="P84" s="34" t="s">
        <v>62</v>
      </c>
      <c r="Q84" s="33" t="n">
        <f>1775</f>
        <v>1775.0</v>
      </c>
      <c r="R84" s="34" t="s">
        <v>51</v>
      </c>
      <c r="S84" s="35" t="n">
        <f>1765.75</f>
        <v>1765.75</v>
      </c>
      <c r="T84" s="32" t="n">
        <f>1303660</f>
        <v>1303660.0</v>
      </c>
      <c r="U84" s="32" t="n">
        <f>390150</f>
        <v>390150.0</v>
      </c>
      <c r="V84" s="32" t="n">
        <f>2302779660</f>
        <v>2.30277966E9</v>
      </c>
      <c r="W84" s="32" t="n">
        <f>688194030</f>
        <v>6.8819403E8</v>
      </c>
      <c r="X84" s="36" t="n">
        <f>20</f>
        <v>20.0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28510</f>
        <v>28510.0</v>
      </c>
      <c r="L85" s="34" t="s">
        <v>48</v>
      </c>
      <c r="M85" s="33" t="n">
        <f>29080</f>
        <v>29080.0</v>
      </c>
      <c r="N85" s="34" t="s">
        <v>266</v>
      </c>
      <c r="O85" s="33" t="n">
        <f>27840</f>
        <v>27840.0</v>
      </c>
      <c r="P85" s="34" t="s">
        <v>168</v>
      </c>
      <c r="Q85" s="33" t="n">
        <f>27900</f>
        <v>27900.0</v>
      </c>
      <c r="R85" s="34" t="s">
        <v>51</v>
      </c>
      <c r="S85" s="35" t="n">
        <f>28501.5</f>
        <v>28501.5</v>
      </c>
      <c r="T85" s="32" t="n">
        <f>30606</f>
        <v>30606.0</v>
      </c>
      <c r="U85" s="32" t="n">
        <f>3232</f>
        <v>3232.0</v>
      </c>
      <c r="V85" s="32" t="n">
        <f>869922273</f>
        <v>8.69922273E8</v>
      </c>
      <c r="W85" s="32" t="n">
        <f>93433403</f>
        <v>9.3433403E7</v>
      </c>
      <c r="X85" s="36" t="n">
        <f>20</f>
        <v>20.0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8140</f>
        <v>8140.0</v>
      </c>
      <c r="L86" s="34" t="s">
        <v>48</v>
      </c>
      <c r="M86" s="33" t="n">
        <f>8290</f>
        <v>8290.0</v>
      </c>
      <c r="N86" s="34" t="s">
        <v>50</v>
      </c>
      <c r="O86" s="33" t="n">
        <f>7960</f>
        <v>7960.0</v>
      </c>
      <c r="P86" s="34" t="s">
        <v>51</v>
      </c>
      <c r="Q86" s="33" t="n">
        <f>8010</f>
        <v>8010.0</v>
      </c>
      <c r="R86" s="34" t="s">
        <v>51</v>
      </c>
      <c r="S86" s="35" t="n">
        <f>8133.33</f>
        <v>8133.33</v>
      </c>
      <c r="T86" s="32" t="n">
        <f>540</f>
        <v>540.0</v>
      </c>
      <c r="U86" s="32" t="str">
        <f>"－"</f>
        <v>－</v>
      </c>
      <c r="V86" s="32" t="n">
        <f>4381800</f>
        <v>4381800.0</v>
      </c>
      <c r="W86" s="32" t="str">
        <f>"－"</f>
        <v>－</v>
      </c>
      <c r="X86" s="36" t="n">
        <f>15</f>
        <v>15.0</v>
      </c>
    </row>
    <row r="87">
      <c r="A87" s="27" t="s">
        <v>42</v>
      </c>
      <c r="B87" s="27" t="s">
        <v>304</v>
      </c>
      <c r="C87" s="27" t="s">
        <v>305</v>
      </c>
      <c r="D87" s="27" t="s">
        <v>306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13440</f>
        <v>13440.0</v>
      </c>
      <c r="L87" s="34" t="s">
        <v>48</v>
      </c>
      <c r="M87" s="33" t="n">
        <f>15200</f>
        <v>15200.0</v>
      </c>
      <c r="N87" s="34" t="s">
        <v>51</v>
      </c>
      <c r="O87" s="33" t="n">
        <f>13420</f>
        <v>13420.0</v>
      </c>
      <c r="P87" s="34" t="s">
        <v>50</v>
      </c>
      <c r="Q87" s="33" t="n">
        <f>14470</f>
        <v>14470.0</v>
      </c>
      <c r="R87" s="34" t="s">
        <v>51</v>
      </c>
      <c r="S87" s="35" t="n">
        <f>13857.5</f>
        <v>13857.5</v>
      </c>
      <c r="T87" s="32" t="n">
        <f>934</f>
        <v>934.0</v>
      </c>
      <c r="U87" s="32" t="str">
        <f>"－"</f>
        <v>－</v>
      </c>
      <c r="V87" s="32" t="n">
        <f>13048890</f>
        <v>1.304889E7</v>
      </c>
      <c r="W87" s="32" t="str">
        <f>"－"</f>
        <v>－</v>
      </c>
      <c r="X87" s="36" t="n">
        <f>20</f>
        <v>20.0</v>
      </c>
    </row>
    <row r="88">
      <c r="A88" s="27" t="s">
        <v>42</v>
      </c>
      <c r="B88" s="27" t="s">
        <v>307</v>
      </c>
      <c r="C88" s="27" t="s">
        <v>308</v>
      </c>
      <c r="D88" s="27" t="s">
        <v>309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13590</f>
        <v>13590.0</v>
      </c>
      <c r="L88" s="34" t="s">
        <v>48</v>
      </c>
      <c r="M88" s="33" t="n">
        <f>14520</f>
        <v>14520.0</v>
      </c>
      <c r="N88" s="34" t="s">
        <v>49</v>
      </c>
      <c r="O88" s="33" t="n">
        <f>13470</f>
        <v>13470.0</v>
      </c>
      <c r="P88" s="34" t="s">
        <v>69</v>
      </c>
      <c r="Q88" s="33" t="n">
        <f>14280</f>
        <v>14280.0</v>
      </c>
      <c r="R88" s="34" t="s">
        <v>51</v>
      </c>
      <c r="S88" s="35" t="n">
        <f>13940.5</f>
        <v>13940.5</v>
      </c>
      <c r="T88" s="32" t="n">
        <f>10629</f>
        <v>10629.0</v>
      </c>
      <c r="U88" s="32" t="str">
        <f>"－"</f>
        <v>－</v>
      </c>
      <c r="V88" s="32" t="n">
        <f>150944710</f>
        <v>1.5094471E8</v>
      </c>
      <c r="W88" s="32" t="str">
        <f>"－"</f>
        <v>－</v>
      </c>
      <c r="X88" s="36" t="n">
        <f>20</f>
        <v>20.0</v>
      </c>
    </row>
    <row r="89">
      <c r="A89" s="27" t="s">
        <v>42</v>
      </c>
      <c r="B89" s="27" t="s">
        <v>310</v>
      </c>
      <c r="C89" s="27" t="s">
        <v>311</v>
      </c>
      <c r="D89" s="27" t="s">
        <v>312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16080</f>
        <v>16080.0</v>
      </c>
      <c r="L89" s="34" t="s">
        <v>48</v>
      </c>
      <c r="M89" s="33" t="n">
        <f>16790</f>
        <v>16790.0</v>
      </c>
      <c r="N89" s="34" t="s">
        <v>266</v>
      </c>
      <c r="O89" s="33" t="n">
        <f>16060</f>
        <v>16060.0</v>
      </c>
      <c r="P89" s="34" t="s">
        <v>97</v>
      </c>
      <c r="Q89" s="33" t="n">
        <f>16320</f>
        <v>16320.0</v>
      </c>
      <c r="R89" s="34" t="s">
        <v>51</v>
      </c>
      <c r="S89" s="35" t="n">
        <f>16400</f>
        <v>16400.0</v>
      </c>
      <c r="T89" s="32" t="n">
        <f>2474</f>
        <v>2474.0</v>
      </c>
      <c r="U89" s="32" t="str">
        <f>"－"</f>
        <v>－</v>
      </c>
      <c r="V89" s="32" t="n">
        <f>40537130</f>
        <v>4.053713E7</v>
      </c>
      <c r="W89" s="32" t="str">
        <f>"－"</f>
        <v>－</v>
      </c>
      <c r="X89" s="36" t="n">
        <f>20</f>
        <v>20.0</v>
      </c>
    </row>
    <row r="90">
      <c r="A90" s="27" t="s">
        <v>42</v>
      </c>
      <c r="B90" s="27" t="s">
        <v>313</v>
      </c>
      <c r="C90" s="27" t="s">
        <v>314</v>
      </c>
      <c r="D90" s="27" t="s">
        <v>315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9770</f>
        <v>9770.0</v>
      </c>
      <c r="L90" s="34" t="s">
        <v>48</v>
      </c>
      <c r="M90" s="33" t="n">
        <f>10010</f>
        <v>10010.0</v>
      </c>
      <c r="N90" s="34" t="s">
        <v>176</v>
      </c>
      <c r="O90" s="33" t="n">
        <f>9640</f>
        <v>9640.0</v>
      </c>
      <c r="P90" s="34" t="s">
        <v>69</v>
      </c>
      <c r="Q90" s="33" t="n">
        <f>9860</f>
        <v>9860.0</v>
      </c>
      <c r="R90" s="34" t="s">
        <v>51</v>
      </c>
      <c r="S90" s="35" t="n">
        <f>9800.5</f>
        <v>9800.5</v>
      </c>
      <c r="T90" s="32" t="n">
        <f>10370</f>
        <v>10370.0</v>
      </c>
      <c r="U90" s="32" t="n">
        <f>10</f>
        <v>10.0</v>
      </c>
      <c r="V90" s="32" t="n">
        <f>101777400</f>
        <v>1.017774E8</v>
      </c>
      <c r="W90" s="32" t="n">
        <f>98600</f>
        <v>98600.0</v>
      </c>
      <c r="X90" s="36" t="n">
        <f>20</f>
        <v>20.0</v>
      </c>
    </row>
    <row r="91">
      <c r="A91" s="27" t="s">
        <v>42</v>
      </c>
      <c r="B91" s="27" t="s">
        <v>316</v>
      </c>
      <c r="C91" s="27" t="s">
        <v>317</v>
      </c>
      <c r="D91" s="27" t="s">
        <v>318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2648</f>
        <v>2648.0</v>
      </c>
      <c r="L91" s="34" t="s">
        <v>48</v>
      </c>
      <c r="M91" s="33" t="n">
        <f>2670</f>
        <v>2670.0</v>
      </c>
      <c r="N91" s="34" t="s">
        <v>61</v>
      </c>
      <c r="O91" s="33" t="n">
        <f>2615</f>
        <v>2615.0</v>
      </c>
      <c r="P91" s="34" t="s">
        <v>86</v>
      </c>
      <c r="Q91" s="33" t="n">
        <f>2632</f>
        <v>2632.0</v>
      </c>
      <c r="R91" s="34" t="s">
        <v>51</v>
      </c>
      <c r="S91" s="35" t="n">
        <f>2642.7</f>
        <v>2642.7</v>
      </c>
      <c r="T91" s="32" t="n">
        <f>345557</f>
        <v>345557.0</v>
      </c>
      <c r="U91" s="32" t="n">
        <f>291557</f>
        <v>291557.0</v>
      </c>
      <c r="V91" s="32" t="n">
        <f>914187999</f>
        <v>9.14187999E8</v>
      </c>
      <c r="W91" s="32" t="n">
        <f>771862697</f>
        <v>7.71862697E8</v>
      </c>
      <c r="X91" s="36" t="n">
        <f>20</f>
        <v>20.0</v>
      </c>
    </row>
    <row r="92">
      <c r="A92" s="27" t="s">
        <v>42</v>
      </c>
      <c r="B92" s="27" t="s">
        <v>319</v>
      </c>
      <c r="C92" s="27" t="s">
        <v>320</v>
      </c>
      <c r="D92" s="27" t="s">
        <v>321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2315</f>
        <v>2315.0</v>
      </c>
      <c r="L92" s="34" t="s">
        <v>48</v>
      </c>
      <c r="M92" s="33" t="n">
        <f>2330</f>
        <v>2330.0</v>
      </c>
      <c r="N92" s="34" t="s">
        <v>61</v>
      </c>
      <c r="O92" s="33" t="n">
        <f>2256</f>
        <v>2256.0</v>
      </c>
      <c r="P92" s="34" t="s">
        <v>86</v>
      </c>
      <c r="Q92" s="33" t="n">
        <f>2264</f>
        <v>2264.0</v>
      </c>
      <c r="R92" s="34" t="s">
        <v>51</v>
      </c>
      <c r="S92" s="35" t="n">
        <f>2292.4</f>
        <v>2292.4</v>
      </c>
      <c r="T92" s="32" t="n">
        <f>188114</f>
        <v>188114.0</v>
      </c>
      <c r="U92" s="32" t="n">
        <f>109640</f>
        <v>109640.0</v>
      </c>
      <c r="V92" s="32" t="n">
        <f>432679621</f>
        <v>4.32679621E8</v>
      </c>
      <c r="W92" s="32" t="n">
        <f>252585342</f>
        <v>2.52585342E8</v>
      </c>
      <c r="X92" s="36" t="n">
        <f>20</f>
        <v>20.0</v>
      </c>
    </row>
    <row r="93">
      <c r="A93" s="27" t="s">
        <v>42</v>
      </c>
      <c r="B93" s="27" t="s">
        <v>322</v>
      </c>
      <c r="C93" s="27" t="s">
        <v>323</v>
      </c>
      <c r="D93" s="27" t="s">
        <v>324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11970</f>
        <v>11970.0</v>
      </c>
      <c r="L93" s="34" t="s">
        <v>48</v>
      </c>
      <c r="M93" s="33" t="n">
        <f>12310</f>
        <v>12310.0</v>
      </c>
      <c r="N93" s="34" t="s">
        <v>49</v>
      </c>
      <c r="O93" s="33" t="n">
        <f>11890</f>
        <v>11890.0</v>
      </c>
      <c r="P93" s="34" t="s">
        <v>50</v>
      </c>
      <c r="Q93" s="33" t="n">
        <f>12080</f>
        <v>12080.0</v>
      </c>
      <c r="R93" s="34" t="s">
        <v>51</v>
      </c>
      <c r="S93" s="35" t="n">
        <f>12077</f>
        <v>12077.0</v>
      </c>
      <c r="T93" s="32" t="n">
        <f>2993</f>
        <v>2993.0</v>
      </c>
      <c r="U93" s="32" t="str">
        <f>"－"</f>
        <v>－</v>
      </c>
      <c r="V93" s="32" t="n">
        <f>36232180</f>
        <v>3.623218E7</v>
      </c>
      <c r="W93" s="32" t="str">
        <f>"－"</f>
        <v>－</v>
      </c>
      <c r="X93" s="36" t="n">
        <f>20</f>
        <v>20.0</v>
      </c>
    </row>
    <row r="94">
      <c r="A94" s="27" t="s">
        <v>42</v>
      </c>
      <c r="B94" s="27" t="s">
        <v>325</v>
      </c>
      <c r="C94" s="27" t="s">
        <v>326</v>
      </c>
      <c r="D94" s="27" t="s">
        <v>327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8000</f>
        <v>8000.0</v>
      </c>
      <c r="L94" s="34" t="s">
        <v>48</v>
      </c>
      <c r="M94" s="33" t="n">
        <f>8040</f>
        <v>8040.0</v>
      </c>
      <c r="N94" s="34" t="s">
        <v>266</v>
      </c>
      <c r="O94" s="33" t="n">
        <f>7810</f>
        <v>7810.0</v>
      </c>
      <c r="P94" s="34" t="s">
        <v>51</v>
      </c>
      <c r="Q94" s="33" t="n">
        <f>7840</f>
        <v>7840.0</v>
      </c>
      <c r="R94" s="34" t="s">
        <v>51</v>
      </c>
      <c r="S94" s="35" t="n">
        <f>7913.5</f>
        <v>7913.5</v>
      </c>
      <c r="T94" s="32" t="n">
        <f>561</f>
        <v>561.0</v>
      </c>
      <c r="U94" s="32" t="str">
        <f>"－"</f>
        <v>－</v>
      </c>
      <c r="V94" s="32" t="n">
        <f>4429050</f>
        <v>4429050.0</v>
      </c>
      <c r="W94" s="32" t="str">
        <f>"－"</f>
        <v>－</v>
      </c>
      <c r="X94" s="36" t="n">
        <f>20</f>
        <v>20.0</v>
      </c>
    </row>
    <row r="95">
      <c r="A95" s="27" t="s">
        <v>42</v>
      </c>
      <c r="B95" s="27" t="s">
        <v>328</v>
      </c>
      <c r="C95" s="27" t="s">
        <v>329</v>
      </c>
      <c r="D95" s="27" t="s">
        <v>330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6520</f>
        <v>6520.0</v>
      </c>
      <c r="L95" s="34" t="s">
        <v>48</v>
      </c>
      <c r="M95" s="33" t="n">
        <f>6550</f>
        <v>6550.0</v>
      </c>
      <c r="N95" s="34" t="s">
        <v>48</v>
      </c>
      <c r="O95" s="33" t="n">
        <f>6020</f>
        <v>6020.0</v>
      </c>
      <c r="P95" s="34" t="s">
        <v>98</v>
      </c>
      <c r="Q95" s="33" t="n">
        <f>6140</f>
        <v>6140.0</v>
      </c>
      <c r="R95" s="34" t="s">
        <v>51</v>
      </c>
      <c r="S95" s="35" t="n">
        <f>6291</f>
        <v>6291.0</v>
      </c>
      <c r="T95" s="32" t="n">
        <f>3054200</f>
        <v>3054200.0</v>
      </c>
      <c r="U95" s="32" t="n">
        <f>30009</f>
        <v>30009.0</v>
      </c>
      <c r="V95" s="32" t="n">
        <f>19194729775</f>
        <v>1.9194729775E10</v>
      </c>
      <c r="W95" s="32" t="n">
        <f>192105265</f>
        <v>1.92105265E8</v>
      </c>
      <c r="X95" s="36" t="n">
        <f>20</f>
        <v>20.0</v>
      </c>
    </row>
    <row r="96">
      <c r="A96" s="27" t="s">
        <v>42</v>
      </c>
      <c r="B96" s="27" t="s">
        <v>331</v>
      </c>
      <c r="C96" s="27" t="s">
        <v>332</v>
      </c>
      <c r="D96" s="27" t="s">
        <v>333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3015</f>
        <v>3015.0</v>
      </c>
      <c r="L96" s="34" t="s">
        <v>48</v>
      </c>
      <c r="M96" s="33" t="n">
        <f>3205</f>
        <v>3205.0</v>
      </c>
      <c r="N96" s="34" t="s">
        <v>184</v>
      </c>
      <c r="O96" s="33" t="n">
        <f>2840</f>
        <v>2840.0</v>
      </c>
      <c r="P96" s="34" t="s">
        <v>98</v>
      </c>
      <c r="Q96" s="33" t="n">
        <f>2865</f>
        <v>2865.0</v>
      </c>
      <c r="R96" s="34" t="s">
        <v>51</v>
      </c>
      <c r="S96" s="35" t="n">
        <f>2983.35</f>
        <v>2983.35</v>
      </c>
      <c r="T96" s="32" t="n">
        <f>1467522</f>
        <v>1467522.0</v>
      </c>
      <c r="U96" s="32" t="n">
        <f>10001</f>
        <v>10001.0</v>
      </c>
      <c r="V96" s="32" t="n">
        <f>4419581458</f>
        <v>4.419581458E9</v>
      </c>
      <c r="W96" s="32" t="n">
        <f>29393594</f>
        <v>2.9393594E7</v>
      </c>
      <c r="X96" s="36" t="n">
        <f>20</f>
        <v>20.0</v>
      </c>
    </row>
    <row r="97">
      <c r="A97" s="27" t="s">
        <v>42</v>
      </c>
      <c r="B97" s="27" t="s">
        <v>334</v>
      </c>
      <c r="C97" s="27" t="s">
        <v>335</v>
      </c>
      <c r="D97" s="27" t="s">
        <v>336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8920</f>
        <v>8920.0</v>
      </c>
      <c r="L97" s="34" t="s">
        <v>48</v>
      </c>
      <c r="M97" s="33" t="n">
        <f>9050</f>
        <v>9050.0</v>
      </c>
      <c r="N97" s="34" t="s">
        <v>48</v>
      </c>
      <c r="O97" s="33" t="n">
        <f>6970</f>
        <v>6970.0</v>
      </c>
      <c r="P97" s="34" t="s">
        <v>98</v>
      </c>
      <c r="Q97" s="33" t="n">
        <f>7560</f>
        <v>7560.0</v>
      </c>
      <c r="R97" s="34" t="s">
        <v>51</v>
      </c>
      <c r="S97" s="35" t="n">
        <f>8200.5</f>
        <v>8200.5</v>
      </c>
      <c r="T97" s="32" t="n">
        <f>506108</f>
        <v>506108.0</v>
      </c>
      <c r="U97" s="32" t="n">
        <f>422</f>
        <v>422.0</v>
      </c>
      <c r="V97" s="32" t="n">
        <f>4032716605</f>
        <v>4.032716605E9</v>
      </c>
      <c r="W97" s="32" t="n">
        <f>3530775</f>
        <v>3530775.0</v>
      </c>
      <c r="X97" s="36" t="n">
        <f>20</f>
        <v>20.0</v>
      </c>
    </row>
    <row r="98">
      <c r="A98" s="27" t="s">
        <v>42</v>
      </c>
      <c r="B98" s="27" t="s">
        <v>337</v>
      </c>
      <c r="C98" s="27" t="s">
        <v>338</v>
      </c>
      <c r="D98" s="27" t="s">
        <v>339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70700</f>
        <v>70700.0</v>
      </c>
      <c r="L98" s="34" t="s">
        <v>48</v>
      </c>
      <c r="M98" s="33" t="n">
        <f>73400</f>
        <v>73400.0</v>
      </c>
      <c r="N98" s="34" t="s">
        <v>184</v>
      </c>
      <c r="O98" s="33" t="n">
        <f>67300</f>
        <v>67300.0</v>
      </c>
      <c r="P98" s="34" t="s">
        <v>176</v>
      </c>
      <c r="Q98" s="33" t="n">
        <f>70400</f>
        <v>70400.0</v>
      </c>
      <c r="R98" s="34" t="s">
        <v>51</v>
      </c>
      <c r="S98" s="35" t="n">
        <f>70680</f>
        <v>70680.0</v>
      </c>
      <c r="T98" s="32" t="n">
        <f>4467</f>
        <v>4467.0</v>
      </c>
      <c r="U98" s="32" t="n">
        <f>10</f>
        <v>10.0</v>
      </c>
      <c r="V98" s="32" t="n">
        <f>316242700</f>
        <v>3.162427E8</v>
      </c>
      <c r="W98" s="32" t="n">
        <f>718200</f>
        <v>718200.0</v>
      </c>
      <c r="X98" s="36" t="n">
        <f>20</f>
        <v>20.0</v>
      </c>
    </row>
    <row r="99">
      <c r="A99" s="27" t="s">
        <v>42</v>
      </c>
      <c r="B99" s="27" t="s">
        <v>340</v>
      </c>
      <c r="C99" s="27" t="s">
        <v>341</v>
      </c>
      <c r="D99" s="27" t="s">
        <v>342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13030</f>
        <v>13030.0</v>
      </c>
      <c r="L99" s="34" t="s">
        <v>48</v>
      </c>
      <c r="M99" s="33" t="n">
        <f>13390</f>
        <v>13390.0</v>
      </c>
      <c r="N99" s="34" t="s">
        <v>61</v>
      </c>
      <c r="O99" s="33" t="n">
        <f>11480</f>
        <v>11480.0</v>
      </c>
      <c r="P99" s="34" t="s">
        <v>98</v>
      </c>
      <c r="Q99" s="33" t="n">
        <f>11980</f>
        <v>11980.0</v>
      </c>
      <c r="R99" s="34" t="s">
        <v>51</v>
      </c>
      <c r="S99" s="35" t="n">
        <f>12253</f>
        <v>12253.0</v>
      </c>
      <c r="T99" s="32" t="n">
        <f>3812750</f>
        <v>3812750.0</v>
      </c>
      <c r="U99" s="32" t="n">
        <f>280480</f>
        <v>280480.0</v>
      </c>
      <c r="V99" s="32" t="n">
        <f>46894331925</f>
        <v>4.6894331925E10</v>
      </c>
      <c r="W99" s="32" t="n">
        <f>3486925925</f>
        <v>3.486925925E9</v>
      </c>
      <c r="X99" s="36" t="n">
        <f>20</f>
        <v>20.0</v>
      </c>
    </row>
    <row r="100">
      <c r="A100" s="27" t="s">
        <v>42</v>
      </c>
      <c r="B100" s="27" t="s">
        <v>343</v>
      </c>
      <c r="C100" s="27" t="s">
        <v>344</v>
      </c>
      <c r="D100" s="27" t="s">
        <v>345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29270</f>
        <v>29270.0</v>
      </c>
      <c r="L100" s="34" t="s">
        <v>48</v>
      </c>
      <c r="M100" s="33" t="n">
        <f>30050</f>
        <v>30050.0</v>
      </c>
      <c r="N100" s="34" t="s">
        <v>61</v>
      </c>
      <c r="O100" s="33" t="n">
        <f>27350</f>
        <v>27350.0</v>
      </c>
      <c r="P100" s="34" t="s">
        <v>98</v>
      </c>
      <c r="Q100" s="33" t="n">
        <f>27950</f>
        <v>27950.0</v>
      </c>
      <c r="R100" s="34" t="s">
        <v>51</v>
      </c>
      <c r="S100" s="35" t="n">
        <f>28669</f>
        <v>28669.0</v>
      </c>
      <c r="T100" s="32" t="n">
        <f>353700</f>
        <v>353700.0</v>
      </c>
      <c r="U100" s="32" t="n">
        <f>20306</f>
        <v>20306.0</v>
      </c>
      <c r="V100" s="32" t="n">
        <f>10179082690</f>
        <v>1.017908269E10</v>
      </c>
      <c r="W100" s="32" t="n">
        <f>584169580</f>
        <v>5.8416958E8</v>
      </c>
      <c r="X100" s="36" t="n">
        <f>20</f>
        <v>20.0</v>
      </c>
    </row>
    <row r="101">
      <c r="A101" s="27" t="s">
        <v>42</v>
      </c>
      <c r="B101" s="27" t="s">
        <v>346</v>
      </c>
      <c r="C101" s="27" t="s">
        <v>347</v>
      </c>
      <c r="D101" s="27" t="s">
        <v>348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4040</f>
        <v>4040.0</v>
      </c>
      <c r="L101" s="34" t="s">
        <v>48</v>
      </c>
      <c r="M101" s="33" t="n">
        <f>4150</f>
        <v>4150.0</v>
      </c>
      <c r="N101" s="34" t="s">
        <v>61</v>
      </c>
      <c r="O101" s="33" t="n">
        <f>3700</f>
        <v>3700.0</v>
      </c>
      <c r="P101" s="34" t="s">
        <v>98</v>
      </c>
      <c r="Q101" s="33" t="n">
        <f>3805</f>
        <v>3805.0</v>
      </c>
      <c r="R101" s="34" t="s">
        <v>51</v>
      </c>
      <c r="S101" s="35" t="n">
        <f>3901.25</f>
        <v>3901.25</v>
      </c>
      <c r="T101" s="32" t="n">
        <f>1331670</f>
        <v>1331670.0</v>
      </c>
      <c r="U101" s="32" t="n">
        <f>111830</f>
        <v>111830.0</v>
      </c>
      <c r="V101" s="32" t="n">
        <f>5197660774</f>
        <v>5.197660774E9</v>
      </c>
      <c r="W101" s="32" t="n">
        <f>430788324</f>
        <v>4.30788324E8</v>
      </c>
      <c r="X101" s="36" t="n">
        <f>20</f>
        <v>20.0</v>
      </c>
    </row>
    <row r="102">
      <c r="A102" s="27" t="s">
        <v>42</v>
      </c>
      <c r="B102" s="27" t="s">
        <v>349</v>
      </c>
      <c r="C102" s="27" t="s">
        <v>350</v>
      </c>
      <c r="D102" s="27" t="s">
        <v>351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2651</f>
        <v>2651.0</v>
      </c>
      <c r="L102" s="34" t="s">
        <v>48</v>
      </c>
      <c r="M102" s="33" t="n">
        <f>2698</f>
        <v>2698.0</v>
      </c>
      <c r="N102" s="34" t="s">
        <v>61</v>
      </c>
      <c r="O102" s="33" t="n">
        <f>2465</f>
        <v>2465.0</v>
      </c>
      <c r="P102" s="34" t="s">
        <v>98</v>
      </c>
      <c r="Q102" s="33" t="n">
        <f>2535</f>
        <v>2535.0</v>
      </c>
      <c r="R102" s="34" t="s">
        <v>51</v>
      </c>
      <c r="S102" s="35" t="n">
        <f>2580.7</f>
        <v>2580.7</v>
      </c>
      <c r="T102" s="32" t="n">
        <f>218990</f>
        <v>218990.0</v>
      </c>
      <c r="U102" s="32" t="n">
        <f>97010</f>
        <v>97010.0</v>
      </c>
      <c r="V102" s="32" t="n">
        <f>565320689</f>
        <v>5.65320689E8</v>
      </c>
      <c r="W102" s="32" t="n">
        <f>253188809</f>
        <v>2.53188809E8</v>
      </c>
      <c r="X102" s="36" t="n">
        <f>20</f>
        <v>20.0</v>
      </c>
    </row>
    <row r="103">
      <c r="A103" s="27" t="s">
        <v>42</v>
      </c>
      <c r="B103" s="27" t="s">
        <v>352</v>
      </c>
      <c r="C103" s="27" t="s">
        <v>353</v>
      </c>
      <c r="D103" s="27" t="s">
        <v>354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4670</f>
        <v>4670.0</v>
      </c>
      <c r="L103" s="34" t="s">
        <v>48</v>
      </c>
      <c r="M103" s="33" t="n">
        <f>4835</f>
        <v>4835.0</v>
      </c>
      <c r="N103" s="34" t="s">
        <v>51</v>
      </c>
      <c r="O103" s="33" t="n">
        <f>4535</f>
        <v>4535.0</v>
      </c>
      <c r="P103" s="34" t="s">
        <v>50</v>
      </c>
      <c r="Q103" s="33" t="n">
        <f>4790</f>
        <v>4790.0</v>
      </c>
      <c r="R103" s="34" t="s">
        <v>51</v>
      </c>
      <c r="S103" s="35" t="n">
        <f>4685.75</f>
        <v>4685.75</v>
      </c>
      <c r="T103" s="32" t="n">
        <f>14590</f>
        <v>14590.0</v>
      </c>
      <c r="U103" s="32" t="str">
        <f>"－"</f>
        <v>－</v>
      </c>
      <c r="V103" s="32" t="n">
        <f>68658500</f>
        <v>6.86585E7</v>
      </c>
      <c r="W103" s="32" t="str">
        <f>"－"</f>
        <v>－</v>
      </c>
      <c r="X103" s="36" t="n">
        <f>20</f>
        <v>20.0</v>
      </c>
    </row>
    <row r="104">
      <c r="A104" s="27" t="s">
        <v>42</v>
      </c>
      <c r="B104" s="27" t="s">
        <v>355</v>
      </c>
      <c r="C104" s="27" t="s">
        <v>356</v>
      </c>
      <c r="D104" s="27" t="s">
        <v>357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9070</f>
        <v>9070.0</v>
      </c>
      <c r="L104" s="34" t="s">
        <v>48</v>
      </c>
      <c r="M104" s="33" t="n">
        <f>10940</f>
        <v>10940.0</v>
      </c>
      <c r="N104" s="34" t="s">
        <v>69</v>
      </c>
      <c r="O104" s="33" t="n">
        <f>8110</f>
        <v>8110.0</v>
      </c>
      <c r="P104" s="34" t="s">
        <v>90</v>
      </c>
      <c r="Q104" s="33" t="n">
        <f>8570</f>
        <v>8570.0</v>
      </c>
      <c r="R104" s="34" t="s">
        <v>51</v>
      </c>
      <c r="S104" s="35" t="n">
        <f>8982</f>
        <v>8982.0</v>
      </c>
      <c r="T104" s="32" t="n">
        <f>5596007</f>
        <v>5596007.0</v>
      </c>
      <c r="U104" s="32" t="n">
        <f>2121</f>
        <v>2121.0</v>
      </c>
      <c r="V104" s="32" t="n">
        <f>52032011645</f>
        <v>5.2032011645E10</v>
      </c>
      <c r="W104" s="32" t="n">
        <f>19386275</f>
        <v>1.9386275E7</v>
      </c>
      <c r="X104" s="36" t="n">
        <f>20</f>
        <v>20.0</v>
      </c>
    </row>
    <row r="105">
      <c r="A105" s="27" t="s">
        <v>42</v>
      </c>
      <c r="B105" s="27" t="s">
        <v>358</v>
      </c>
      <c r="C105" s="27" t="s">
        <v>359</v>
      </c>
      <c r="D105" s="27" t="s">
        <v>360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2305</f>
        <v>2305.0</v>
      </c>
      <c r="L105" s="34" t="s">
        <v>48</v>
      </c>
      <c r="M105" s="33" t="n">
        <f>2345</f>
        <v>2345.0</v>
      </c>
      <c r="N105" s="34" t="s">
        <v>61</v>
      </c>
      <c r="O105" s="33" t="n">
        <f>2127</f>
        <v>2127.0</v>
      </c>
      <c r="P105" s="34" t="s">
        <v>98</v>
      </c>
      <c r="Q105" s="33" t="n">
        <f>2196</f>
        <v>2196.0</v>
      </c>
      <c r="R105" s="34" t="s">
        <v>51</v>
      </c>
      <c r="S105" s="35" t="n">
        <f>2239.2</f>
        <v>2239.2</v>
      </c>
      <c r="T105" s="32" t="n">
        <f>51550</f>
        <v>51550.0</v>
      </c>
      <c r="U105" s="32" t="n">
        <f>90</f>
        <v>90.0</v>
      </c>
      <c r="V105" s="32" t="n">
        <f>115165280</f>
        <v>1.1516528E8</v>
      </c>
      <c r="W105" s="32" t="n">
        <f>198330</f>
        <v>198330.0</v>
      </c>
      <c r="X105" s="36" t="n">
        <f>20</f>
        <v>20.0</v>
      </c>
    </row>
    <row r="106">
      <c r="A106" s="27" t="s">
        <v>42</v>
      </c>
      <c r="B106" s="27" t="s">
        <v>361</v>
      </c>
      <c r="C106" s="27" t="s">
        <v>362</v>
      </c>
      <c r="D106" s="27" t="s">
        <v>363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1380</f>
        <v>1380.0</v>
      </c>
      <c r="L106" s="34" t="s">
        <v>48</v>
      </c>
      <c r="M106" s="33" t="n">
        <f>1384</f>
        <v>1384.0</v>
      </c>
      <c r="N106" s="34" t="s">
        <v>61</v>
      </c>
      <c r="O106" s="33" t="n">
        <f>1290</f>
        <v>1290.0</v>
      </c>
      <c r="P106" s="34" t="s">
        <v>98</v>
      </c>
      <c r="Q106" s="33" t="n">
        <f>1315</f>
        <v>1315.0</v>
      </c>
      <c r="R106" s="34" t="s">
        <v>51</v>
      </c>
      <c r="S106" s="35" t="n">
        <f>1341.65</f>
        <v>1341.65</v>
      </c>
      <c r="T106" s="32" t="n">
        <f>126990</f>
        <v>126990.0</v>
      </c>
      <c r="U106" s="32" t="n">
        <f>20</f>
        <v>20.0</v>
      </c>
      <c r="V106" s="32" t="n">
        <f>170073640</f>
        <v>1.7007364E8</v>
      </c>
      <c r="W106" s="32" t="n">
        <f>26840</f>
        <v>26840.0</v>
      </c>
      <c r="X106" s="36" t="n">
        <f>20</f>
        <v>20.0</v>
      </c>
    </row>
    <row r="107">
      <c r="A107" s="27" t="s">
        <v>42</v>
      </c>
      <c r="B107" s="27" t="s">
        <v>364</v>
      </c>
      <c r="C107" s="27" t="s">
        <v>365</v>
      </c>
      <c r="D107" s="27" t="s">
        <v>366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37100</f>
        <v>37100.0</v>
      </c>
      <c r="L107" s="34" t="s">
        <v>48</v>
      </c>
      <c r="M107" s="33" t="n">
        <f>38100</f>
        <v>38100.0</v>
      </c>
      <c r="N107" s="34" t="s">
        <v>61</v>
      </c>
      <c r="O107" s="33" t="n">
        <f>33800</f>
        <v>33800.0</v>
      </c>
      <c r="P107" s="34" t="s">
        <v>98</v>
      </c>
      <c r="Q107" s="33" t="n">
        <f>34800</f>
        <v>34800.0</v>
      </c>
      <c r="R107" s="34" t="s">
        <v>51</v>
      </c>
      <c r="S107" s="35" t="n">
        <f>35777.5</f>
        <v>35777.5</v>
      </c>
      <c r="T107" s="32" t="n">
        <f>234847</f>
        <v>234847.0</v>
      </c>
      <c r="U107" s="32" t="str">
        <f>"－"</f>
        <v>－</v>
      </c>
      <c r="V107" s="32" t="n">
        <f>8380539350</f>
        <v>8.38053935E9</v>
      </c>
      <c r="W107" s="32" t="str">
        <f>"－"</f>
        <v>－</v>
      </c>
      <c r="X107" s="36" t="n">
        <f>20</f>
        <v>20.0</v>
      </c>
    </row>
    <row r="108">
      <c r="A108" s="27" t="s">
        <v>42</v>
      </c>
      <c r="B108" s="27" t="s">
        <v>367</v>
      </c>
      <c r="C108" s="27" t="s">
        <v>368</v>
      </c>
      <c r="D108" s="27" t="s">
        <v>369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2731</f>
        <v>2731.0</v>
      </c>
      <c r="L108" s="34" t="s">
        <v>48</v>
      </c>
      <c r="M108" s="33" t="n">
        <f>2790</f>
        <v>2790.0</v>
      </c>
      <c r="N108" s="34" t="s">
        <v>370</v>
      </c>
      <c r="O108" s="33" t="n">
        <f>2601</f>
        <v>2601.0</v>
      </c>
      <c r="P108" s="34" t="s">
        <v>62</v>
      </c>
      <c r="Q108" s="33" t="n">
        <f>2688</f>
        <v>2688.0</v>
      </c>
      <c r="R108" s="34" t="s">
        <v>51</v>
      </c>
      <c r="S108" s="35" t="n">
        <f>2688.9</f>
        <v>2688.9</v>
      </c>
      <c r="T108" s="32" t="n">
        <f>9293</f>
        <v>9293.0</v>
      </c>
      <c r="U108" s="32" t="n">
        <f>2</f>
        <v>2.0</v>
      </c>
      <c r="V108" s="32" t="n">
        <f>24991635</f>
        <v>2.4991635E7</v>
      </c>
      <c r="W108" s="32" t="n">
        <f>5386</f>
        <v>5386.0</v>
      </c>
      <c r="X108" s="36" t="n">
        <f>20</f>
        <v>20.0</v>
      </c>
    </row>
    <row r="109">
      <c r="A109" s="27" t="s">
        <v>42</v>
      </c>
      <c r="B109" s="27" t="s">
        <v>371</v>
      </c>
      <c r="C109" s="27" t="s">
        <v>372</v>
      </c>
      <c r="D109" s="27" t="s">
        <v>373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3840</f>
        <v>3840.0</v>
      </c>
      <c r="L109" s="34" t="s">
        <v>48</v>
      </c>
      <c r="M109" s="33" t="n">
        <f>3890</f>
        <v>3890.0</v>
      </c>
      <c r="N109" s="34" t="s">
        <v>61</v>
      </c>
      <c r="O109" s="33" t="n">
        <f>3660</f>
        <v>3660.0</v>
      </c>
      <c r="P109" s="34" t="s">
        <v>98</v>
      </c>
      <c r="Q109" s="33" t="n">
        <f>3725</f>
        <v>3725.0</v>
      </c>
      <c r="R109" s="34" t="s">
        <v>51</v>
      </c>
      <c r="S109" s="35" t="n">
        <f>3740.5</f>
        <v>3740.5</v>
      </c>
      <c r="T109" s="32" t="n">
        <f>3758</f>
        <v>3758.0</v>
      </c>
      <c r="U109" s="32" t="str">
        <f>"－"</f>
        <v>－</v>
      </c>
      <c r="V109" s="32" t="n">
        <f>14073325</f>
        <v>1.4073325E7</v>
      </c>
      <c r="W109" s="32" t="str">
        <f>"－"</f>
        <v>－</v>
      </c>
      <c r="X109" s="36" t="n">
        <f>20</f>
        <v>20.0</v>
      </c>
    </row>
    <row r="110">
      <c r="A110" s="27" t="s">
        <v>42</v>
      </c>
      <c r="B110" s="27" t="s">
        <v>374</v>
      </c>
      <c r="C110" s="27" t="s">
        <v>375</v>
      </c>
      <c r="D110" s="27" t="s">
        <v>376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2749</f>
        <v>2749.0</v>
      </c>
      <c r="L110" s="34" t="s">
        <v>48</v>
      </c>
      <c r="M110" s="33" t="n">
        <f>3345</f>
        <v>3345.0</v>
      </c>
      <c r="N110" s="34" t="s">
        <v>51</v>
      </c>
      <c r="O110" s="33" t="n">
        <f>2741</f>
        <v>2741.0</v>
      </c>
      <c r="P110" s="34" t="s">
        <v>48</v>
      </c>
      <c r="Q110" s="33" t="n">
        <f>3290</f>
        <v>3290.0</v>
      </c>
      <c r="R110" s="34" t="s">
        <v>51</v>
      </c>
      <c r="S110" s="35" t="n">
        <f>3056.2</f>
        <v>3056.2</v>
      </c>
      <c r="T110" s="32" t="n">
        <f>338085</f>
        <v>338085.0</v>
      </c>
      <c r="U110" s="32" t="n">
        <f>76</f>
        <v>76.0</v>
      </c>
      <c r="V110" s="32" t="n">
        <f>1035656274</f>
        <v>1.035656274E9</v>
      </c>
      <c r="W110" s="32" t="n">
        <f>231334</f>
        <v>231334.0</v>
      </c>
      <c r="X110" s="36" t="n">
        <f>20</f>
        <v>20.0</v>
      </c>
    </row>
    <row r="111">
      <c r="A111" s="27" t="s">
        <v>42</v>
      </c>
      <c r="B111" s="27" t="s">
        <v>377</v>
      </c>
      <c r="C111" s="27" t="s">
        <v>378</v>
      </c>
      <c r="D111" s="27" t="s">
        <v>379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44250</f>
        <v>44250.0</v>
      </c>
      <c r="L111" s="34" t="s">
        <v>48</v>
      </c>
      <c r="M111" s="33" t="n">
        <f>44700</f>
        <v>44700.0</v>
      </c>
      <c r="N111" s="34" t="s">
        <v>279</v>
      </c>
      <c r="O111" s="33" t="n">
        <f>42700</f>
        <v>42700.0</v>
      </c>
      <c r="P111" s="34" t="s">
        <v>49</v>
      </c>
      <c r="Q111" s="33" t="n">
        <f>43000</f>
        <v>43000.0</v>
      </c>
      <c r="R111" s="34" t="s">
        <v>51</v>
      </c>
      <c r="S111" s="35" t="n">
        <f>43692.5</f>
        <v>43692.5</v>
      </c>
      <c r="T111" s="32" t="n">
        <f>13890</f>
        <v>13890.0</v>
      </c>
      <c r="U111" s="32" t="n">
        <f>1145</f>
        <v>1145.0</v>
      </c>
      <c r="V111" s="32" t="n">
        <f>608168072</f>
        <v>6.08168072E8</v>
      </c>
      <c r="W111" s="32" t="n">
        <f>50847072</f>
        <v>5.0847072E7</v>
      </c>
      <c r="X111" s="36" t="n">
        <f>20</f>
        <v>20.0</v>
      </c>
    </row>
    <row r="112">
      <c r="A112" s="27" t="s">
        <v>42</v>
      </c>
      <c r="B112" s="27" t="s">
        <v>380</v>
      </c>
      <c r="C112" s="27" t="s">
        <v>381</v>
      </c>
      <c r="D112" s="27" t="s">
        <v>382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1150</f>
        <v>1150.0</v>
      </c>
      <c r="L112" s="34" t="s">
        <v>48</v>
      </c>
      <c r="M112" s="33" t="n">
        <f>1150</f>
        <v>1150.0</v>
      </c>
      <c r="N112" s="34" t="s">
        <v>48</v>
      </c>
      <c r="O112" s="33" t="n">
        <f>1150</f>
        <v>1150.0</v>
      </c>
      <c r="P112" s="34" t="s">
        <v>48</v>
      </c>
      <c r="Q112" s="33" t="n">
        <f>1150</f>
        <v>1150.0</v>
      </c>
      <c r="R112" s="34" t="s">
        <v>48</v>
      </c>
      <c r="S112" s="35" t="n">
        <f>1150</f>
        <v>1150.0</v>
      </c>
      <c r="T112" s="32" t="n">
        <f>10</f>
        <v>10.0</v>
      </c>
      <c r="U112" s="32" t="str">
        <f>"－"</f>
        <v>－</v>
      </c>
      <c r="V112" s="32" t="n">
        <f>11500</f>
        <v>11500.0</v>
      </c>
      <c r="W112" s="32" t="str">
        <f>"－"</f>
        <v>－</v>
      </c>
      <c r="X112" s="36" t="n">
        <f>1</f>
        <v>1.0</v>
      </c>
    </row>
    <row r="113">
      <c r="A113" s="27" t="s">
        <v>42</v>
      </c>
      <c r="B113" s="27" t="s">
        <v>383</v>
      </c>
      <c r="C113" s="27" t="s">
        <v>384</v>
      </c>
      <c r="D113" s="27" t="s">
        <v>385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16170</f>
        <v>16170.0</v>
      </c>
      <c r="L113" s="34" t="s">
        <v>48</v>
      </c>
      <c r="M113" s="33" t="n">
        <f>17610</f>
        <v>17610.0</v>
      </c>
      <c r="N113" s="34" t="s">
        <v>49</v>
      </c>
      <c r="O113" s="33" t="n">
        <f>15770</f>
        <v>15770.0</v>
      </c>
      <c r="P113" s="34" t="s">
        <v>50</v>
      </c>
      <c r="Q113" s="33" t="n">
        <f>16660</f>
        <v>16660.0</v>
      </c>
      <c r="R113" s="34" t="s">
        <v>51</v>
      </c>
      <c r="S113" s="35" t="n">
        <f>16600</f>
        <v>16600.0</v>
      </c>
      <c r="T113" s="32" t="n">
        <f>2251200</f>
        <v>2251200.0</v>
      </c>
      <c r="U113" s="32" t="n">
        <f>100</f>
        <v>100.0</v>
      </c>
      <c r="V113" s="32" t="n">
        <f>37347263300</f>
        <v>3.73472633E10</v>
      </c>
      <c r="W113" s="32" t="n">
        <f>1628400</f>
        <v>1628400.0</v>
      </c>
      <c r="X113" s="36" t="n">
        <f>20</f>
        <v>20.0</v>
      </c>
    </row>
    <row r="114">
      <c r="A114" s="27" t="s">
        <v>42</v>
      </c>
      <c r="B114" s="27" t="s">
        <v>386</v>
      </c>
      <c r="C114" s="27" t="s">
        <v>387</v>
      </c>
      <c r="D114" s="27" t="s">
        <v>388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2831</f>
        <v>2831.0</v>
      </c>
      <c r="L114" s="34" t="s">
        <v>48</v>
      </c>
      <c r="M114" s="33" t="n">
        <f>2861</f>
        <v>2861.0</v>
      </c>
      <c r="N114" s="34" t="s">
        <v>50</v>
      </c>
      <c r="O114" s="33" t="n">
        <f>2703</f>
        <v>2703.0</v>
      </c>
      <c r="P114" s="34" t="s">
        <v>49</v>
      </c>
      <c r="Q114" s="33" t="n">
        <f>2777</f>
        <v>2777.0</v>
      </c>
      <c r="R114" s="34" t="s">
        <v>51</v>
      </c>
      <c r="S114" s="35" t="n">
        <f>2788.8</f>
        <v>2788.8</v>
      </c>
      <c r="T114" s="32" t="n">
        <f>902310</f>
        <v>902310.0</v>
      </c>
      <c r="U114" s="32" t="n">
        <f>6040</f>
        <v>6040.0</v>
      </c>
      <c r="V114" s="32" t="n">
        <f>2528026110</f>
        <v>2.52802611E9</v>
      </c>
      <c r="W114" s="32" t="n">
        <f>16617760</f>
        <v>1.661776E7</v>
      </c>
      <c r="X114" s="36" t="n">
        <f>20</f>
        <v>20.0</v>
      </c>
    </row>
    <row r="115">
      <c r="A115" s="27" t="s">
        <v>42</v>
      </c>
      <c r="B115" s="27" t="s">
        <v>389</v>
      </c>
      <c r="C115" s="27" t="s">
        <v>390</v>
      </c>
      <c r="D115" s="27" t="s">
        <v>391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20300</f>
        <v>20300.0</v>
      </c>
      <c r="L115" s="34" t="s">
        <v>48</v>
      </c>
      <c r="M115" s="33" t="n">
        <f>21460</f>
        <v>21460.0</v>
      </c>
      <c r="N115" s="34" t="s">
        <v>49</v>
      </c>
      <c r="O115" s="33" t="n">
        <f>19920</f>
        <v>19920.0</v>
      </c>
      <c r="P115" s="34" t="s">
        <v>50</v>
      </c>
      <c r="Q115" s="33" t="n">
        <f>20700</f>
        <v>20700.0</v>
      </c>
      <c r="R115" s="34" t="s">
        <v>51</v>
      </c>
      <c r="S115" s="35" t="n">
        <f>20691.5</f>
        <v>20691.5</v>
      </c>
      <c r="T115" s="32" t="n">
        <f>115567051</f>
        <v>1.15567051E8</v>
      </c>
      <c r="U115" s="32" t="n">
        <f>118136</f>
        <v>118136.0</v>
      </c>
      <c r="V115" s="32" t="n">
        <f>2384586866106</f>
        <v>2.384586866106E12</v>
      </c>
      <c r="W115" s="32" t="n">
        <f>2450410646</f>
        <v>2.450410646E9</v>
      </c>
      <c r="X115" s="36" t="n">
        <f>20</f>
        <v>20.0</v>
      </c>
    </row>
    <row r="116">
      <c r="A116" s="27" t="s">
        <v>42</v>
      </c>
      <c r="B116" s="27" t="s">
        <v>392</v>
      </c>
      <c r="C116" s="27" t="s">
        <v>393</v>
      </c>
      <c r="D116" s="27" t="s">
        <v>394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1329</f>
        <v>1329.0</v>
      </c>
      <c r="L116" s="34" t="s">
        <v>48</v>
      </c>
      <c r="M116" s="33" t="n">
        <f>1339</f>
        <v>1339.0</v>
      </c>
      <c r="N116" s="34" t="s">
        <v>50</v>
      </c>
      <c r="O116" s="33" t="n">
        <f>1287</f>
        <v>1287.0</v>
      </c>
      <c r="P116" s="34" t="s">
        <v>49</v>
      </c>
      <c r="Q116" s="33" t="n">
        <f>1311</f>
        <v>1311.0</v>
      </c>
      <c r="R116" s="34" t="s">
        <v>51</v>
      </c>
      <c r="S116" s="35" t="n">
        <f>1314</f>
        <v>1314.0</v>
      </c>
      <c r="T116" s="32" t="n">
        <f>10458362</f>
        <v>1.0458362E7</v>
      </c>
      <c r="U116" s="32" t="n">
        <f>378994</f>
        <v>378994.0</v>
      </c>
      <c r="V116" s="32" t="n">
        <f>13737020292</f>
        <v>1.3737020292E10</v>
      </c>
      <c r="W116" s="32" t="n">
        <f>493736991</f>
        <v>4.93736991E8</v>
      </c>
      <c r="X116" s="36" t="n">
        <f>20</f>
        <v>20.0</v>
      </c>
    </row>
    <row r="117">
      <c r="A117" s="27" t="s">
        <v>42</v>
      </c>
      <c r="B117" s="27" t="s">
        <v>395</v>
      </c>
      <c r="C117" s="27" t="s">
        <v>396</v>
      </c>
      <c r="D117" s="27" t="s">
        <v>397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10080</f>
        <v>10080.0</v>
      </c>
      <c r="L117" s="34" t="s">
        <v>48</v>
      </c>
      <c r="M117" s="33" t="n">
        <f>10080</f>
        <v>10080.0</v>
      </c>
      <c r="N117" s="34" t="s">
        <v>48</v>
      </c>
      <c r="O117" s="33" t="n">
        <f>8450</f>
        <v>8450.0</v>
      </c>
      <c r="P117" s="34" t="s">
        <v>168</v>
      </c>
      <c r="Q117" s="33" t="n">
        <f>8860</f>
        <v>8860.0</v>
      </c>
      <c r="R117" s="34" t="s">
        <v>51</v>
      </c>
      <c r="S117" s="35" t="n">
        <f>9204.5</f>
        <v>9204.5</v>
      </c>
      <c r="T117" s="32" t="n">
        <f>9720</f>
        <v>9720.0</v>
      </c>
      <c r="U117" s="32" t="n">
        <f>10</f>
        <v>10.0</v>
      </c>
      <c r="V117" s="32" t="n">
        <f>89701600</f>
        <v>8.97016E7</v>
      </c>
      <c r="W117" s="32" t="n">
        <f>94200</f>
        <v>94200.0</v>
      </c>
      <c r="X117" s="36" t="n">
        <f>20</f>
        <v>20.0</v>
      </c>
    </row>
    <row r="118">
      <c r="A118" s="27" t="s">
        <v>42</v>
      </c>
      <c r="B118" s="27" t="s">
        <v>398</v>
      </c>
      <c r="C118" s="27" t="s">
        <v>399</v>
      </c>
      <c r="D118" s="27" t="s">
        <v>400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7200</f>
        <v>7200.0</v>
      </c>
      <c r="L118" s="34" t="s">
        <v>48</v>
      </c>
      <c r="M118" s="33" t="n">
        <f>7730</f>
        <v>7730.0</v>
      </c>
      <c r="N118" s="34" t="s">
        <v>86</v>
      </c>
      <c r="O118" s="33" t="n">
        <f>7150</f>
        <v>7150.0</v>
      </c>
      <c r="P118" s="34" t="s">
        <v>61</v>
      </c>
      <c r="Q118" s="33" t="n">
        <f>7660</f>
        <v>7660.0</v>
      </c>
      <c r="R118" s="34" t="s">
        <v>51</v>
      </c>
      <c r="S118" s="35" t="n">
        <f>7459.47</f>
        <v>7459.47</v>
      </c>
      <c r="T118" s="32" t="n">
        <f>8100</f>
        <v>8100.0</v>
      </c>
      <c r="U118" s="32" t="str">
        <f>"－"</f>
        <v>－</v>
      </c>
      <c r="V118" s="32" t="n">
        <f>60305200</f>
        <v>6.03052E7</v>
      </c>
      <c r="W118" s="32" t="str">
        <f>"－"</f>
        <v>－</v>
      </c>
      <c r="X118" s="36" t="n">
        <f>19</f>
        <v>19.0</v>
      </c>
    </row>
    <row r="119">
      <c r="A119" s="27" t="s">
        <v>42</v>
      </c>
      <c r="B119" s="27" t="s">
        <v>401</v>
      </c>
      <c r="C119" s="27" t="s">
        <v>402</v>
      </c>
      <c r="D119" s="27" t="s">
        <v>403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1491</f>
        <v>1491.0</v>
      </c>
      <c r="L119" s="34" t="s">
        <v>279</v>
      </c>
      <c r="M119" s="33" t="n">
        <f>1491</f>
        <v>1491.0</v>
      </c>
      <c r="N119" s="34" t="s">
        <v>279</v>
      </c>
      <c r="O119" s="33" t="n">
        <f>1401</f>
        <v>1401.0</v>
      </c>
      <c r="P119" s="34" t="s">
        <v>175</v>
      </c>
      <c r="Q119" s="33" t="n">
        <f>1432</f>
        <v>1432.0</v>
      </c>
      <c r="R119" s="34" t="s">
        <v>98</v>
      </c>
      <c r="S119" s="35" t="n">
        <f>1451</f>
        <v>1451.0</v>
      </c>
      <c r="T119" s="32" t="n">
        <f>1500</f>
        <v>1500.0</v>
      </c>
      <c r="U119" s="32" t="str">
        <f>"－"</f>
        <v>－</v>
      </c>
      <c r="V119" s="32" t="n">
        <f>2164230</f>
        <v>2164230.0</v>
      </c>
      <c r="W119" s="32" t="str">
        <f>"－"</f>
        <v>－</v>
      </c>
      <c r="X119" s="36" t="n">
        <f>6</f>
        <v>6.0</v>
      </c>
    </row>
    <row r="120">
      <c r="A120" s="27" t="s">
        <v>42</v>
      </c>
      <c r="B120" s="27" t="s">
        <v>404</v>
      </c>
      <c r="C120" s="27" t="s">
        <v>405</v>
      </c>
      <c r="D120" s="27" t="s">
        <v>406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724</f>
        <v>724.0</v>
      </c>
      <c r="L120" s="34" t="s">
        <v>48</v>
      </c>
      <c r="M120" s="33" t="n">
        <f>735</f>
        <v>735.0</v>
      </c>
      <c r="N120" s="34" t="s">
        <v>184</v>
      </c>
      <c r="O120" s="33" t="n">
        <f>669</f>
        <v>669.0</v>
      </c>
      <c r="P120" s="34" t="s">
        <v>86</v>
      </c>
      <c r="Q120" s="33" t="n">
        <f>691</f>
        <v>691.0</v>
      </c>
      <c r="R120" s="34" t="s">
        <v>51</v>
      </c>
      <c r="S120" s="35" t="n">
        <f>701.16</f>
        <v>701.16</v>
      </c>
      <c r="T120" s="32" t="n">
        <f>3800</f>
        <v>3800.0</v>
      </c>
      <c r="U120" s="32" t="str">
        <f>"－"</f>
        <v>－</v>
      </c>
      <c r="V120" s="32" t="n">
        <f>2678930</f>
        <v>2678930.0</v>
      </c>
      <c r="W120" s="32" t="str">
        <f>"－"</f>
        <v>－</v>
      </c>
      <c r="X120" s="36" t="n">
        <f>19</f>
        <v>19.0</v>
      </c>
    </row>
    <row r="121">
      <c r="A121" s="27" t="s">
        <v>42</v>
      </c>
      <c r="B121" s="27" t="s">
        <v>407</v>
      </c>
      <c r="C121" s="27" t="s">
        <v>408</v>
      </c>
      <c r="D121" s="27" t="s">
        <v>409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690</f>
        <v>690.0</v>
      </c>
      <c r="L121" s="34" t="s">
        <v>48</v>
      </c>
      <c r="M121" s="33" t="n">
        <f>708</f>
        <v>708.0</v>
      </c>
      <c r="N121" s="34" t="s">
        <v>48</v>
      </c>
      <c r="O121" s="33" t="n">
        <f>670</f>
        <v>670.0</v>
      </c>
      <c r="P121" s="34" t="s">
        <v>175</v>
      </c>
      <c r="Q121" s="33" t="n">
        <f>682</f>
        <v>682.0</v>
      </c>
      <c r="R121" s="34" t="s">
        <v>51</v>
      </c>
      <c r="S121" s="35" t="n">
        <f>684.53</f>
        <v>684.53</v>
      </c>
      <c r="T121" s="32" t="n">
        <f>3620</f>
        <v>3620.0</v>
      </c>
      <c r="U121" s="32" t="str">
        <f>"－"</f>
        <v>－</v>
      </c>
      <c r="V121" s="32" t="n">
        <f>2493090</f>
        <v>2493090.0</v>
      </c>
      <c r="W121" s="32" t="str">
        <f>"－"</f>
        <v>－</v>
      </c>
      <c r="X121" s="36" t="n">
        <f>15</f>
        <v>15.0</v>
      </c>
    </row>
    <row r="122">
      <c r="A122" s="27" t="s">
        <v>42</v>
      </c>
      <c r="B122" s="27" t="s">
        <v>410</v>
      </c>
      <c r="C122" s="27" t="s">
        <v>411</v>
      </c>
      <c r="D122" s="27" t="s">
        <v>412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18700</f>
        <v>18700.0</v>
      </c>
      <c r="L122" s="34" t="s">
        <v>48</v>
      </c>
      <c r="M122" s="33" t="n">
        <f>19400</f>
        <v>19400.0</v>
      </c>
      <c r="N122" s="34" t="s">
        <v>266</v>
      </c>
      <c r="O122" s="33" t="n">
        <f>18530</f>
        <v>18530.0</v>
      </c>
      <c r="P122" s="34" t="s">
        <v>168</v>
      </c>
      <c r="Q122" s="33" t="n">
        <f>18590</f>
        <v>18590.0</v>
      </c>
      <c r="R122" s="34" t="s">
        <v>51</v>
      </c>
      <c r="S122" s="35" t="n">
        <f>18897</f>
        <v>18897.0</v>
      </c>
      <c r="T122" s="32" t="n">
        <f>32942</f>
        <v>32942.0</v>
      </c>
      <c r="U122" s="32" t="n">
        <f>47</f>
        <v>47.0</v>
      </c>
      <c r="V122" s="32" t="n">
        <f>620411200</f>
        <v>6.204112E8</v>
      </c>
      <c r="W122" s="32" t="n">
        <f>909700</f>
        <v>909700.0</v>
      </c>
      <c r="X122" s="36" t="n">
        <f>20</f>
        <v>20.0</v>
      </c>
    </row>
    <row r="123">
      <c r="A123" s="27" t="s">
        <v>42</v>
      </c>
      <c r="B123" s="27" t="s">
        <v>413</v>
      </c>
      <c r="C123" s="27" t="s">
        <v>414</v>
      </c>
      <c r="D123" s="27" t="s">
        <v>415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1838</f>
        <v>1838.0</v>
      </c>
      <c r="L123" s="34" t="s">
        <v>48</v>
      </c>
      <c r="M123" s="33" t="n">
        <f>1891</f>
        <v>1891.0</v>
      </c>
      <c r="N123" s="34" t="s">
        <v>49</v>
      </c>
      <c r="O123" s="33" t="n">
        <f>1822</f>
        <v>1822.0</v>
      </c>
      <c r="P123" s="34" t="s">
        <v>50</v>
      </c>
      <c r="Q123" s="33" t="n">
        <f>1856</f>
        <v>1856.0</v>
      </c>
      <c r="R123" s="34" t="s">
        <v>51</v>
      </c>
      <c r="S123" s="35" t="n">
        <f>1856.3</f>
        <v>1856.3</v>
      </c>
      <c r="T123" s="32" t="n">
        <f>22810</f>
        <v>22810.0</v>
      </c>
      <c r="U123" s="32" t="str">
        <f>"－"</f>
        <v>－</v>
      </c>
      <c r="V123" s="32" t="n">
        <f>42354629</f>
        <v>4.2354629E7</v>
      </c>
      <c r="W123" s="32" t="str">
        <f>"－"</f>
        <v>－</v>
      </c>
      <c r="X123" s="36" t="n">
        <f>20</f>
        <v>20.0</v>
      </c>
    </row>
    <row r="124">
      <c r="A124" s="27" t="s">
        <v>42</v>
      </c>
      <c r="B124" s="27" t="s">
        <v>416</v>
      </c>
      <c r="C124" s="27" t="s">
        <v>417</v>
      </c>
      <c r="D124" s="27" t="s">
        <v>418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21620</f>
        <v>21620.0</v>
      </c>
      <c r="L124" s="34" t="s">
        <v>48</v>
      </c>
      <c r="M124" s="33" t="n">
        <f>22990</f>
        <v>22990.0</v>
      </c>
      <c r="N124" s="34" t="s">
        <v>49</v>
      </c>
      <c r="O124" s="33" t="n">
        <f>21210</f>
        <v>21210.0</v>
      </c>
      <c r="P124" s="34" t="s">
        <v>50</v>
      </c>
      <c r="Q124" s="33" t="n">
        <f>22040</f>
        <v>22040.0</v>
      </c>
      <c r="R124" s="34" t="s">
        <v>51</v>
      </c>
      <c r="S124" s="35" t="n">
        <f>22032</f>
        <v>22032.0</v>
      </c>
      <c r="T124" s="32" t="n">
        <f>8579180</f>
        <v>8579180.0</v>
      </c>
      <c r="U124" s="32" t="n">
        <f>21990</f>
        <v>21990.0</v>
      </c>
      <c r="V124" s="32" t="n">
        <f>189140211352</f>
        <v>1.89140211352E11</v>
      </c>
      <c r="W124" s="32" t="n">
        <f>484128552</f>
        <v>4.84128552E8</v>
      </c>
      <c r="X124" s="36" t="n">
        <f>20</f>
        <v>20.0</v>
      </c>
    </row>
    <row r="125">
      <c r="A125" s="27" t="s">
        <v>42</v>
      </c>
      <c r="B125" s="27" t="s">
        <v>419</v>
      </c>
      <c r="C125" s="27" t="s">
        <v>420</v>
      </c>
      <c r="D125" s="27" t="s">
        <v>421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3535</f>
        <v>3535.0</v>
      </c>
      <c r="L125" s="34" t="s">
        <v>48</v>
      </c>
      <c r="M125" s="33" t="n">
        <f>3570</f>
        <v>3570.0</v>
      </c>
      <c r="N125" s="34" t="s">
        <v>50</v>
      </c>
      <c r="O125" s="33" t="n">
        <f>3435</f>
        <v>3435.0</v>
      </c>
      <c r="P125" s="34" t="s">
        <v>49</v>
      </c>
      <c r="Q125" s="33" t="n">
        <f>3495</f>
        <v>3495.0</v>
      </c>
      <c r="R125" s="34" t="s">
        <v>51</v>
      </c>
      <c r="S125" s="35" t="n">
        <f>3501</f>
        <v>3501.0</v>
      </c>
      <c r="T125" s="32" t="n">
        <f>539010</f>
        <v>539010.0</v>
      </c>
      <c r="U125" s="32" t="n">
        <f>33000</f>
        <v>33000.0</v>
      </c>
      <c r="V125" s="32" t="n">
        <f>1890884635</f>
        <v>1.890884635E9</v>
      </c>
      <c r="W125" s="32" t="n">
        <f>114548785</f>
        <v>1.14548785E8</v>
      </c>
      <c r="X125" s="36" t="n">
        <f>20</f>
        <v>20.0</v>
      </c>
    </row>
    <row r="126">
      <c r="A126" s="27" t="s">
        <v>42</v>
      </c>
      <c r="B126" s="27" t="s">
        <v>422</v>
      </c>
      <c r="C126" s="27" t="s">
        <v>423</v>
      </c>
      <c r="D126" s="27" t="s">
        <v>424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665</f>
        <v>665.0</v>
      </c>
      <c r="L126" s="34" t="s">
        <v>69</v>
      </c>
      <c r="M126" s="33" t="n">
        <f>720</f>
        <v>720.0</v>
      </c>
      <c r="N126" s="34" t="s">
        <v>279</v>
      </c>
      <c r="O126" s="33" t="n">
        <f>645</f>
        <v>645.0</v>
      </c>
      <c r="P126" s="34" t="s">
        <v>279</v>
      </c>
      <c r="Q126" s="33" t="n">
        <f>680</f>
        <v>680.0</v>
      </c>
      <c r="R126" s="34" t="s">
        <v>168</v>
      </c>
      <c r="S126" s="35" t="n">
        <f>687.5</f>
        <v>687.5</v>
      </c>
      <c r="T126" s="32" t="n">
        <f>1220</f>
        <v>1220.0</v>
      </c>
      <c r="U126" s="32" t="str">
        <f>"－"</f>
        <v>－</v>
      </c>
      <c r="V126" s="32" t="n">
        <f>832000</f>
        <v>832000.0</v>
      </c>
      <c r="W126" s="32" t="str">
        <f>"－"</f>
        <v>－</v>
      </c>
      <c r="X126" s="36" t="n">
        <f>6</f>
        <v>6.0</v>
      </c>
    </row>
    <row r="127">
      <c r="A127" s="27" t="s">
        <v>42</v>
      </c>
      <c r="B127" s="27" t="s">
        <v>425</v>
      </c>
      <c r="C127" s="27" t="s">
        <v>426</v>
      </c>
      <c r="D127" s="27" t="s">
        <v>427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1268</f>
        <v>1268.0</v>
      </c>
      <c r="L127" s="34" t="s">
        <v>48</v>
      </c>
      <c r="M127" s="33" t="n">
        <f>1322</f>
        <v>1322.0</v>
      </c>
      <c r="N127" s="34" t="s">
        <v>49</v>
      </c>
      <c r="O127" s="33" t="n">
        <f>1255</f>
        <v>1255.0</v>
      </c>
      <c r="P127" s="34" t="s">
        <v>50</v>
      </c>
      <c r="Q127" s="33" t="n">
        <f>1300</f>
        <v>1300.0</v>
      </c>
      <c r="R127" s="34" t="s">
        <v>51</v>
      </c>
      <c r="S127" s="35" t="n">
        <f>1284.71</f>
        <v>1284.71</v>
      </c>
      <c r="T127" s="32" t="n">
        <f>3790</f>
        <v>3790.0</v>
      </c>
      <c r="U127" s="32" t="str">
        <f>"－"</f>
        <v>－</v>
      </c>
      <c r="V127" s="32" t="n">
        <f>4852940</f>
        <v>4852940.0</v>
      </c>
      <c r="W127" s="32" t="str">
        <f>"－"</f>
        <v>－</v>
      </c>
      <c r="X127" s="36" t="n">
        <f>17</f>
        <v>17.0</v>
      </c>
    </row>
    <row r="128">
      <c r="A128" s="27" t="s">
        <v>42</v>
      </c>
      <c r="B128" s="27" t="s">
        <v>428</v>
      </c>
      <c r="C128" s="27" t="s">
        <v>429</v>
      </c>
      <c r="D128" s="27" t="s">
        <v>430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1401</f>
        <v>1401.0</v>
      </c>
      <c r="L128" s="34" t="s">
        <v>48</v>
      </c>
      <c r="M128" s="33" t="n">
        <f>1519</f>
        <v>1519.0</v>
      </c>
      <c r="N128" s="34" t="s">
        <v>73</v>
      </c>
      <c r="O128" s="33" t="n">
        <f>1330</f>
        <v>1330.0</v>
      </c>
      <c r="P128" s="34" t="s">
        <v>48</v>
      </c>
      <c r="Q128" s="33" t="n">
        <f>1499</f>
        <v>1499.0</v>
      </c>
      <c r="R128" s="34" t="s">
        <v>51</v>
      </c>
      <c r="S128" s="35" t="n">
        <f>1442.16</f>
        <v>1442.16</v>
      </c>
      <c r="T128" s="32" t="n">
        <f>4529</f>
        <v>4529.0</v>
      </c>
      <c r="U128" s="32" t="str">
        <f>"－"</f>
        <v>－</v>
      </c>
      <c r="V128" s="32" t="n">
        <f>6698996</f>
        <v>6698996.0</v>
      </c>
      <c r="W128" s="32" t="str">
        <f>"－"</f>
        <v>－</v>
      </c>
      <c r="X128" s="36" t="n">
        <f>19</f>
        <v>19.0</v>
      </c>
    </row>
    <row r="129">
      <c r="A129" s="27" t="s">
        <v>42</v>
      </c>
      <c r="B129" s="27" t="s">
        <v>431</v>
      </c>
      <c r="C129" s="27" t="s">
        <v>432</v>
      </c>
      <c r="D129" s="27" t="s">
        <v>433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14630</f>
        <v>14630.0</v>
      </c>
      <c r="L129" s="34" t="s">
        <v>48</v>
      </c>
      <c r="M129" s="33" t="n">
        <f>15160</f>
        <v>15160.0</v>
      </c>
      <c r="N129" s="34" t="s">
        <v>49</v>
      </c>
      <c r="O129" s="33" t="n">
        <f>14430</f>
        <v>14430.0</v>
      </c>
      <c r="P129" s="34" t="s">
        <v>50</v>
      </c>
      <c r="Q129" s="33" t="n">
        <f>14730</f>
        <v>14730.0</v>
      </c>
      <c r="R129" s="34" t="s">
        <v>51</v>
      </c>
      <c r="S129" s="35" t="n">
        <f>14767.5</f>
        <v>14767.5</v>
      </c>
      <c r="T129" s="32" t="n">
        <f>113947</f>
        <v>113947.0</v>
      </c>
      <c r="U129" s="32" t="n">
        <f>6064</f>
        <v>6064.0</v>
      </c>
      <c r="V129" s="32" t="n">
        <f>1684165887</f>
        <v>1.684165887E9</v>
      </c>
      <c r="W129" s="32" t="n">
        <f>88828597</f>
        <v>8.8828597E7</v>
      </c>
      <c r="X129" s="36" t="n">
        <f>20</f>
        <v>20.0</v>
      </c>
    </row>
    <row r="130">
      <c r="A130" s="27" t="s">
        <v>42</v>
      </c>
      <c r="B130" s="27" t="s">
        <v>434</v>
      </c>
      <c r="C130" s="27" t="s">
        <v>435</v>
      </c>
      <c r="D130" s="27" t="s">
        <v>436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1330</f>
        <v>1330.0</v>
      </c>
      <c r="L130" s="34" t="s">
        <v>48</v>
      </c>
      <c r="M130" s="33" t="n">
        <f>1381</f>
        <v>1381.0</v>
      </c>
      <c r="N130" s="34" t="s">
        <v>49</v>
      </c>
      <c r="O130" s="33" t="n">
        <f>1317</f>
        <v>1317.0</v>
      </c>
      <c r="P130" s="34" t="s">
        <v>50</v>
      </c>
      <c r="Q130" s="33" t="n">
        <f>1345</f>
        <v>1345.0</v>
      </c>
      <c r="R130" s="34" t="s">
        <v>51</v>
      </c>
      <c r="S130" s="35" t="n">
        <f>1345.1</f>
        <v>1345.1</v>
      </c>
      <c r="T130" s="32" t="n">
        <f>215159</f>
        <v>215159.0</v>
      </c>
      <c r="U130" s="32" t="n">
        <f>118459</f>
        <v>118459.0</v>
      </c>
      <c r="V130" s="32" t="n">
        <f>288632170</f>
        <v>2.8863217E8</v>
      </c>
      <c r="W130" s="32" t="n">
        <f>158142765</f>
        <v>1.58142765E8</v>
      </c>
      <c r="X130" s="36" t="n">
        <f>20</f>
        <v>20.0</v>
      </c>
    </row>
    <row r="131">
      <c r="A131" s="27" t="s">
        <v>42</v>
      </c>
      <c r="B131" s="27" t="s">
        <v>437</v>
      </c>
      <c r="C131" s="27" t="s">
        <v>438</v>
      </c>
      <c r="D131" s="27" t="s">
        <v>439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14880</f>
        <v>14880.0</v>
      </c>
      <c r="L131" s="34" t="s">
        <v>48</v>
      </c>
      <c r="M131" s="33" t="n">
        <f>15420</f>
        <v>15420.0</v>
      </c>
      <c r="N131" s="34" t="s">
        <v>49</v>
      </c>
      <c r="O131" s="33" t="n">
        <f>14680</f>
        <v>14680.0</v>
      </c>
      <c r="P131" s="34" t="s">
        <v>50</v>
      </c>
      <c r="Q131" s="33" t="n">
        <f>15050</f>
        <v>15050.0</v>
      </c>
      <c r="R131" s="34" t="s">
        <v>51</v>
      </c>
      <c r="S131" s="35" t="n">
        <f>15040.5</f>
        <v>15040.5</v>
      </c>
      <c r="T131" s="32" t="n">
        <f>31364</f>
        <v>31364.0</v>
      </c>
      <c r="U131" s="32" t="n">
        <f>121</f>
        <v>121.0</v>
      </c>
      <c r="V131" s="32" t="n">
        <f>469831090</f>
        <v>4.6983109E8</v>
      </c>
      <c r="W131" s="32" t="n">
        <f>1800660</f>
        <v>1800660.0</v>
      </c>
      <c r="X131" s="36" t="n">
        <f>20</f>
        <v>20.0</v>
      </c>
    </row>
    <row r="132">
      <c r="A132" s="27" t="s">
        <v>42</v>
      </c>
      <c r="B132" s="27" t="s">
        <v>440</v>
      </c>
      <c r="C132" s="27" t="s">
        <v>441</v>
      </c>
      <c r="D132" s="27" t="s">
        <v>442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1778</f>
        <v>1778.0</v>
      </c>
      <c r="L132" s="34" t="s">
        <v>48</v>
      </c>
      <c r="M132" s="33" t="n">
        <f>1800</f>
        <v>1800.0</v>
      </c>
      <c r="N132" s="34" t="s">
        <v>90</v>
      </c>
      <c r="O132" s="33" t="n">
        <f>1713</f>
        <v>1713.0</v>
      </c>
      <c r="P132" s="34" t="s">
        <v>176</v>
      </c>
      <c r="Q132" s="33" t="n">
        <f>1767</f>
        <v>1767.0</v>
      </c>
      <c r="R132" s="34" t="s">
        <v>51</v>
      </c>
      <c r="S132" s="35" t="n">
        <f>1758.3</f>
        <v>1758.3</v>
      </c>
      <c r="T132" s="32" t="n">
        <f>1379710</f>
        <v>1379710.0</v>
      </c>
      <c r="U132" s="32" t="n">
        <f>220000</f>
        <v>220000.0</v>
      </c>
      <c r="V132" s="32" t="n">
        <f>2428001820</f>
        <v>2.42800182E9</v>
      </c>
      <c r="W132" s="32" t="n">
        <f>388156200</f>
        <v>3.881562E8</v>
      </c>
      <c r="X132" s="36" t="n">
        <f>20</f>
        <v>20.0</v>
      </c>
    </row>
    <row r="133">
      <c r="A133" s="27" t="s">
        <v>42</v>
      </c>
      <c r="B133" s="27" t="s">
        <v>443</v>
      </c>
      <c r="C133" s="27" t="s">
        <v>444</v>
      </c>
      <c r="D133" s="27" t="s">
        <v>445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1442</f>
        <v>1442.0</v>
      </c>
      <c r="L133" s="34" t="s">
        <v>61</v>
      </c>
      <c r="M133" s="33" t="n">
        <f>1450</f>
        <v>1450.0</v>
      </c>
      <c r="N133" s="34" t="s">
        <v>266</v>
      </c>
      <c r="O133" s="33" t="n">
        <f>1412</f>
        <v>1412.0</v>
      </c>
      <c r="P133" s="34" t="s">
        <v>50</v>
      </c>
      <c r="Q133" s="33" t="n">
        <f>1450</f>
        <v>1450.0</v>
      </c>
      <c r="R133" s="34" t="s">
        <v>266</v>
      </c>
      <c r="S133" s="35" t="n">
        <f>1434.67</f>
        <v>1434.67</v>
      </c>
      <c r="T133" s="32" t="n">
        <f>40</f>
        <v>40.0</v>
      </c>
      <c r="U133" s="32" t="str">
        <f>"－"</f>
        <v>－</v>
      </c>
      <c r="V133" s="32" t="n">
        <f>57160</f>
        <v>57160.0</v>
      </c>
      <c r="W133" s="32" t="str">
        <f>"－"</f>
        <v>－</v>
      </c>
      <c r="X133" s="36" t="n">
        <f>3</f>
        <v>3.0</v>
      </c>
    </row>
    <row r="134">
      <c r="A134" s="27" t="s">
        <v>42</v>
      </c>
      <c r="B134" s="27" t="s">
        <v>446</v>
      </c>
      <c r="C134" s="27" t="s">
        <v>447</v>
      </c>
      <c r="D134" s="27" t="s">
        <v>448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1798</f>
        <v>1798.0</v>
      </c>
      <c r="L134" s="34" t="s">
        <v>48</v>
      </c>
      <c r="M134" s="33" t="n">
        <f>1800</f>
        <v>1800.0</v>
      </c>
      <c r="N134" s="34" t="s">
        <v>61</v>
      </c>
      <c r="O134" s="33" t="n">
        <f>1712</f>
        <v>1712.0</v>
      </c>
      <c r="P134" s="34" t="s">
        <v>62</v>
      </c>
      <c r="Q134" s="33" t="n">
        <f>1764</f>
        <v>1764.0</v>
      </c>
      <c r="R134" s="34" t="s">
        <v>51</v>
      </c>
      <c r="S134" s="35" t="n">
        <f>1758.1</f>
        <v>1758.1</v>
      </c>
      <c r="T134" s="32" t="n">
        <f>886120</f>
        <v>886120.0</v>
      </c>
      <c r="U134" s="32" t="n">
        <f>300000</f>
        <v>300000.0</v>
      </c>
      <c r="V134" s="32" t="n">
        <f>1555872190</f>
        <v>1.55587219E9</v>
      </c>
      <c r="W134" s="32" t="n">
        <f>525432800</f>
        <v>5.254328E8</v>
      </c>
      <c r="X134" s="36" t="n">
        <f>20</f>
        <v>20.0</v>
      </c>
    </row>
    <row r="135">
      <c r="A135" s="27" t="s">
        <v>42</v>
      </c>
      <c r="B135" s="27" t="s">
        <v>449</v>
      </c>
      <c r="C135" s="27" t="s">
        <v>450</v>
      </c>
      <c r="D135" s="27" t="s">
        <v>451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str">
        <f>"－"</f>
        <v>－</v>
      </c>
      <c r="L135" s="34"/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5" t="str">
        <f>"－"</f>
        <v>－</v>
      </c>
      <c r="T135" s="32" t="str">
        <f>"－"</f>
        <v>－</v>
      </c>
      <c r="U135" s="32" t="str">
        <f>"－"</f>
        <v>－</v>
      </c>
      <c r="V135" s="32" t="str">
        <f>"－"</f>
        <v>－</v>
      </c>
      <c r="W135" s="32" t="str">
        <f>"－"</f>
        <v>－</v>
      </c>
      <c r="X135" s="36" t="str">
        <f>"－"</f>
        <v>－</v>
      </c>
    </row>
    <row r="136">
      <c r="A136" s="27" t="s">
        <v>42</v>
      </c>
      <c r="B136" s="27" t="s">
        <v>452</v>
      </c>
      <c r="C136" s="27" t="s">
        <v>453</v>
      </c>
      <c r="D136" s="27" t="s">
        <v>454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14700</f>
        <v>14700.0</v>
      </c>
      <c r="L136" s="34" t="s">
        <v>48</v>
      </c>
      <c r="M136" s="33" t="n">
        <f>15230</f>
        <v>15230.0</v>
      </c>
      <c r="N136" s="34" t="s">
        <v>49</v>
      </c>
      <c r="O136" s="33" t="n">
        <f>14580</f>
        <v>14580.0</v>
      </c>
      <c r="P136" s="34" t="s">
        <v>50</v>
      </c>
      <c r="Q136" s="33" t="n">
        <f>14870</f>
        <v>14870.0</v>
      </c>
      <c r="R136" s="34" t="s">
        <v>51</v>
      </c>
      <c r="S136" s="35" t="n">
        <f>14877.5</f>
        <v>14877.5</v>
      </c>
      <c r="T136" s="32" t="n">
        <f>1407</f>
        <v>1407.0</v>
      </c>
      <c r="U136" s="32" t="str">
        <f>"－"</f>
        <v>－</v>
      </c>
      <c r="V136" s="32" t="n">
        <f>21015350</f>
        <v>2.101535E7</v>
      </c>
      <c r="W136" s="32" t="str">
        <f>"－"</f>
        <v>－</v>
      </c>
      <c r="X136" s="36" t="n">
        <f>20</f>
        <v>20.0</v>
      </c>
    </row>
    <row r="137">
      <c r="A137" s="27" t="s">
        <v>42</v>
      </c>
      <c r="B137" s="27" t="s">
        <v>455</v>
      </c>
      <c r="C137" s="27" t="s">
        <v>456</v>
      </c>
      <c r="D137" s="27" t="s">
        <v>457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100.0</v>
      </c>
      <c r="K137" s="33" t="n">
        <f>122</f>
        <v>122.0</v>
      </c>
      <c r="L137" s="34" t="s">
        <v>48</v>
      </c>
      <c r="M137" s="33" t="n">
        <f>127</f>
        <v>127.0</v>
      </c>
      <c r="N137" s="34" t="s">
        <v>49</v>
      </c>
      <c r="O137" s="33" t="n">
        <f>119</f>
        <v>119.0</v>
      </c>
      <c r="P137" s="34" t="s">
        <v>50</v>
      </c>
      <c r="Q137" s="33" t="n">
        <f>122</f>
        <v>122.0</v>
      </c>
      <c r="R137" s="34" t="s">
        <v>51</v>
      </c>
      <c r="S137" s="35" t="n">
        <f>122.95</f>
        <v>122.95</v>
      </c>
      <c r="T137" s="32" t="n">
        <f>71770200</f>
        <v>7.17702E7</v>
      </c>
      <c r="U137" s="32" t="n">
        <f>124200</f>
        <v>124200.0</v>
      </c>
      <c r="V137" s="32" t="n">
        <f>8888267600</f>
        <v>8.8882676E9</v>
      </c>
      <c r="W137" s="32" t="n">
        <f>15242400</f>
        <v>1.52424E7</v>
      </c>
      <c r="X137" s="36" t="n">
        <f>20</f>
        <v>20.0</v>
      </c>
    </row>
    <row r="138">
      <c r="A138" s="27" t="s">
        <v>42</v>
      </c>
      <c r="B138" s="27" t="s">
        <v>458</v>
      </c>
      <c r="C138" s="27" t="s">
        <v>459</v>
      </c>
      <c r="D138" s="27" t="s">
        <v>460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26250</f>
        <v>26250.0</v>
      </c>
      <c r="L138" s="34" t="s">
        <v>97</v>
      </c>
      <c r="M138" s="33" t="n">
        <f>26960</f>
        <v>26960.0</v>
      </c>
      <c r="N138" s="34" t="s">
        <v>86</v>
      </c>
      <c r="O138" s="33" t="n">
        <f>25530</f>
        <v>25530.0</v>
      </c>
      <c r="P138" s="34" t="s">
        <v>279</v>
      </c>
      <c r="Q138" s="33" t="n">
        <f>26390</f>
        <v>26390.0</v>
      </c>
      <c r="R138" s="34" t="s">
        <v>51</v>
      </c>
      <c r="S138" s="35" t="n">
        <f>26274.71</f>
        <v>26274.71</v>
      </c>
      <c r="T138" s="32" t="n">
        <f>458</f>
        <v>458.0</v>
      </c>
      <c r="U138" s="32" t="str">
        <f>"－"</f>
        <v>－</v>
      </c>
      <c r="V138" s="32" t="n">
        <f>12061840</f>
        <v>1.206184E7</v>
      </c>
      <c r="W138" s="32" t="str">
        <f>"－"</f>
        <v>－</v>
      </c>
      <c r="X138" s="36" t="n">
        <f>17</f>
        <v>17.0</v>
      </c>
    </row>
    <row r="139">
      <c r="A139" s="27" t="s">
        <v>42</v>
      </c>
      <c r="B139" s="27" t="s">
        <v>461</v>
      </c>
      <c r="C139" s="27" t="s">
        <v>462</v>
      </c>
      <c r="D139" s="27" t="s">
        <v>463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8460</f>
        <v>8460.0</v>
      </c>
      <c r="L139" s="34" t="s">
        <v>48</v>
      </c>
      <c r="M139" s="33" t="n">
        <f>8460</f>
        <v>8460.0</v>
      </c>
      <c r="N139" s="34" t="s">
        <v>48</v>
      </c>
      <c r="O139" s="33" t="n">
        <f>7720</f>
        <v>7720.0</v>
      </c>
      <c r="P139" s="34" t="s">
        <v>51</v>
      </c>
      <c r="Q139" s="33" t="n">
        <f>7730</f>
        <v>7730.0</v>
      </c>
      <c r="R139" s="34" t="s">
        <v>51</v>
      </c>
      <c r="S139" s="35" t="n">
        <f>8149</f>
        <v>8149.0</v>
      </c>
      <c r="T139" s="32" t="n">
        <f>9623</f>
        <v>9623.0</v>
      </c>
      <c r="U139" s="32" t="str">
        <f>"－"</f>
        <v>－</v>
      </c>
      <c r="V139" s="32" t="n">
        <f>78196650</f>
        <v>7.819665E7</v>
      </c>
      <c r="W139" s="32" t="str">
        <f>"－"</f>
        <v>－</v>
      </c>
      <c r="X139" s="36" t="n">
        <f>20</f>
        <v>20.0</v>
      </c>
    </row>
    <row r="140">
      <c r="A140" s="27" t="s">
        <v>42</v>
      </c>
      <c r="B140" s="27" t="s">
        <v>464</v>
      </c>
      <c r="C140" s="27" t="s">
        <v>465</v>
      </c>
      <c r="D140" s="27" t="s">
        <v>466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18460</f>
        <v>18460.0</v>
      </c>
      <c r="L140" s="34" t="s">
        <v>48</v>
      </c>
      <c r="M140" s="33" t="n">
        <f>19340</f>
        <v>19340.0</v>
      </c>
      <c r="N140" s="34" t="s">
        <v>266</v>
      </c>
      <c r="O140" s="33" t="n">
        <f>18320</f>
        <v>18320.0</v>
      </c>
      <c r="P140" s="34" t="s">
        <v>50</v>
      </c>
      <c r="Q140" s="33" t="n">
        <f>18820</f>
        <v>18820.0</v>
      </c>
      <c r="R140" s="34" t="s">
        <v>51</v>
      </c>
      <c r="S140" s="35" t="n">
        <f>18816</f>
        <v>18816.0</v>
      </c>
      <c r="T140" s="32" t="n">
        <f>1332</f>
        <v>1332.0</v>
      </c>
      <c r="U140" s="32" t="str">
        <f>"－"</f>
        <v>－</v>
      </c>
      <c r="V140" s="32" t="n">
        <f>24953380</f>
        <v>2.495338E7</v>
      </c>
      <c r="W140" s="32" t="str">
        <f>"－"</f>
        <v>－</v>
      </c>
      <c r="X140" s="36" t="n">
        <f>20</f>
        <v>20.0</v>
      </c>
    </row>
    <row r="141">
      <c r="A141" s="27" t="s">
        <v>42</v>
      </c>
      <c r="B141" s="27" t="s">
        <v>467</v>
      </c>
      <c r="C141" s="27" t="s">
        <v>468</v>
      </c>
      <c r="D141" s="27" t="s">
        <v>469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22910</f>
        <v>22910.0</v>
      </c>
      <c r="L141" s="34" t="s">
        <v>48</v>
      </c>
      <c r="M141" s="33" t="n">
        <f>23990</f>
        <v>23990.0</v>
      </c>
      <c r="N141" s="34" t="s">
        <v>86</v>
      </c>
      <c r="O141" s="33" t="n">
        <f>22670</f>
        <v>22670.0</v>
      </c>
      <c r="P141" s="34" t="s">
        <v>69</v>
      </c>
      <c r="Q141" s="33" t="n">
        <f>23660</f>
        <v>23660.0</v>
      </c>
      <c r="R141" s="34" t="s">
        <v>51</v>
      </c>
      <c r="S141" s="35" t="n">
        <f>23447.89</f>
        <v>23447.89</v>
      </c>
      <c r="T141" s="32" t="n">
        <f>174</f>
        <v>174.0</v>
      </c>
      <c r="U141" s="32" t="str">
        <f>"－"</f>
        <v>－</v>
      </c>
      <c r="V141" s="32" t="n">
        <f>4093450</f>
        <v>4093450.0</v>
      </c>
      <c r="W141" s="32" t="str">
        <f>"－"</f>
        <v>－</v>
      </c>
      <c r="X141" s="36" t="n">
        <f>19</f>
        <v>19.0</v>
      </c>
    </row>
    <row r="142">
      <c r="A142" s="27" t="s">
        <v>42</v>
      </c>
      <c r="B142" s="27" t="s">
        <v>470</v>
      </c>
      <c r="C142" s="27" t="s">
        <v>471</v>
      </c>
      <c r="D142" s="27" t="s">
        <v>472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24830</f>
        <v>24830.0</v>
      </c>
      <c r="L142" s="34" t="s">
        <v>48</v>
      </c>
      <c r="M142" s="33" t="n">
        <f>25370</f>
        <v>25370.0</v>
      </c>
      <c r="N142" s="34" t="s">
        <v>51</v>
      </c>
      <c r="O142" s="33" t="n">
        <f>24110</f>
        <v>24110.0</v>
      </c>
      <c r="P142" s="34" t="s">
        <v>50</v>
      </c>
      <c r="Q142" s="33" t="n">
        <f>24780</f>
        <v>24780.0</v>
      </c>
      <c r="R142" s="34" t="s">
        <v>51</v>
      </c>
      <c r="S142" s="35" t="n">
        <f>24812</f>
        <v>24812.0</v>
      </c>
      <c r="T142" s="32" t="n">
        <f>1998</f>
        <v>1998.0</v>
      </c>
      <c r="U142" s="32" t="n">
        <f>3</f>
        <v>3.0</v>
      </c>
      <c r="V142" s="32" t="n">
        <f>49637870</f>
        <v>4.963787E7</v>
      </c>
      <c r="W142" s="32" t="n">
        <f>75330</f>
        <v>75330.0</v>
      </c>
      <c r="X142" s="36" t="n">
        <f>20</f>
        <v>20.0</v>
      </c>
    </row>
    <row r="143">
      <c r="A143" s="27" t="s">
        <v>42</v>
      </c>
      <c r="B143" s="27" t="s">
        <v>473</v>
      </c>
      <c r="C143" s="27" t="s">
        <v>474</v>
      </c>
      <c r="D143" s="27" t="s">
        <v>475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17490</f>
        <v>17490.0</v>
      </c>
      <c r="L143" s="34" t="s">
        <v>48</v>
      </c>
      <c r="M143" s="33" t="n">
        <f>17740</f>
        <v>17740.0</v>
      </c>
      <c r="N143" s="34" t="s">
        <v>279</v>
      </c>
      <c r="O143" s="33" t="n">
        <f>16880</f>
        <v>16880.0</v>
      </c>
      <c r="P143" s="34" t="s">
        <v>98</v>
      </c>
      <c r="Q143" s="33" t="n">
        <f>17170</f>
        <v>17170.0</v>
      </c>
      <c r="R143" s="34" t="s">
        <v>51</v>
      </c>
      <c r="S143" s="35" t="n">
        <f>17387</f>
        <v>17387.0</v>
      </c>
      <c r="T143" s="32" t="n">
        <f>1972</f>
        <v>1972.0</v>
      </c>
      <c r="U143" s="32" t="str">
        <f>"－"</f>
        <v>－</v>
      </c>
      <c r="V143" s="32" t="n">
        <f>34363490</f>
        <v>3.436349E7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476</v>
      </c>
      <c r="C144" s="27" t="s">
        <v>477</v>
      </c>
      <c r="D144" s="27" t="s">
        <v>478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11030</f>
        <v>11030.0</v>
      </c>
      <c r="L144" s="34" t="s">
        <v>48</v>
      </c>
      <c r="M144" s="33" t="n">
        <f>11940</f>
        <v>11940.0</v>
      </c>
      <c r="N144" s="34" t="s">
        <v>266</v>
      </c>
      <c r="O144" s="33" t="n">
        <f>10750</f>
        <v>10750.0</v>
      </c>
      <c r="P144" s="34" t="s">
        <v>51</v>
      </c>
      <c r="Q144" s="33" t="n">
        <f>10750</f>
        <v>10750.0</v>
      </c>
      <c r="R144" s="34" t="s">
        <v>51</v>
      </c>
      <c r="S144" s="35" t="n">
        <f>11276</f>
        <v>11276.0</v>
      </c>
      <c r="T144" s="32" t="n">
        <f>2930</f>
        <v>2930.0</v>
      </c>
      <c r="U144" s="32" t="str">
        <f>"－"</f>
        <v>－</v>
      </c>
      <c r="V144" s="32" t="n">
        <f>33108440</f>
        <v>3.310844E7</v>
      </c>
      <c r="W144" s="32" t="str">
        <f>"－"</f>
        <v>－</v>
      </c>
      <c r="X144" s="36" t="n">
        <f>20</f>
        <v>20.0</v>
      </c>
    </row>
    <row r="145">
      <c r="A145" s="27" t="s">
        <v>42</v>
      </c>
      <c r="B145" s="27" t="s">
        <v>479</v>
      </c>
      <c r="C145" s="27" t="s">
        <v>480</v>
      </c>
      <c r="D145" s="27" t="s">
        <v>481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33000</f>
        <v>33000.0</v>
      </c>
      <c r="L145" s="34" t="s">
        <v>48</v>
      </c>
      <c r="M145" s="33" t="n">
        <f>34600</f>
        <v>34600.0</v>
      </c>
      <c r="N145" s="34" t="s">
        <v>49</v>
      </c>
      <c r="O145" s="33" t="n">
        <f>32650</f>
        <v>32650.0</v>
      </c>
      <c r="P145" s="34" t="s">
        <v>279</v>
      </c>
      <c r="Q145" s="33" t="n">
        <f>34050</f>
        <v>34050.0</v>
      </c>
      <c r="R145" s="34" t="s">
        <v>51</v>
      </c>
      <c r="S145" s="35" t="n">
        <f>33444.12</f>
        <v>33444.12</v>
      </c>
      <c r="T145" s="32" t="n">
        <f>230</f>
        <v>230.0</v>
      </c>
      <c r="U145" s="32" t="str">
        <f>"－"</f>
        <v>－</v>
      </c>
      <c r="V145" s="32" t="n">
        <f>7669250</f>
        <v>7669250.0</v>
      </c>
      <c r="W145" s="32" t="str">
        <f>"－"</f>
        <v>－</v>
      </c>
      <c r="X145" s="36" t="n">
        <f>17</f>
        <v>17.0</v>
      </c>
    </row>
    <row r="146">
      <c r="A146" s="27" t="s">
        <v>42</v>
      </c>
      <c r="B146" s="27" t="s">
        <v>482</v>
      </c>
      <c r="C146" s="27" t="s">
        <v>483</v>
      </c>
      <c r="D146" s="27" t="s">
        <v>484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20840</f>
        <v>20840.0</v>
      </c>
      <c r="L146" s="34" t="s">
        <v>48</v>
      </c>
      <c r="M146" s="33" t="n">
        <f>22150</f>
        <v>22150.0</v>
      </c>
      <c r="N146" s="34" t="s">
        <v>49</v>
      </c>
      <c r="O146" s="33" t="n">
        <f>20740</f>
        <v>20740.0</v>
      </c>
      <c r="P146" s="34" t="s">
        <v>48</v>
      </c>
      <c r="Q146" s="33" t="n">
        <f>21770</f>
        <v>21770.0</v>
      </c>
      <c r="R146" s="34" t="s">
        <v>51</v>
      </c>
      <c r="S146" s="35" t="n">
        <f>21303.89</f>
        <v>21303.89</v>
      </c>
      <c r="T146" s="32" t="n">
        <f>1195</f>
        <v>1195.0</v>
      </c>
      <c r="U146" s="32" t="str">
        <f>"－"</f>
        <v>－</v>
      </c>
      <c r="V146" s="32" t="n">
        <f>25241880</f>
        <v>2.524188E7</v>
      </c>
      <c r="W146" s="32" t="str">
        <f>"－"</f>
        <v>－</v>
      </c>
      <c r="X146" s="36" t="n">
        <f>18</f>
        <v>18.0</v>
      </c>
    </row>
    <row r="147">
      <c r="A147" s="27" t="s">
        <v>42</v>
      </c>
      <c r="B147" s="27" t="s">
        <v>485</v>
      </c>
      <c r="C147" s="27" t="s">
        <v>486</v>
      </c>
      <c r="D147" s="27" t="s">
        <v>487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25500</f>
        <v>25500.0</v>
      </c>
      <c r="L147" s="34" t="s">
        <v>48</v>
      </c>
      <c r="M147" s="33" t="n">
        <f>26390</f>
        <v>26390.0</v>
      </c>
      <c r="N147" s="34" t="s">
        <v>49</v>
      </c>
      <c r="O147" s="33" t="n">
        <f>24310</f>
        <v>24310.0</v>
      </c>
      <c r="P147" s="34" t="s">
        <v>50</v>
      </c>
      <c r="Q147" s="33" t="n">
        <f>26060</f>
        <v>26060.0</v>
      </c>
      <c r="R147" s="34" t="s">
        <v>51</v>
      </c>
      <c r="S147" s="35" t="n">
        <f>25261.5</f>
        <v>25261.5</v>
      </c>
      <c r="T147" s="32" t="n">
        <f>3058</f>
        <v>3058.0</v>
      </c>
      <c r="U147" s="32" t="str">
        <f>"－"</f>
        <v>－</v>
      </c>
      <c r="V147" s="32" t="n">
        <f>77347800</f>
        <v>7.73478E7</v>
      </c>
      <c r="W147" s="32" t="str">
        <f>"－"</f>
        <v>－</v>
      </c>
      <c r="X147" s="36" t="n">
        <f>20</f>
        <v>20.0</v>
      </c>
    </row>
    <row r="148">
      <c r="A148" s="27" t="s">
        <v>42</v>
      </c>
      <c r="B148" s="27" t="s">
        <v>488</v>
      </c>
      <c r="C148" s="27" t="s">
        <v>489</v>
      </c>
      <c r="D148" s="27" t="s">
        <v>490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5990</f>
        <v>5990.0</v>
      </c>
      <c r="L148" s="34" t="s">
        <v>48</v>
      </c>
      <c r="M148" s="33" t="n">
        <f>6260</f>
        <v>6260.0</v>
      </c>
      <c r="N148" s="34" t="s">
        <v>49</v>
      </c>
      <c r="O148" s="33" t="n">
        <f>5880</f>
        <v>5880.0</v>
      </c>
      <c r="P148" s="34" t="s">
        <v>50</v>
      </c>
      <c r="Q148" s="33" t="n">
        <f>6170</f>
        <v>6170.0</v>
      </c>
      <c r="R148" s="34" t="s">
        <v>51</v>
      </c>
      <c r="S148" s="35" t="n">
        <f>6077</f>
        <v>6077.0</v>
      </c>
      <c r="T148" s="32" t="n">
        <f>2605</f>
        <v>2605.0</v>
      </c>
      <c r="U148" s="32" t="str">
        <f>"－"</f>
        <v>－</v>
      </c>
      <c r="V148" s="32" t="n">
        <f>15829390</f>
        <v>1.582939E7</v>
      </c>
      <c r="W148" s="32" t="str">
        <f>"－"</f>
        <v>－</v>
      </c>
      <c r="X148" s="36" t="n">
        <f>20</f>
        <v>20.0</v>
      </c>
    </row>
    <row r="149">
      <c r="A149" s="27" t="s">
        <v>42</v>
      </c>
      <c r="B149" s="27" t="s">
        <v>491</v>
      </c>
      <c r="C149" s="27" t="s">
        <v>492</v>
      </c>
      <c r="D149" s="27" t="s">
        <v>493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13790</f>
        <v>13790.0</v>
      </c>
      <c r="L149" s="34" t="s">
        <v>48</v>
      </c>
      <c r="M149" s="33" t="n">
        <f>14740</f>
        <v>14740.0</v>
      </c>
      <c r="N149" s="34" t="s">
        <v>73</v>
      </c>
      <c r="O149" s="33" t="n">
        <f>13640</f>
        <v>13640.0</v>
      </c>
      <c r="P149" s="34" t="s">
        <v>51</v>
      </c>
      <c r="Q149" s="33" t="n">
        <f>13650</f>
        <v>13650.0</v>
      </c>
      <c r="R149" s="34" t="s">
        <v>51</v>
      </c>
      <c r="S149" s="35" t="n">
        <f>13979</f>
        <v>13979.0</v>
      </c>
      <c r="T149" s="32" t="n">
        <f>7047</f>
        <v>7047.0</v>
      </c>
      <c r="U149" s="32" t="str">
        <f>"－"</f>
        <v>－</v>
      </c>
      <c r="V149" s="32" t="n">
        <f>98637930</f>
        <v>9.863793E7</v>
      </c>
      <c r="W149" s="32" t="str">
        <f>"－"</f>
        <v>－</v>
      </c>
      <c r="X149" s="36" t="n">
        <f>20</f>
        <v>20.0</v>
      </c>
    </row>
    <row r="150">
      <c r="A150" s="27" t="s">
        <v>42</v>
      </c>
      <c r="B150" s="27" t="s">
        <v>494</v>
      </c>
      <c r="C150" s="27" t="s">
        <v>495</v>
      </c>
      <c r="D150" s="27" t="s">
        <v>496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32350</f>
        <v>32350.0</v>
      </c>
      <c r="L150" s="34" t="s">
        <v>48</v>
      </c>
      <c r="M150" s="33" t="n">
        <f>33250</f>
        <v>33250.0</v>
      </c>
      <c r="N150" s="34" t="s">
        <v>49</v>
      </c>
      <c r="O150" s="33" t="n">
        <f>31850</f>
        <v>31850.0</v>
      </c>
      <c r="P150" s="34" t="s">
        <v>50</v>
      </c>
      <c r="Q150" s="33" t="n">
        <f>32200</f>
        <v>32200.0</v>
      </c>
      <c r="R150" s="34" t="s">
        <v>51</v>
      </c>
      <c r="S150" s="35" t="n">
        <f>32477.5</f>
        <v>32477.5</v>
      </c>
      <c r="T150" s="32" t="n">
        <f>2484</f>
        <v>2484.0</v>
      </c>
      <c r="U150" s="32" t="str">
        <f>"－"</f>
        <v>－</v>
      </c>
      <c r="V150" s="32" t="n">
        <f>80563300</f>
        <v>8.05633E7</v>
      </c>
      <c r="W150" s="32" t="str">
        <f>"－"</f>
        <v>－</v>
      </c>
      <c r="X150" s="36" t="n">
        <f>20</f>
        <v>20.0</v>
      </c>
    </row>
    <row r="151">
      <c r="A151" s="27" t="s">
        <v>42</v>
      </c>
      <c r="B151" s="27" t="s">
        <v>497</v>
      </c>
      <c r="C151" s="27" t="s">
        <v>498</v>
      </c>
      <c r="D151" s="27" t="s">
        <v>499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20780</f>
        <v>20780.0</v>
      </c>
      <c r="L151" s="34" t="s">
        <v>48</v>
      </c>
      <c r="M151" s="33" t="n">
        <f>21200</f>
        <v>21200.0</v>
      </c>
      <c r="N151" s="34" t="s">
        <v>176</v>
      </c>
      <c r="O151" s="33" t="n">
        <f>20600</f>
        <v>20600.0</v>
      </c>
      <c r="P151" s="34" t="s">
        <v>370</v>
      </c>
      <c r="Q151" s="33" t="n">
        <f>21170</f>
        <v>21170.0</v>
      </c>
      <c r="R151" s="34" t="s">
        <v>98</v>
      </c>
      <c r="S151" s="35" t="n">
        <f>20925.83</f>
        <v>20925.83</v>
      </c>
      <c r="T151" s="32" t="n">
        <f>127</f>
        <v>127.0</v>
      </c>
      <c r="U151" s="32" t="str">
        <f>"－"</f>
        <v>－</v>
      </c>
      <c r="V151" s="32" t="n">
        <f>2639410</f>
        <v>2639410.0</v>
      </c>
      <c r="W151" s="32" t="str">
        <f>"－"</f>
        <v>－</v>
      </c>
      <c r="X151" s="36" t="n">
        <f>12</f>
        <v>12.0</v>
      </c>
    </row>
    <row r="152">
      <c r="A152" s="27" t="s">
        <v>42</v>
      </c>
      <c r="B152" s="27" t="s">
        <v>500</v>
      </c>
      <c r="C152" s="27" t="s">
        <v>501</v>
      </c>
      <c r="D152" s="27" t="s">
        <v>502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6330</f>
        <v>6330.0</v>
      </c>
      <c r="L152" s="34" t="s">
        <v>48</v>
      </c>
      <c r="M152" s="33" t="n">
        <f>6590</f>
        <v>6590.0</v>
      </c>
      <c r="N152" s="34" t="s">
        <v>49</v>
      </c>
      <c r="O152" s="33" t="n">
        <f>6210</f>
        <v>6210.0</v>
      </c>
      <c r="P152" s="34" t="s">
        <v>51</v>
      </c>
      <c r="Q152" s="33" t="n">
        <f>6240</f>
        <v>6240.0</v>
      </c>
      <c r="R152" s="34" t="s">
        <v>51</v>
      </c>
      <c r="S152" s="35" t="n">
        <f>6382.5</f>
        <v>6382.5</v>
      </c>
      <c r="T152" s="32" t="n">
        <f>23362</f>
        <v>23362.0</v>
      </c>
      <c r="U152" s="32" t="n">
        <f>5</f>
        <v>5.0</v>
      </c>
      <c r="V152" s="32" t="n">
        <f>149144880</f>
        <v>1.4914488E8</v>
      </c>
      <c r="W152" s="32" t="n">
        <f>31670</f>
        <v>31670.0</v>
      </c>
      <c r="X152" s="36" t="n">
        <f>20</f>
        <v>20.0</v>
      </c>
    </row>
    <row r="153">
      <c r="A153" s="27" t="s">
        <v>42</v>
      </c>
      <c r="B153" s="27" t="s">
        <v>503</v>
      </c>
      <c r="C153" s="27" t="s">
        <v>504</v>
      </c>
      <c r="D153" s="27" t="s">
        <v>505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11040</f>
        <v>11040.0</v>
      </c>
      <c r="L153" s="34" t="s">
        <v>48</v>
      </c>
      <c r="M153" s="33" t="n">
        <f>11520</f>
        <v>11520.0</v>
      </c>
      <c r="N153" s="34" t="s">
        <v>73</v>
      </c>
      <c r="O153" s="33" t="n">
        <f>10700</f>
        <v>10700.0</v>
      </c>
      <c r="P153" s="34" t="s">
        <v>98</v>
      </c>
      <c r="Q153" s="33" t="n">
        <f>10730</f>
        <v>10730.0</v>
      </c>
      <c r="R153" s="34" t="s">
        <v>51</v>
      </c>
      <c r="S153" s="35" t="n">
        <f>11025</f>
        <v>11025.0</v>
      </c>
      <c r="T153" s="32" t="n">
        <f>2755</f>
        <v>2755.0</v>
      </c>
      <c r="U153" s="32" t="str">
        <f>"－"</f>
        <v>－</v>
      </c>
      <c r="V153" s="32" t="n">
        <f>30332980</f>
        <v>3.033298E7</v>
      </c>
      <c r="W153" s="32" t="str">
        <f>"－"</f>
        <v>－</v>
      </c>
      <c r="X153" s="36" t="n">
        <f>20</f>
        <v>20.0</v>
      </c>
    </row>
    <row r="154">
      <c r="A154" s="27" t="s">
        <v>42</v>
      </c>
      <c r="B154" s="27" t="s">
        <v>506</v>
      </c>
      <c r="C154" s="27" t="s">
        <v>507</v>
      </c>
      <c r="D154" s="27" t="s">
        <v>508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23800</f>
        <v>23800.0</v>
      </c>
      <c r="L154" s="34" t="s">
        <v>48</v>
      </c>
      <c r="M154" s="33" t="n">
        <f>24680</f>
        <v>24680.0</v>
      </c>
      <c r="N154" s="34" t="s">
        <v>266</v>
      </c>
      <c r="O154" s="33" t="n">
        <f>23720</f>
        <v>23720.0</v>
      </c>
      <c r="P154" s="34" t="s">
        <v>69</v>
      </c>
      <c r="Q154" s="33" t="n">
        <f>23960</f>
        <v>23960.0</v>
      </c>
      <c r="R154" s="34" t="s">
        <v>51</v>
      </c>
      <c r="S154" s="35" t="n">
        <f>24220</f>
        <v>24220.0</v>
      </c>
      <c r="T154" s="32" t="n">
        <f>634</f>
        <v>634.0</v>
      </c>
      <c r="U154" s="32" t="str">
        <f>"－"</f>
        <v>－</v>
      </c>
      <c r="V154" s="32" t="n">
        <f>15380340</f>
        <v>1.538034E7</v>
      </c>
      <c r="W154" s="32" t="str">
        <f>"－"</f>
        <v>－</v>
      </c>
      <c r="X154" s="36" t="n">
        <f>20</f>
        <v>20.0</v>
      </c>
    </row>
    <row r="155">
      <c r="A155" s="27" t="s">
        <v>42</v>
      </c>
      <c r="B155" s="27" t="s">
        <v>509</v>
      </c>
      <c r="C155" s="27" t="s">
        <v>510</v>
      </c>
      <c r="D155" s="27" t="s">
        <v>511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855</f>
        <v>855.0</v>
      </c>
      <c r="L155" s="34" t="s">
        <v>48</v>
      </c>
      <c r="M155" s="33" t="n">
        <f>858</f>
        <v>858.0</v>
      </c>
      <c r="N155" s="34" t="s">
        <v>61</v>
      </c>
      <c r="O155" s="33" t="n">
        <f>825</f>
        <v>825.0</v>
      </c>
      <c r="P155" s="34" t="s">
        <v>98</v>
      </c>
      <c r="Q155" s="33" t="n">
        <f>835</f>
        <v>835.0</v>
      </c>
      <c r="R155" s="34" t="s">
        <v>51</v>
      </c>
      <c r="S155" s="35" t="n">
        <f>843.75</f>
        <v>843.75</v>
      </c>
      <c r="T155" s="32" t="n">
        <f>54620</f>
        <v>54620.0</v>
      </c>
      <c r="U155" s="32" t="str">
        <f>"－"</f>
        <v>－</v>
      </c>
      <c r="V155" s="32" t="n">
        <f>46160490</f>
        <v>4.616049E7</v>
      </c>
      <c r="W155" s="32" t="str">
        <f>"－"</f>
        <v>－</v>
      </c>
      <c r="X155" s="36" t="n">
        <f>20</f>
        <v>20.0</v>
      </c>
    </row>
    <row r="156">
      <c r="A156" s="27" t="s">
        <v>42</v>
      </c>
      <c r="B156" s="27" t="s">
        <v>512</v>
      </c>
      <c r="C156" s="27" t="s">
        <v>513</v>
      </c>
      <c r="D156" s="27" t="s">
        <v>514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2045</f>
        <v>2045.0</v>
      </c>
      <c r="L156" s="34" t="s">
        <v>61</v>
      </c>
      <c r="M156" s="33" t="n">
        <f>2049</f>
        <v>2049.0</v>
      </c>
      <c r="N156" s="34" t="s">
        <v>86</v>
      </c>
      <c r="O156" s="33" t="n">
        <f>2018</f>
        <v>2018.0</v>
      </c>
      <c r="P156" s="34" t="s">
        <v>175</v>
      </c>
      <c r="Q156" s="33" t="n">
        <f>2048</f>
        <v>2048.0</v>
      </c>
      <c r="R156" s="34" t="s">
        <v>86</v>
      </c>
      <c r="S156" s="35" t="n">
        <f>2039</f>
        <v>2039.0</v>
      </c>
      <c r="T156" s="32" t="n">
        <f>9560</f>
        <v>9560.0</v>
      </c>
      <c r="U156" s="32" t="str">
        <f>"－"</f>
        <v>－</v>
      </c>
      <c r="V156" s="32" t="n">
        <f>19561560</f>
        <v>1.956156E7</v>
      </c>
      <c r="W156" s="32" t="str">
        <f>"－"</f>
        <v>－</v>
      </c>
      <c r="X156" s="36" t="n">
        <f>8</f>
        <v>8.0</v>
      </c>
    </row>
    <row r="157">
      <c r="A157" s="27" t="s">
        <v>42</v>
      </c>
      <c r="B157" s="27" t="s">
        <v>515</v>
      </c>
      <c r="C157" s="27" t="s">
        <v>516</v>
      </c>
      <c r="D157" s="27" t="s">
        <v>517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2038</f>
        <v>2038.0</v>
      </c>
      <c r="L157" s="34" t="s">
        <v>48</v>
      </c>
      <c r="M157" s="33" t="n">
        <f>2110</f>
        <v>2110.0</v>
      </c>
      <c r="N157" s="34" t="s">
        <v>49</v>
      </c>
      <c r="O157" s="33" t="n">
        <f>2015</f>
        <v>2015.0</v>
      </c>
      <c r="P157" s="34" t="s">
        <v>50</v>
      </c>
      <c r="Q157" s="33" t="n">
        <f>2086</f>
        <v>2086.0</v>
      </c>
      <c r="R157" s="34" t="s">
        <v>51</v>
      </c>
      <c r="S157" s="35" t="n">
        <f>2061.56</f>
        <v>2061.56</v>
      </c>
      <c r="T157" s="32" t="n">
        <f>15120</f>
        <v>15120.0</v>
      </c>
      <c r="U157" s="32" t="str">
        <f>"－"</f>
        <v>－</v>
      </c>
      <c r="V157" s="32" t="n">
        <f>31027310</f>
        <v>3.102731E7</v>
      </c>
      <c r="W157" s="32" t="str">
        <f>"－"</f>
        <v>－</v>
      </c>
      <c r="X157" s="36" t="n">
        <f>16</f>
        <v>16.0</v>
      </c>
    </row>
    <row r="158">
      <c r="A158" s="27" t="s">
        <v>42</v>
      </c>
      <c r="B158" s="27" t="s">
        <v>518</v>
      </c>
      <c r="C158" s="27" t="s">
        <v>519</v>
      </c>
      <c r="D158" s="27" t="s">
        <v>520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1205</f>
        <v>1205.0</v>
      </c>
      <c r="L158" s="34" t="s">
        <v>48</v>
      </c>
      <c r="M158" s="33" t="n">
        <f>1229</f>
        <v>1229.0</v>
      </c>
      <c r="N158" s="34" t="s">
        <v>49</v>
      </c>
      <c r="O158" s="33" t="n">
        <f>1195</f>
        <v>1195.0</v>
      </c>
      <c r="P158" s="34" t="s">
        <v>69</v>
      </c>
      <c r="Q158" s="33" t="n">
        <f>1207</f>
        <v>1207.0</v>
      </c>
      <c r="R158" s="34" t="s">
        <v>51</v>
      </c>
      <c r="S158" s="35" t="n">
        <f>1208.54</f>
        <v>1208.54</v>
      </c>
      <c r="T158" s="32" t="n">
        <f>12560</f>
        <v>12560.0</v>
      </c>
      <c r="U158" s="32" t="str">
        <f>"－"</f>
        <v>－</v>
      </c>
      <c r="V158" s="32" t="n">
        <f>15211300</f>
        <v>1.52113E7</v>
      </c>
      <c r="W158" s="32" t="str">
        <f>"－"</f>
        <v>－</v>
      </c>
      <c r="X158" s="36" t="n">
        <f>13</f>
        <v>13.0</v>
      </c>
    </row>
    <row r="159">
      <c r="A159" s="27" t="s">
        <v>42</v>
      </c>
      <c r="B159" s="27" t="s">
        <v>521</v>
      </c>
      <c r="C159" s="27" t="s">
        <v>522</v>
      </c>
      <c r="D159" s="27" t="s">
        <v>523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2647</f>
        <v>2647.0</v>
      </c>
      <c r="L159" s="34" t="s">
        <v>48</v>
      </c>
      <c r="M159" s="33" t="n">
        <f>2720</f>
        <v>2720.0</v>
      </c>
      <c r="N159" s="34" t="s">
        <v>61</v>
      </c>
      <c r="O159" s="33" t="n">
        <f>2427</f>
        <v>2427.0</v>
      </c>
      <c r="P159" s="34" t="s">
        <v>98</v>
      </c>
      <c r="Q159" s="33" t="n">
        <f>2492</f>
        <v>2492.0</v>
      </c>
      <c r="R159" s="34" t="s">
        <v>51</v>
      </c>
      <c r="S159" s="35" t="n">
        <f>2558.8</f>
        <v>2558.8</v>
      </c>
      <c r="T159" s="32" t="n">
        <f>2848684</f>
        <v>2848684.0</v>
      </c>
      <c r="U159" s="32" t="n">
        <f>843630</f>
        <v>843630.0</v>
      </c>
      <c r="V159" s="32" t="n">
        <f>7219120005</f>
        <v>7.219120005E9</v>
      </c>
      <c r="W159" s="32" t="n">
        <f>2129920419</f>
        <v>2.129920419E9</v>
      </c>
      <c r="X159" s="36" t="n">
        <f>20</f>
        <v>20.0</v>
      </c>
    </row>
    <row r="160">
      <c r="A160" s="27" t="s">
        <v>42</v>
      </c>
      <c r="B160" s="27" t="s">
        <v>524</v>
      </c>
      <c r="C160" s="27" t="s">
        <v>525</v>
      </c>
      <c r="D160" s="27" t="s">
        <v>526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2675</f>
        <v>2675.0</v>
      </c>
      <c r="L160" s="34" t="s">
        <v>48</v>
      </c>
      <c r="M160" s="33" t="n">
        <f>2697</f>
        <v>2697.0</v>
      </c>
      <c r="N160" s="34" t="s">
        <v>69</v>
      </c>
      <c r="O160" s="33" t="n">
        <f>2647</f>
        <v>2647.0</v>
      </c>
      <c r="P160" s="34" t="s">
        <v>90</v>
      </c>
      <c r="Q160" s="33" t="n">
        <f>2676</f>
        <v>2676.0</v>
      </c>
      <c r="R160" s="34" t="s">
        <v>51</v>
      </c>
      <c r="S160" s="35" t="n">
        <f>2676.3</f>
        <v>2676.3</v>
      </c>
      <c r="T160" s="32" t="n">
        <f>1204587</f>
        <v>1204587.0</v>
      </c>
      <c r="U160" s="32" t="n">
        <f>880000</f>
        <v>880000.0</v>
      </c>
      <c r="V160" s="32" t="n">
        <f>3208090106</f>
        <v>3.208090106E9</v>
      </c>
      <c r="W160" s="32" t="n">
        <f>2337518000</f>
        <v>2.337518E9</v>
      </c>
      <c r="X160" s="36" t="n">
        <f>20</f>
        <v>20.0</v>
      </c>
    </row>
    <row r="161">
      <c r="A161" s="27" t="s">
        <v>42</v>
      </c>
      <c r="B161" s="27" t="s">
        <v>527</v>
      </c>
      <c r="C161" s="27" t="s">
        <v>528</v>
      </c>
      <c r="D161" s="27" t="s">
        <v>529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2367</f>
        <v>2367.0</v>
      </c>
      <c r="L161" s="34" t="s">
        <v>48</v>
      </c>
      <c r="M161" s="33" t="n">
        <f>2414</f>
        <v>2414.0</v>
      </c>
      <c r="N161" s="34" t="s">
        <v>61</v>
      </c>
      <c r="O161" s="33" t="n">
        <f>2183</f>
        <v>2183.0</v>
      </c>
      <c r="P161" s="34" t="s">
        <v>98</v>
      </c>
      <c r="Q161" s="33" t="n">
        <f>2234</f>
        <v>2234.0</v>
      </c>
      <c r="R161" s="34" t="s">
        <v>51</v>
      </c>
      <c r="S161" s="35" t="n">
        <f>2289.7</f>
        <v>2289.7</v>
      </c>
      <c r="T161" s="32" t="n">
        <f>64682</f>
        <v>64682.0</v>
      </c>
      <c r="U161" s="32" t="str">
        <f>"－"</f>
        <v>－</v>
      </c>
      <c r="V161" s="32" t="n">
        <f>147225766</f>
        <v>1.47225766E8</v>
      </c>
      <c r="W161" s="32" t="str">
        <f>"－"</f>
        <v>－</v>
      </c>
      <c r="X161" s="36" t="n">
        <f>20</f>
        <v>20.0</v>
      </c>
    </row>
    <row r="162">
      <c r="A162" s="27" t="s">
        <v>42</v>
      </c>
      <c r="B162" s="27" t="s">
        <v>530</v>
      </c>
      <c r="C162" s="27" t="s">
        <v>531</v>
      </c>
      <c r="D162" s="27" t="s">
        <v>532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1885</f>
        <v>1885.0</v>
      </c>
      <c r="L162" s="34" t="s">
        <v>48</v>
      </c>
      <c r="M162" s="33" t="n">
        <f>1933</f>
        <v>1933.0</v>
      </c>
      <c r="N162" s="34" t="s">
        <v>61</v>
      </c>
      <c r="O162" s="33" t="n">
        <f>1795</f>
        <v>1795.0</v>
      </c>
      <c r="P162" s="34" t="s">
        <v>98</v>
      </c>
      <c r="Q162" s="33" t="n">
        <f>1831</f>
        <v>1831.0</v>
      </c>
      <c r="R162" s="34" t="s">
        <v>51</v>
      </c>
      <c r="S162" s="35" t="n">
        <f>1868.85</f>
        <v>1868.85</v>
      </c>
      <c r="T162" s="32" t="n">
        <f>66444</f>
        <v>66444.0</v>
      </c>
      <c r="U162" s="32" t="n">
        <f>168</f>
        <v>168.0</v>
      </c>
      <c r="V162" s="32" t="n">
        <f>124173045</f>
        <v>1.24173045E8</v>
      </c>
      <c r="W162" s="32" t="n">
        <f>311364</f>
        <v>311364.0</v>
      </c>
      <c r="X162" s="36" t="n">
        <f>20</f>
        <v>20.0</v>
      </c>
    </row>
    <row r="163">
      <c r="A163" s="27" t="s">
        <v>42</v>
      </c>
      <c r="B163" s="27" t="s">
        <v>533</v>
      </c>
      <c r="C163" s="27" t="s">
        <v>534</v>
      </c>
      <c r="D163" s="27" t="s">
        <v>535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1799</f>
        <v>1799.0</v>
      </c>
      <c r="L163" s="34" t="s">
        <v>48</v>
      </c>
      <c r="M163" s="33" t="n">
        <f>1837</f>
        <v>1837.0</v>
      </c>
      <c r="N163" s="34" t="s">
        <v>61</v>
      </c>
      <c r="O163" s="33" t="n">
        <f>1663</f>
        <v>1663.0</v>
      </c>
      <c r="P163" s="34" t="s">
        <v>98</v>
      </c>
      <c r="Q163" s="33" t="n">
        <f>1719</f>
        <v>1719.0</v>
      </c>
      <c r="R163" s="34" t="s">
        <v>51</v>
      </c>
      <c r="S163" s="35" t="n">
        <f>1774.75</f>
        <v>1774.75</v>
      </c>
      <c r="T163" s="32" t="n">
        <f>371100</f>
        <v>371100.0</v>
      </c>
      <c r="U163" s="32" t="n">
        <f>1</f>
        <v>1.0</v>
      </c>
      <c r="V163" s="32" t="n">
        <f>653066893</f>
        <v>6.53066893E8</v>
      </c>
      <c r="W163" s="32" t="n">
        <f>1749</f>
        <v>1749.0</v>
      </c>
      <c r="X163" s="36" t="n">
        <f>20</f>
        <v>20.0</v>
      </c>
    </row>
    <row r="164">
      <c r="A164" s="27" t="s">
        <v>42</v>
      </c>
      <c r="B164" s="27" t="s">
        <v>536</v>
      </c>
      <c r="C164" s="27" t="s">
        <v>537</v>
      </c>
      <c r="D164" s="27" t="s">
        <v>538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9420</f>
        <v>9420.0</v>
      </c>
      <c r="L164" s="34" t="s">
        <v>48</v>
      </c>
      <c r="M164" s="33" t="n">
        <f>9590</f>
        <v>9590.0</v>
      </c>
      <c r="N164" s="34" t="s">
        <v>49</v>
      </c>
      <c r="O164" s="33" t="n">
        <f>9050</f>
        <v>9050.0</v>
      </c>
      <c r="P164" s="34" t="s">
        <v>266</v>
      </c>
      <c r="Q164" s="33" t="n">
        <f>9480</f>
        <v>9480.0</v>
      </c>
      <c r="R164" s="34" t="s">
        <v>51</v>
      </c>
      <c r="S164" s="35" t="n">
        <f>9302</f>
        <v>9302.0</v>
      </c>
      <c r="T164" s="32" t="n">
        <f>14312</f>
        <v>14312.0</v>
      </c>
      <c r="U164" s="32" t="n">
        <f>85</f>
        <v>85.0</v>
      </c>
      <c r="V164" s="32" t="n">
        <f>133236520</f>
        <v>1.3323652E8</v>
      </c>
      <c r="W164" s="32" t="n">
        <f>803700</f>
        <v>803700.0</v>
      </c>
      <c r="X164" s="36" t="n">
        <f>20</f>
        <v>20.0</v>
      </c>
    </row>
    <row r="165">
      <c r="A165" s="27" t="s">
        <v>42</v>
      </c>
      <c r="B165" s="27" t="s">
        <v>539</v>
      </c>
      <c r="C165" s="27" t="s">
        <v>540</v>
      </c>
      <c r="D165" s="27" t="s">
        <v>541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100.0</v>
      </c>
      <c r="K165" s="33" t="n">
        <f>114</f>
        <v>114.0</v>
      </c>
      <c r="L165" s="34" t="s">
        <v>48</v>
      </c>
      <c r="M165" s="33" t="n">
        <f>116</f>
        <v>116.0</v>
      </c>
      <c r="N165" s="34" t="s">
        <v>97</v>
      </c>
      <c r="O165" s="33" t="n">
        <f>110</f>
        <v>110.0</v>
      </c>
      <c r="P165" s="34" t="s">
        <v>168</v>
      </c>
      <c r="Q165" s="33" t="n">
        <f>115</f>
        <v>115.0</v>
      </c>
      <c r="R165" s="34" t="s">
        <v>49</v>
      </c>
      <c r="S165" s="35" t="n">
        <f>114.11</f>
        <v>114.11</v>
      </c>
      <c r="T165" s="32" t="n">
        <f>19600</f>
        <v>19600.0</v>
      </c>
      <c r="U165" s="32" t="str">
        <f>"－"</f>
        <v>－</v>
      </c>
      <c r="V165" s="32" t="n">
        <f>2226400</f>
        <v>2226400.0</v>
      </c>
      <c r="W165" s="32" t="str">
        <f>"－"</f>
        <v>－</v>
      </c>
      <c r="X165" s="36" t="n">
        <f>18</f>
        <v>18.0</v>
      </c>
    </row>
    <row r="166">
      <c r="A166" s="27" t="s">
        <v>42</v>
      </c>
      <c r="B166" s="27" t="s">
        <v>542</v>
      </c>
      <c r="C166" s="27" t="s">
        <v>543</v>
      </c>
      <c r="D166" s="27" t="s">
        <v>544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906</f>
        <v>906.0</v>
      </c>
      <c r="L166" s="34" t="s">
        <v>48</v>
      </c>
      <c r="M166" s="33" t="n">
        <f>913</f>
        <v>913.0</v>
      </c>
      <c r="N166" s="34" t="s">
        <v>97</v>
      </c>
      <c r="O166" s="33" t="n">
        <f>778</f>
        <v>778.0</v>
      </c>
      <c r="P166" s="34" t="s">
        <v>50</v>
      </c>
      <c r="Q166" s="33" t="n">
        <f>814</f>
        <v>814.0</v>
      </c>
      <c r="R166" s="34" t="s">
        <v>51</v>
      </c>
      <c r="S166" s="35" t="n">
        <f>836</f>
        <v>836.0</v>
      </c>
      <c r="T166" s="32" t="n">
        <f>57509083</f>
        <v>5.7509083E7</v>
      </c>
      <c r="U166" s="32" t="n">
        <f>446547</f>
        <v>446547.0</v>
      </c>
      <c r="V166" s="32" t="n">
        <f>48000442417</f>
        <v>4.8000442417E10</v>
      </c>
      <c r="W166" s="32" t="n">
        <f>370367833</f>
        <v>3.70367833E8</v>
      </c>
      <c r="X166" s="36" t="n">
        <f>20</f>
        <v>20.0</v>
      </c>
    </row>
    <row r="167">
      <c r="A167" s="27" t="s">
        <v>42</v>
      </c>
      <c r="B167" s="27" t="s">
        <v>545</v>
      </c>
      <c r="C167" s="27" t="s">
        <v>546</v>
      </c>
      <c r="D167" s="27" t="s">
        <v>547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19740</f>
        <v>19740.0</v>
      </c>
      <c r="L167" s="34" t="s">
        <v>48</v>
      </c>
      <c r="M167" s="33" t="n">
        <f>20060</f>
        <v>20060.0</v>
      </c>
      <c r="N167" s="34" t="s">
        <v>48</v>
      </c>
      <c r="O167" s="33" t="n">
        <f>18460</f>
        <v>18460.0</v>
      </c>
      <c r="P167" s="34" t="s">
        <v>98</v>
      </c>
      <c r="Q167" s="33" t="n">
        <f>18800</f>
        <v>18800.0</v>
      </c>
      <c r="R167" s="34" t="s">
        <v>51</v>
      </c>
      <c r="S167" s="35" t="n">
        <f>19315</f>
        <v>19315.0</v>
      </c>
      <c r="T167" s="32" t="n">
        <f>5707</f>
        <v>5707.0</v>
      </c>
      <c r="U167" s="32" t="str">
        <f>"－"</f>
        <v>－</v>
      </c>
      <c r="V167" s="32" t="n">
        <f>110231050</f>
        <v>1.1023105E8</v>
      </c>
      <c r="W167" s="32" t="str">
        <f>"－"</f>
        <v>－</v>
      </c>
      <c r="X167" s="36" t="n">
        <f>20</f>
        <v>20.0</v>
      </c>
    </row>
    <row r="168">
      <c r="A168" s="27" t="s">
        <v>42</v>
      </c>
      <c r="B168" s="27" t="s">
        <v>548</v>
      </c>
      <c r="C168" s="27" t="s">
        <v>549</v>
      </c>
      <c r="D168" s="27" t="s">
        <v>550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2775</f>
        <v>2775.0</v>
      </c>
      <c r="L168" s="34" t="s">
        <v>48</v>
      </c>
      <c r="M168" s="33" t="n">
        <f>2847</f>
        <v>2847.0</v>
      </c>
      <c r="N168" s="34" t="s">
        <v>48</v>
      </c>
      <c r="O168" s="33" t="n">
        <f>2143</f>
        <v>2143.0</v>
      </c>
      <c r="P168" s="34" t="s">
        <v>98</v>
      </c>
      <c r="Q168" s="33" t="n">
        <f>2343</f>
        <v>2343.0</v>
      </c>
      <c r="R168" s="34" t="s">
        <v>51</v>
      </c>
      <c r="S168" s="35" t="n">
        <f>2557.9</f>
        <v>2557.9</v>
      </c>
      <c r="T168" s="32" t="n">
        <f>48610</f>
        <v>48610.0</v>
      </c>
      <c r="U168" s="32" t="str">
        <f>"－"</f>
        <v>－</v>
      </c>
      <c r="V168" s="32" t="n">
        <f>121713340</f>
        <v>1.2171334E8</v>
      </c>
      <c r="W168" s="32" t="str">
        <f>"－"</f>
        <v>－</v>
      </c>
      <c r="X168" s="36" t="n">
        <f>20</f>
        <v>20.0</v>
      </c>
    </row>
    <row r="169">
      <c r="A169" s="27" t="s">
        <v>42</v>
      </c>
      <c r="B169" s="27" t="s">
        <v>551</v>
      </c>
      <c r="C169" s="27" t="s">
        <v>552</v>
      </c>
      <c r="D169" s="27" t="s">
        <v>553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9520</f>
        <v>9520.0</v>
      </c>
      <c r="L169" s="34" t="s">
        <v>48</v>
      </c>
      <c r="M169" s="33" t="n">
        <f>10010</f>
        <v>10010.0</v>
      </c>
      <c r="N169" s="34" t="s">
        <v>184</v>
      </c>
      <c r="O169" s="33" t="n">
        <f>8730</f>
        <v>8730.0</v>
      </c>
      <c r="P169" s="34" t="s">
        <v>49</v>
      </c>
      <c r="Q169" s="33" t="n">
        <f>8800</f>
        <v>8800.0</v>
      </c>
      <c r="R169" s="34" t="s">
        <v>51</v>
      </c>
      <c r="S169" s="35" t="n">
        <f>9246</f>
        <v>9246.0</v>
      </c>
      <c r="T169" s="32" t="n">
        <f>13076</f>
        <v>13076.0</v>
      </c>
      <c r="U169" s="32" t="str">
        <f>"－"</f>
        <v>－</v>
      </c>
      <c r="V169" s="32" t="n">
        <f>123867020</f>
        <v>1.2386702E8</v>
      </c>
      <c r="W169" s="32" t="str">
        <f>"－"</f>
        <v>－</v>
      </c>
      <c r="X169" s="36" t="n">
        <f>20</f>
        <v>20.0</v>
      </c>
    </row>
    <row r="170">
      <c r="A170" s="27" t="s">
        <v>42</v>
      </c>
      <c r="B170" s="27" t="s">
        <v>554</v>
      </c>
      <c r="C170" s="27" t="s">
        <v>555</v>
      </c>
      <c r="D170" s="27" t="s">
        <v>556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23090</f>
        <v>23090.0</v>
      </c>
      <c r="L170" s="34" t="s">
        <v>48</v>
      </c>
      <c r="M170" s="33" t="n">
        <f>25990</f>
        <v>25990.0</v>
      </c>
      <c r="N170" s="34" t="s">
        <v>180</v>
      </c>
      <c r="O170" s="33" t="n">
        <f>22300</f>
        <v>22300.0</v>
      </c>
      <c r="P170" s="34" t="s">
        <v>86</v>
      </c>
      <c r="Q170" s="33" t="n">
        <f>23030</f>
        <v>23030.0</v>
      </c>
      <c r="R170" s="34" t="s">
        <v>51</v>
      </c>
      <c r="S170" s="35" t="n">
        <f>23859.41</f>
        <v>23859.41</v>
      </c>
      <c r="T170" s="32" t="n">
        <f>401</f>
        <v>401.0</v>
      </c>
      <c r="U170" s="32" t="str">
        <f>"－"</f>
        <v>－</v>
      </c>
      <c r="V170" s="32" t="n">
        <f>9621480</f>
        <v>9621480.0</v>
      </c>
      <c r="W170" s="32" t="str">
        <f>"－"</f>
        <v>－</v>
      </c>
      <c r="X170" s="36" t="n">
        <f>17</f>
        <v>17.0</v>
      </c>
    </row>
    <row r="171">
      <c r="A171" s="27" t="s">
        <v>42</v>
      </c>
      <c r="B171" s="27" t="s">
        <v>557</v>
      </c>
      <c r="C171" s="27" t="s">
        <v>558</v>
      </c>
      <c r="D171" s="27" t="s">
        <v>559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17570</f>
        <v>17570.0</v>
      </c>
      <c r="L171" s="34" t="s">
        <v>69</v>
      </c>
      <c r="M171" s="33" t="n">
        <f>17630</f>
        <v>17630.0</v>
      </c>
      <c r="N171" s="34" t="s">
        <v>279</v>
      </c>
      <c r="O171" s="33" t="n">
        <f>15800</f>
        <v>15800.0</v>
      </c>
      <c r="P171" s="34" t="s">
        <v>86</v>
      </c>
      <c r="Q171" s="33" t="n">
        <f>15800</f>
        <v>15800.0</v>
      </c>
      <c r="R171" s="34" t="s">
        <v>86</v>
      </c>
      <c r="S171" s="35" t="n">
        <f>16980</f>
        <v>16980.0</v>
      </c>
      <c r="T171" s="32" t="n">
        <f>92</f>
        <v>92.0</v>
      </c>
      <c r="U171" s="32" t="str">
        <f>"－"</f>
        <v>－</v>
      </c>
      <c r="V171" s="32" t="n">
        <f>1574540</f>
        <v>1574540.0</v>
      </c>
      <c r="W171" s="32" t="str">
        <f>"－"</f>
        <v>－</v>
      </c>
      <c r="X171" s="36" t="n">
        <f>7</f>
        <v>7.0</v>
      </c>
    </row>
    <row r="172">
      <c r="A172" s="27" t="s">
        <v>42</v>
      </c>
      <c r="B172" s="27" t="s">
        <v>560</v>
      </c>
      <c r="C172" s="27" t="s">
        <v>561</v>
      </c>
      <c r="D172" s="27" t="s">
        <v>562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51800</f>
        <v>51800.0</v>
      </c>
      <c r="L172" s="34" t="s">
        <v>48</v>
      </c>
      <c r="M172" s="33" t="n">
        <f>52000</f>
        <v>52000.0</v>
      </c>
      <c r="N172" s="34" t="s">
        <v>97</v>
      </c>
      <c r="O172" s="33" t="n">
        <f>51000</f>
        <v>51000.0</v>
      </c>
      <c r="P172" s="34" t="s">
        <v>176</v>
      </c>
      <c r="Q172" s="33" t="n">
        <f>51400</f>
        <v>51400.0</v>
      </c>
      <c r="R172" s="34" t="s">
        <v>51</v>
      </c>
      <c r="S172" s="35" t="n">
        <f>51535</f>
        <v>51535.0</v>
      </c>
      <c r="T172" s="32" t="n">
        <f>28940</f>
        <v>28940.0</v>
      </c>
      <c r="U172" s="32" t="n">
        <f>17600</f>
        <v>17600.0</v>
      </c>
      <c r="V172" s="32" t="n">
        <f>1492773684</f>
        <v>1.492773684E9</v>
      </c>
      <c r="W172" s="32" t="n">
        <f>908811684</f>
        <v>9.08811684E8</v>
      </c>
      <c r="X172" s="36" t="n">
        <f>20</f>
        <v>20.0</v>
      </c>
    </row>
    <row r="173">
      <c r="A173" s="27" t="s">
        <v>42</v>
      </c>
      <c r="B173" s="27" t="s">
        <v>563</v>
      </c>
      <c r="C173" s="27" t="s">
        <v>564</v>
      </c>
      <c r="D173" s="27" t="s">
        <v>565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147</f>
        <v>147.0</v>
      </c>
      <c r="L173" s="34" t="s">
        <v>48</v>
      </c>
      <c r="M173" s="33" t="n">
        <f>151</f>
        <v>151.0</v>
      </c>
      <c r="N173" s="34" t="s">
        <v>97</v>
      </c>
      <c r="O173" s="33" t="n">
        <f>139</f>
        <v>139.0</v>
      </c>
      <c r="P173" s="34" t="s">
        <v>168</v>
      </c>
      <c r="Q173" s="33" t="n">
        <f>144</f>
        <v>144.0</v>
      </c>
      <c r="R173" s="34" t="s">
        <v>51</v>
      </c>
      <c r="S173" s="35" t="n">
        <f>146.7</f>
        <v>146.7</v>
      </c>
      <c r="T173" s="32" t="n">
        <f>6020600</f>
        <v>6020600.0</v>
      </c>
      <c r="U173" s="32" t="n">
        <f>17100</f>
        <v>17100.0</v>
      </c>
      <c r="V173" s="32" t="n">
        <f>878966600</f>
        <v>8.789666E8</v>
      </c>
      <c r="W173" s="32" t="n">
        <f>2508800</f>
        <v>2508800.0</v>
      </c>
      <c r="X173" s="36" t="n">
        <f>20</f>
        <v>20.0</v>
      </c>
    </row>
    <row r="174">
      <c r="A174" s="27" t="s">
        <v>42</v>
      </c>
      <c r="B174" s="27" t="s">
        <v>566</v>
      </c>
      <c r="C174" s="27" t="s">
        <v>567</v>
      </c>
      <c r="D174" s="27" t="s">
        <v>568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27020</f>
        <v>27020.0</v>
      </c>
      <c r="L174" s="34" t="s">
        <v>48</v>
      </c>
      <c r="M174" s="33" t="n">
        <f>27670</f>
        <v>27670.0</v>
      </c>
      <c r="N174" s="34" t="s">
        <v>61</v>
      </c>
      <c r="O174" s="33" t="n">
        <f>25160</f>
        <v>25160.0</v>
      </c>
      <c r="P174" s="34" t="s">
        <v>98</v>
      </c>
      <c r="Q174" s="33" t="n">
        <f>25690</f>
        <v>25690.0</v>
      </c>
      <c r="R174" s="34" t="s">
        <v>51</v>
      </c>
      <c r="S174" s="35" t="n">
        <f>26371</f>
        <v>26371.0</v>
      </c>
      <c r="T174" s="32" t="n">
        <f>7150</f>
        <v>7150.0</v>
      </c>
      <c r="U174" s="32" t="n">
        <f>10</f>
        <v>10.0</v>
      </c>
      <c r="V174" s="32" t="n">
        <f>189057600</f>
        <v>1.890576E8</v>
      </c>
      <c r="W174" s="32" t="n">
        <f>264700</f>
        <v>264700.0</v>
      </c>
      <c r="X174" s="36" t="n">
        <f>20</f>
        <v>20.0</v>
      </c>
    </row>
    <row r="175">
      <c r="A175" s="27" t="s">
        <v>42</v>
      </c>
      <c r="B175" s="27" t="s">
        <v>569</v>
      </c>
      <c r="C175" s="27" t="s">
        <v>570</v>
      </c>
      <c r="D175" s="27" t="s">
        <v>571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2721</f>
        <v>2721.0</v>
      </c>
      <c r="L175" s="34" t="s">
        <v>48</v>
      </c>
      <c r="M175" s="33" t="n">
        <f>2779</f>
        <v>2779.0</v>
      </c>
      <c r="N175" s="34" t="s">
        <v>61</v>
      </c>
      <c r="O175" s="33" t="n">
        <f>2513</f>
        <v>2513.0</v>
      </c>
      <c r="P175" s="34" t="s">
        <v>98</v>
      </c>
      <c r="Q175" s="33" t="n">
        <f>2587</f>
        <v>2587.0</v>
      </c>
      <c r="R175" s="34" t="s">
        <v>51</v>
      </c>
      <c r="S175" s="35" t="n">
        <f>2640.35</f>
        <v>2640.35</v>
      </c>
      <c r="T175" s="32" t="n">
        <f>90290</f>
        <v>90290.0</v>
      </c>
      <c r="U175" s="32" t="str">
        <f>"－"</f>
        <v>－</v>
      </c>
      <c r="V175" s="32" t="n">
        <f>237799590</f>
        <v>2.3779959E8</v>
      </c>
      <c r="W175" s="32" t="str">
        <f>"－"</f>
        <v>－</v>
      </c>
      <c r="X175" s="36" t="n">
        <f>20</f>
        <v>20.0</v>
      </c>
    </row>
    <row r="176">
      <c r="A176" s="27" t="s">
        <v>42</v>
      </c>
      <c r="B176" s="27" t="s">
        <v>572</v>
      </c>
      <c r="C176" s="27" t="s">
        <v>573</v>
      </c>
      <c r="D176" s="27" t="s">
        <v>574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1478</f>
        <v>1478.0</v>
      </c>
      <c r="L176" s="34" t="s">
        <v>48</v>
      </c>
      <c r="M176" s="33" t="n">
        <f>1508</f>
        <v>1508.0</v>
      </c>
      <c r="N176" s="34" t="s">
        <v>61</v>
      </c>
      <c r="O176" s="33" t="n">
        <f>1404</f>
        <v>1404.0</v>
      </c>
      <c r="P176" s="34" t="s">
        <v>98</v>
      </c>
      <c r="Q176" s="33" t="n">
        <f>1428</f>
        <v>1428.0</v>
      </c>
      <c r="R176" s="34" t="s">
        <v>51</v>
      </c>
      <c r="S176" s="35" t="n">
        <f>1460.3</f>
        <v>1460.3</v>
      </c>
      <c r="T176" s="32" t="n">
        <f>155000</f>
        <v>155000.0</v>
      </c>
      <c r="U176" s="32" t="n">
        <f>560</f>
        <v>560.0</v>
      </c>
      <c r="V176" s="32" t="n">
        <f>227178710</f>
        <v>2.2717871E8</v>
      </c>
      <c r="W176" s="32" t="n">
        <f>806350</f>
        <v>806350.0</v>
      </c>
      <c r="X176" s="36" t="n">
        <f>20</f>
        <v>20.0</v>
      </c>
    </row>
    <row r="177">
      <c r="A177" s="27" t="s">
        <v>42</v>
      </c>
      <c r="B177" s="27" t="s">
        <v>575</v>
      </c>
      <c r="C177" s="27" t="s">
        <v>576</v>
      </c>
      <c r="D177" s="27" t="s">
        <v>577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171</f>
        <v>171.0</v>
      </c>
      <c r="L177" s="34" t="s">
        <v>48</v>
      </c>
      <c r="M177" s="33" t="n">
        <f>180</f>
        <v>180.0</v>
      </c>
      <c r="N177" s="34" t="s">
        <v>184</v>
      </c>
      <c r="O177" s="33" t="n">
        <f>156</f>
        <v>156.0</v>
      </c>
      <c r="P177" s="34" t="s">
        <v>98</v>
      </c>
      <c r="Q177" s="33" t="n">
        <f>160</f>
        <v>160.0</v>
      </c>
      <c r="R177" s="34" t="s">
        <v>51</v>
      </c>
      <c r="S177" s="35" t="n">
        <f>167.3</f>
        <v>167.3</v>
      </c>
      <c r="T177" s="32" t="n">
        <f>765600</f>
        <v>765600.0</v>
      </c>
      <c r="U177" s="32" t="str">
        <f>"－"</f>
        <v>－</v>
      </c>
      <c r="V177" s="32" t="n">
        <f>129875300</f>
        <v>1.298753E8</v>
      </c>
      <c r="W177" s="32" t="str">
        <f>"－"</f>
        <v>－</v>
      </c>
      <c r="X177" s="36" t="n">
        <f>20</f>
        <v>20.0</v>
      </c>
    </row>
    <row r="178">
      <c r="A178" s="27" t="s">
        <v>42</v>
      </c>
      <c r="B178" s="27" t="s">
        <v>578</v>
      </c>
      <c r="C178" s="27" t="s">
        <v>579</v>
      </c>
      <c r="D178" s="27" t="s">
        <v>580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780</f>
        <v>780.0</v>
      </c>
      <c r="L178" s="34" t="s">
        <v>279</v>
      </c>
      <c r="M178" s="33" t="n">
        <f>780</f>
        <v>780.0</v>
      </c>
      <c r="N178" s="34" t="s">
        <v>279</v>
      </c>
      <c r="O178" s="33" t="n">
        <f>780</f>
        <v>780.0</v>
      </c>
      <c r="P178" s="34" t="s">
        <v>279</v>
      </c>
      <c r="Q178" s="33" t="n">
        <f>780</f>
        <v>780.0</v>
      </c>
      <c r="R178" s="34" t="s">
        <v>279</v>
      </c>
      <c r="S178" s="35" t="n">
        <f>780</f>
        <v>780.0</v>
      </c>
      <c r="T178" s="32" t="n">
        <f>10</f>
        <v>10.0</v>
      </c>
      <c r="U178" s="32" t="str">
        <f>"－"</f>
        <v>－</v>
      </c>
      <c r="V178" s="32" t="n">
        <f>7800</f>
        <v>7800.0</v>
      </c>
      <c r="W178" s="32" t="str">
        <f>"－"</f>
        <v>－</v>
      </c>
      <c r="X178" s="36" t="n">
        <f>1</f>
        <v>1.0</v>
      </c>
    </row>
    <row r="179">
      <c r="A179" s="27" t="s">
        <v>42</v>
      </c>
      <c r="B179" s="27" t="s">
        <v>581</v>
      </c>
      <c r="C179" s="27" t="s">
        <v>582</v>
      </c>
      <c r="D179" s="27" t="s">
        <v>583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230</f>
        <v>230.0</v>
      </c>
      <c r="L179" s="34" t="s">
        <v>48</v>
      </c>
      <c r="M179" s="33" t="n">
        <f>234</f>
        <v>234.0</v>
      </c>
      <c r="N179" s="34" t="s">
        <v>69</v>
      </c>
      <c r="O179" s="33" t="n">
        <f>198</f>
        <v>198.0</v>
      </c>
      <c r="P179" s="34" t="s">
        <v>184</v>
      </c>
      <c r="Q179" s="33" t="n">
        <f>208</f>
        <v>208.0</v>
      </c>
      <c r="R179" s="34" t="s">
        <v>51</v>
      </c>
      <c r="S179" s="35" t="n">
        <f>215.11</f>
        <v>215.11</v>
      </c>
      <c r="T179" s="32" t="n">
        <f>12950</f>
        <v>12950.0</v>
      </c>
      <c r="U179" s="32" t="str">
        <f>"－"</f>
        <v>－</v>
      </c>
      <c r="V179" s="32" t="n">
        <f>2765600</f>
        <v>2765600.0</v>
      </c>
      <c r="W179" s="32" t="str">
        <f>"－"</f>
        <v>－</v>
      </c>
      <c r="X179" s="36" t="n">
        <f>18</f>
        <v>18.0</v>
      </c>
    </row>
    <row r="180">
      <c r="A180" s="27" t="s">
        <v>42</v>
      </c>
      <c r="B180" s="27" t="s">
        <v>584</v>
      </c>
      <c r="C180" s="27" t="s">
        <v>585</v>
      </c>
      <c r="D180" s="27" t="s">
        <v>586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1212</f>
        <v>1212.0</v>
      </c>
      <c r="L180" s="34" t="s">
        <v>69</v>
      </c>
      <c r="M180" s="33" t="n">
        <f>1293</f>
        <v>1293.0</v>
      </c>
      <c r="N180" s="34" t="s">
        <v>176</v>
      </c>
      <c r="O180" s="33" t="n">
        <f>1212</f>
        <v>1212.0</v>
      </c>
      <c r="P180" s="34" t="s">
        <v>69</v>
      </c>
      <c r="Q180" s="33" t="n">
        <f>1269</f>
        <v>1269.0</v>
      </c>
      <c r="R180" s="34" t="s">
        <v>168</v>
      </c>
      <c r="S180" s="35" t="n">
        <f>1253.2</f>
        <v>1253.2</v>
      </c>
      <c r="T180" s="32" t="n">
        <f>70</f>
        <v>70.0</v>
      </c>
      <c r="U180" s="32" t="str">
        <f>"－"</f>
        <v>－</v>
      </c>
      <c r="V180" s="32" t="n">
        <f>87470</f>
        <v>87470.0</v>
      </c>
      <c r="W180" s="32" t="str">
        <f>"－"</f>
        <v>－</v>
      </c>
      <c r="X180" s="36" t="n">
        <f>5</f>
        <v>5.0</v>
      </c>
    </row>
    <row r="181">
      <c r="A181" s="27" t="s">
        <v>42</v>
      </c>
      <c r="B181" s="27" t="s">
        <v>587</v>
      </c>
      <c r="C181" s="27" t="s">
        <v>588</v>
      </c>
      <c r="D181" s="27" t="s">
        <v>589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418</f>
        <v>418.0</v>
      </c>
      <c r="L181" s="34" t="s">
        <v>48</v>
      </c>
      <c r="M181" s="33" t="n">
        <f>422</f>
        <v>422.0</v>
      </c>
      <c r="N181" s="34" t="s">
        <v>73</v>
      </c>
      <c r="O181" s="33" t="n">
        <f>396</f>
        <v>396.0</v>
      </c>
      <c r="P181" s="34" t="s">
        <v>175</v>
      </c>
      <c r="Q181" s="33" t="n">
        <f>400</f>
        <v>400.0</v>
      </c>
      <c r="R181" s="34" t="s">
        <v>51</v>
      </c>
      <c r="S181" s="35" t="n">
        <f>409.4</f>
        <v>409.4</v>
      </c>
      <c r="T181" s="32" t="n">
        <f>34130</f>
        <v>34130.0</v>
      </c>
      <c r="U181" s="32" t="str">
        <f>"－"</f>
        <v>－</v>
      </c>
      <c r="V181" s="32" t="n">
        <f>13928660</f>
        <v>1.392866E7</v>
      </c>
      <c r="W181" s="32" t="str">
        <f>"－"</f>
        <v>－</v>
      </c>
      <c r="X181" s="36" t="n">
        <f>20</f>
        <v>20.0</v>
      </c>
    </row>
    <row r="182">
      <c r="A182" s="27" t="s">
        <v>42</v>
      </c>
      <c r="B182" s="27" t="s">
        <v>590</v>
      </c>
      <c r="C182" s="27" t="s">
        <v>591</v>
      </c>
      <c r="D182" s="27" t="s">
        <v>592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290</f>
        <v>290.0</v>
      </c>
      <c r="L182" s="34" t="s">
        <v>48</v>
      </c>
      <c r="M182" s="33" t="n">
        <f>305</f>
        <v>305.0</v>
      </c>
      <c r="N182" s="34" t="s">
        <v>90</v>
      </c>
      <c r="O182" s="33" t="n">
        <f>286</f>
        <v>286.0</v>
      </c>
      <c r="P182" s="34" t="s">
        <v>61</v>
      </c>
      <c r="Q182" s="33" t="n">
        <f>289</f>
        <v>289.0</v>
      </c>
      <c r="R182" s="34" t="s">
        <v>51</v>
      </c>
      <c r="S182" s="35" t="n">
        <f>294.45</f>
        <v>294.45</v>
      </c>
      <c r="T182" s="32" t="n">
        <f>734940</f>
        <v>734940.0</v>
      </c>
      <c r="U182" s="32" t="str">
        <f>"－"</f>
        <v>－</v>
      </c>
      <c r="V182" s="32" t="n">
        <f>216134940</f>
        <v>2.1613494E8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593</v>
      </c>
      <c r="C183" s="27" t="s">
        <v>594</v>
      </c>
      <c r="D183" s="27" t="s">
        <v>595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100.0</v>
      </c>
      <c r="K183" s="33" t="n">
        <f>2</f>
        <v>2.0</v>
      </c>
      <c r="L183" s="34" t="s">
        <v>48</v>
      </c>
      <c r="M183" s="33" t="n">
        <f>2</f>
        <v>2.0</v>
      </c>
      <c r="N183" s="34" t="s">
        <v>48</v>
      </c>
      <c r="O183" s="33" t="n">
        <f>1</f>
        <v>1.0</v>
      </c>
      <c r="P183" s="34" t="s">
        <v>48</v>
      </c>
      <c r="Q183" s="33" t="n">
        <f>1</f>
        <v>1.0</v>
      </c>
      <c r="R183" s="34" t="s">
        <v>51</v>
      </c>
      <c r="S183" s="35" t="n">
        <f>1.8</f>
        <v>1.8</v>
      </c>
      <c r="T183" s="32" t="n">
        <f>154835800</f>
        <v>1.548358E8</v>
      </c>
      <c r="U183" s="32" t="str">
        <f>"－"</f>
        <v>－</v>
      </c>
      <c r="V183" s="32" t="n">
        <f>281720200</f>
        <v>2.817202E8</v>
      </c>
      <c r="W183" s="32" t="str">
        <f>"－"</f>
        <v>－</v>
      </c>
      <c r="X183" s="36" t="n">
        <f>20</f>
        <v>20.0</v>
      </c>
    </row>
    <row r="184">
      <c r="A184" s="27" t="s">
        <v>42</v>
      </c>
      <c r="B184" s="27" t="s">
        <v>596</v>
      </c>
      <c r="C184" s="27" t="s">
        <v>597</v>
      </c>
      <c r="D184" s="27" t="s">
        <v>598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424</f>
        <v>424.0</v>
      </c>
      <c r="L184" s="34" t="s">
        <v>48</v>
      </c>
      <c r="M184" s="33" t="n">
        <f>428</f>
        <v>428.0</v>
      </c>
      <c r="N184" s="34" t="s">
        <v>97</v>
      </c>
      <c r="O184" s="33" t="n">
        <f>363</f>
        <v>363.0</v>
      </c>
      <c r="P184" s="34" t="s">
        <v>50</v>
      </c>
      <c r="Q184" s="33" t="n">
        <f>379</f>
        <v>379.0</v>
      </c>
      <c r="R184" s="34" t="s">
        <v>51</v>
      </c>
      <c r="S184" s="35" t="n">
        <f>391.05</f>
        <v>391.05</v>
      </c>
      <c r="T184" s="32" t="n">
        <f>1769790</f>
        <v>1769790.0</v>
      </c>
      <c r="U184" s="32" t="str">
        <f>"－"</f>
        <v>－</v>
      </c>
      <c r="V184" s="32" t="n">
        <f>688048040</f>
        <v>6.8804804E8</v>
      </c>
      <c r="W184" s="32" t="str">
        <f>"－"</f>
        <v>－</v>
      </c>
      <c r="X184" s="36" t="n">
        <f>20</f>
        <v>20.0</v>
      </c>
    </row>
    <row r="185">
      <c r="A185" s="27" t="s">
        <v>42</v>
      </c>
      <c r="B185" s="27" t="s">
        <v>599</v>
      </c>
      <c r="C185" s="27" t="s">
        <v>600</v>
      </c>
      <c r="D185" s="27" t="s">
        <v>601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1.0</v>
      </c>
      <c r="K185" s="33" t="n">
        <f>1729</f>
        <v>1729.0</v>
      </c>
      <c r="L185" s="34" t="s">
        <v>48</v>
      </c>
      <c r="M185" s="33" t="n">
        <f>1786</f>
        <v>1786.0</v>
      </c>
      <c r="N185" s="34" t="s">
        <v>48</v>
      </c>
      <c r="O185" s="33" t="n">
        <f>1581</f>
        <v>1581.0</v>
      </c>
      <c r="P185" s="34" t="s">
        <v>50</v>
      </c>
      <c r="Q185" s="33" t="n">
        <f>1720</f>
        <v>1720.0</v>
      </c>
      <c r="R185" s="34" t="s">
        <v>51</v>
      </c>
      <c r="S185" s="35" t="n">
        <f>1685.58</f>
        <v>1685.58</v>
      </c>
      <c r="T185" s="32" t="n">
        <f>3671</f>
        <v>3671.0</v>
      </c>
      <c r="U185" s="32" t="str">
        <f>"－"</f>
        <v>－</v>
      </c>
      <c r="V185" s="32" t="n">
        <f>6153647</f>
        <v>6153647.0</v>
      </c>
      <c r="W185" s="32" t="str">
        <f>"－"</f>
        <v>－</v>
      </c>
      <c r="X185" s="36" t="n">
        <f>19</f>
        <v>19.0</v>
      </c>
    </row>
    <row r="186">
      <c r="A186" s="27" t="s">
        <v>42</v>
      </c>
      <c r="B186" s="27" t="s">
        <v>602</v>
      </c>
      <c r="C186" s="27" t="s">
        <v>603</v>
      </c>
      <c r="D186" s="27" t="s">
        <v>604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100.0</v>
      </c>
      <c r="K186" s="33" t="n">
        <f>276</f>
        <v>276.0</v>
      </c>
      <c r="L186" s="34" t="s">
        <v>97</v>
      </c>
      <c r="M186" s="33" t="n">
        <f>301</f>
        <v>301.0</v>
      </c>
      <c r="N186" s="34" t="s">
        <v>279</v>
      </c>
      <c r="O186" s="33" t="n">
        <f>264</f>
        <v>264.0</v>
      </c>
      <c r="P186" s="34" t="s">
        <v>168</v>
      </c>
      <c r="Q186" s="33" t="n">
        <f>264</f>
        <v>264.0</v>
      </c>
      <c r="R186" s="34" t="s">
        <v>168</v>
      </c>
      <c r="S186" s="35" t="n">
        <f>286.2</f>
        <v>286.2</v>
      </c>
      <c r="T186" s="32" t="n">
        <f>1100</f>
        <v>1100.0</v>
      </c>
      <c r="U186" s="32" t="str">
        <f>"－"</f>
        <v>－</v>
      </c>
      <c r="V186" s="32" t="n">
        <f>315400</f>
        <v>315400.0</v>
      </c>
      <c r="W186" s="32" t="str">
        <f>"－"</f>
        <v>－</v>
      </c>
      <c r="X186" s="36" t="n">
        <f>5</f>
        <v>5.0</v>
      </c>
    </row>
    <row r="187">
      <c r="A187" s="27" t="s">
        <v>42</v>
      </c>
      <c r="B187" s="27" t="s">
        <v>605</v>
      </c>
      <c r="C187" s="27" t="s">
        <v>606</v>
      </c>
      <c r="D187" s="27" t="s">
        <v>607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10.0</v>
      </c>
      <c r="K187" s="33" t="n">
        <f>2885</f>
        <v>2885.0</v>
      </c>
      <c r="L187" s="34" t="s">
        <v>48</v>
      </c>
      <c r="M187" s="33" t="n">
        <f>2950</f>
        <v>2950.0</v>
      </c>
      <c r="N187" s="34" t="s">
        <v>97</v>
      </c>
      <c r="O187" s="33" t="n">
        <f>2830</f>
        <v>2830.0</v>
      </c>
      <c r="P187" s="34" t="s">
        <v>168</v>
      </c>
      <c r="Q187" s="33" t="n">
        <f>2914</f>
        <v>2914.0</v>
      </c>
      <c r="R187" s="34" t="s">
        <v>51</v>
      </c>
      <c r="S187" s="35" t="n">
        <f>2888.84</f>
        <v>2888.84</v>
      </c>
      <c r="T187" s="32" t="n">
        <f>3250</f>
        <v>3250.0</v>
      </c>
      <c r="U187" s="32" t="str">
        <f>"－"</f>
        <v>－</v>
      </c>
      <c r="V187" s="32" t="n">
        <f>9418120</f>
        <v>9418120.0</v>
      </c>
      <c r="W187" s="32" t="str">
        <f>"－"</f>
        <v>－</v>
      </c>
      <c r="X187" s="36" t="n">
        <f>19</f>
        <v>19.0</v>
      </c>
    </row>
    <row r="188">
      <c r="A188" s="27" t="s">
        <v>42</v>
      </c>
      <c r="B188" s="27" t="s">
        <v>608</v>
      </c>
      <c r="C188" s="27" t="s">
        <v>609</v>
      </c>
      <c r="D188" s="27" t="s">
        <v>610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1540</f>
        <v>1540.0</v>
      </c>
      <c r="L188" s="34" t="s">
        <v>48</v>
      </c>
      <c r="M188" s="33" t="n">
        <f>1580</f>
        <v>1580.0</v>
      </c>
      <c r="N188" s="34" t="s">
        <v>279</v>
      </c>
      <c r="O188" s="33" t="n">
        <f>1424</f>
        <v>1424.0</v>
      </c>
      <c r="P188" s="34" t="s">
        <v>168</v>
      </c>
      <c r="Q188" s="33" t="n">
        <f>1424</f>
        <v>1424.0</v>
      </c>
      <c r="R188" s="34" t="s">
        <v>168</v>
      </c>
      <c r="S188" s="35" t="n">
        <f>1516.13</f>
        <v>1516.13</v>
      </c>
      <c r="T188" s="32" t="n">
        <f>660</f>
        <v>660.0</v>
      </c>
      <c r="U188" s="32" t="str">
        <f>"－"</f>
        <v>－</v>
      </c>
      <c r="V188" s="32" t="n">
        <f>1011390</f>
        <v>1011390.0</v>
      </c>
      <c r="W188" s="32" t="str">
        <f>"－"</f>
        <v>－</v>
      </c>
      <c r="X188" s="36" t="n">
        <f>8</f>
        <v>8.0</v>
      </c>
    </row>
    <row r="189">
      <c r="A189" s="27" t="s">
        <v>42</v>
      </c>
      <c r="B189" s="27" t="s">
        <v>611</v>
      </c>
      <c r="C189" s="27" t="s">
        <v>612</v>
      </c>
      <c r="D189" s="27" t="s">
        <v>613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100.0</v>
      </c>
      <c r="K189" s="33" t="n">
        <f>66</f>
        <v>66.0</v>
      </c>
      <c r="L189" s="34" t="s">
        <v>48</v>
      </c>
      <c r="M189" s="33" t="n">
        <f>69</f>
        <v>69.0</v>
      </c>
      <c r="N189" s="34" t="s">
        <v>97</v>
      </c>
      <c r="O189" s="33" t="n">
        <f>64</f>
        <v>64.0</v>
      </c>
      <c r="P189" s="34" t="s">
        <v>184</v>
      </c>
      <c r="Q189" s="33" t="n">
        <f>67</f>
        <v>67.0</v>
      </c>
      <c r="R189" s="34" t="s">
        <v>51</v>
      </c>
      <c r="S189" s="35" t="n">
        <f>66.45</f>
        <v>66.45</v>
      </c>
      <c r="T189" s="32" t="n">
        <f>8350200</f>
        <v>8350200.0</v>
      </c>
      <c r="U189" s="32" t="str">
        <f>"－"</f>
        <v>－</v>
      </c>
      <c r="V189" s="32" t="n">
        <f>554513700</f>
        <v>5.545137E8</v>
      </c>
      <c r="W189" s="32" t="str">
        <f>"－"</f>
        <v>－</v>
      </c>
      <c r="X189" s="36" t="n">
        <f>20</f>
        <v>20.0</v>
      </c>
    </row>
    <row r="190">
      <c r="A190" s="27" t="s">
        <v>42</v>
      </c>
      <c r="B190" s="27" t="s">
        <v>614</v>
      </c>
      <c r="C190" s="27" t="s">
        <v>615</v>
      </c>
      <c r="D190" s="27" t="s">
        <v>616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100.0</v>
      </c>
      <c r="K190" s="33" t="n">
        <f>67</f>
        <v>67.0</v>
      </c>
      <c r="L190" s="34" t="s">
        <v>48</v>
      </c>
      <c r="M190" s="33" t="n">
        <f>70</f>
        <v>70.0</v>
      </c>
      <c r="N190" s="34" t="s">
        <v>266</v>
      </c>
      <c r="O190" s="33" t="n">
        <f>65</f>
        <v>65.0</v>
      </c>
      <c r="P190" s="34" t="s">
        <v>48</v>
      </c>
      <c r="Q190" s="33" t="n">
        <f>68</f>
        <v>68.0</v>
      </c>
      <c r="R190" s="34" t="s">
        <v>51</v>
      </c>
      <c r="S190" s="35" t="n">
        <f>67.85</f>
        <v>67.85</v>
      </c>
      <c r="T190" s="32" t="n">
        <f>2612200</f>
        <v>2612200.0</v>
      </c>
      <c r="U190" s="32" t="str">
        <f>"－"</f>
        <v>－</v>
      </c>
      <c r="V190" s="32" t="n">
        <f>176489100</f>
        <v>1.764891E8</v>
      </c>
      <c r="W190" s="32" t="str">
        <f>"－"</f>
        <v>－</v>
      </c>
      <c r="X190" s="36" t="n">
        <f>20</f>
        <v>20.0</v>
      </c>
    </row>
    <row r="191">
      <c r="A191" s="27" t="s">
        <v>42</v>
      </c>
      <c r="B191" s="27" t="s">
        <v>617</v>
      </c>
      <c r="C191" s="27" t="s">
        <v>618</v>
      </c>
      <c r="D191" s="27" t="s">
        <v>619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10.0</v>
      </c>
      <c r="K191" s="33" t="n">
        <f>1790</f>
        <v>1790.0</v>
      </c>
      <c r="L191" s="34" t="s">
        <v>48</v>
      </c>
      <c r="M191" s="33" t="n">
        <f>1905</f>
        <v>1905.0</v>
      </c>
      <c r="N191" s="34" t="s">
        <v>90</v>
      </c>
      <c r="O191" s="33" t="n">
        <f>1760</f>
        <v>1760.0</v>
      </c>
      <c r="P191" s="34" t="s">
        <v>48</v>
      </c>
      <c r="Q191" s="33" t="n">
        <f>1839</f>
        <v>1839.0</v>
      </c>
      <c r="R191" s="34" t="s">
        <v>51</v>
      </c>
      <c r="S191" s="35" t="n">
        <f>1832.45</f>
        <v>1832.45</v>
      </c>
      <c r="T191" s="32" t="n">
        <f>53660</f>
        <v>53660.0</v>
      </c>
      <c r="U191" s="32" t="str">
        <f>"－"</f>
        <v>－</v>
      </c>
      <c r="V191" s="32" t="n">
        <f>98690370</f>
        <v>9.869037E7</v>
      </c>
      <c r="W191" s="32" t="str">
        <f>"－"</f>
        <v>－</v>
      </c>
      <c r="X191" s="36" t="n">
        <f>20</f>
        <v>20.0</v>
      </c>
    </row>
    <row r="192">
      <c r="A192" s="27" t="s">
        <v>42</v>
      </c>
      <c r="B192" s="27" t="s">
        <v>620</v>
      </c>
      <c r="C192" s="27" t="s">
        <v>621</v>
      </c>
      <c r="D192" s="27" t="s">
        <v>622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10.0</v>
      </c>
      <c r="K192" s="33" t="n">
        <f>1455</f>
        <v>1455.0</v>
      </c>
      <c r="L192" s="34" t="s">
        <v>48</v>
      </c>
      <c r="M192" s="33" t="n">
        <f>1465</f>
        <v>1465.0</v>
      </c>
      <c r="N192" s="34" t="s">
        <v>266</v>
      </c>
      <c r="O192" s="33" t="n">
        <f>1406</f>
        <v>1406.0</v>
      </c>
      <c r="P192" s="34" t="s">
        <v>98</v>
      </c>
      <c r="Q192" s="33" t="n">
        <f>1415</f>
        <v>1415.0</v>
      </c>
      <c r="R192" s="34" t="s">
        <v>51</v>
      </c>
      <c r="S192" s="35" t="n">
        <f>1432.35</f>
        <v>1432.35</v>
      </c>
      <c r="T192" s="32" t="n">
        <f>62160</f>
        <v>62160.0</v>
      </c>
      <c r="U192" s="32" t="str">
        <f>"－"</f>
        <v>－</v>
      </c>
      <c r="V192" s="32" t="n">
        <f>88544410</f>
        <v>8.854441E7</v>
      </c>
      <c r="W192" s="32" t="str">
        <f>"－"</f>
        <v>－</v>
      </c>
      <c r="X192" s="36" t="n">
        <f>20</f>
        <v>20.0</v>
      </c>
    </row>
    <row r="193">
      <c r="A193" s="27" t="s">
        <v>42</v>
      </c>
      <c r="B193" s="27" t="s">
        <v>623</v>
      </c>
      <c r="C193" s="27" t="s">
        <v>624</v>
      </c>
      <c r="D193" s="27" t="s">
        <v>625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111</f>
        <v>111.0</v>
      </c>
      <c r="L193" s="34" t="s">
        <v>48</v>
      </c>
      <c r="M193" s="33" t="n">
        <f>113</f>
        <v>113.0</v>
      </c>
      <c r="N193" s="34" t="s">
        <v>97</v>
      </c>
      <c r="O193" s="33" t="n">
        <f>96</f>
        <v>96.0</v>
      </c>
      <c r="P193" s="34" t="s">
        <v>50</v>
      </c>
      <c r="Q193" s="33" t="n">
        <f>101</f>
        <v>101.0</v>
      </c>
      <c r="R193" s="34" t="s">
        <v>51</v>
      </c>
      <c r="S193" s="35" t="n">
        <f>103.05</f>
        <v>103.05</v>
      </c>
      <c r="T193" s="32" t="n">
        <f>196223790</f>
        <v>1.9622379E8</v>
      </c>
      <c r="U193" s="32" t="n">
        <f>990280</f>
        <v>990280.0</v>
      </c>
      <c r="V193" s="32" t="n">
        <f>20181940690</f>
        <v>2.018194069E10</v>
      </c>
      <c r="W193" s="32" t="n">
        <f>106040880</f>
        <v>1.0604088E8</v>
      </c>
      <c r="X193" s="36" t="n">
        <f>20</f>
        <v>20.0</v>
      </c>
    </row>
    <row r="194">
      <c r="A194" s="27" t="s">
        <v>42</v>
      </c>
      <c r="B194" s="27" t="s">
        <v>626</v>
      </c>
      <c r="C194" s="27" t="s">
        <v>627</v>
      </c>
      <c r="D194" s="27" t="s">
        <v>628</v>
      </c>
      <c r="E194" s="28" t="s">
        <v>46</v>
      </c>
      <c r="F194" s="29" t="s">
        <v>46</v>
      </c>
      <c r="G194" s="30" t="s">
        <v>46</v>
      </c>
      <c r="H194" s="31"/>
      <c r="I194" s="31" t="s">
        <v>629</v>
      </c>
      <c r="J194" s="32" t="n">
        <v>1.0</v>
      </c>
      <c r="K194" s="33" t="n">
        <f>9270</f>
        <v>9270.0</v>
      </c>
      <c r="L194" s="34" t="s">
        <v>48</v>
      </c>
      <c r="M194" s="33" t="n">
        <f>9270</f>
        <v>9270.0</v>
      </c>
      <c r="N194" s="34" t="s">
        <v>48</v>
      </c>
      <c r="O194" s="33" t="n">
        <f>7760</f>
        <v>7760.0</v>
      </c>
      <c r="P194" s="34" t="s">
        <v>86</v>
      </c>
      <c r="Q194" s="33" t="n">
        <f>7890</f>
        <v>7890.0</v>
      </c>
      <c r="R194" s="34" t="s">
        <v>51</v>
      </c>
      <c r="S194" s="35" t="n">
        <f>8512.5</f>
        <v>8512.5</v>
      </c>
      <c r="T194" s="32" t="n">
        <f>7644</f>
        <v>7644.0</v>
      </c>
      <c r="U194" s="32" t="n">
        <f>1</f>
        <v>1.0</v>
      </c>
      <c r="V194" s="32" t="n">
        <f>64147180</f>
        <v>6.414718E7</v>
      </c>
      <c r="W194" s="32" t="n">
        <f>7790</f>
        <v>7790.0</v>
      </c>
      <c r="X194" s="36" t="n">
        <f>20</f>
        <v>20.0</v>
      </c>
    </row>
    <row r="195">
      <c r="A195" s="27" t="s">
        <v>42</v>
      </c>
      <c r="B195" s="27" t="s">
        <v>630</v>
      </c>
      <c r="C195" s="27" t="s">
        <v>631</v>
      </c>
      <c r="D195" s="27" t="s">
        <v>632</v>
      </c>
      <c r="E195" s="28" t="s">
        <v>46</v>
      </c>
      <c r="F195" s="29" t="s">
        <v>46</v>
      </c>
      <c r="G195" s="30" t="s">
        <v>46</v>
      </c>
      <c r="H195" s="31"/>
      <c r="I195" s="31" t="s">
        <v>629</v>
      </c>
      <c r="J195" s="32" t="n">
        <v>1.0</v>
      </c>
      <c r="K195" s="33" t="n">
        <f>6030</f>
        <v>6030.0</v>
      </c>
      <c r="L195" s="34" t="s">
        <v>48</v>
      </c>
      <c r="M195" s="33" t="n">
        <f>6530</f>
        <v>6530.0</v>
      </c>
      <c r="N195" s="34" t="s">
        <v>86</v>
      </c>
      <c r="O195" s="33" t="n">
        <f>6020</f>
        <v>6020.0</v>
      </c>
      <c r="P195" s="34" t="s">
        <v>48</v>
      </c>
      <c r="Q195" s="33" t="n">
        <f>6460</f>
        <v>6460.0</v>
      </c>
      <c r="R195" s="34" t="s">
        <v>51</v>
      </c>
      <c r="S195" s="35" t="n">
        <f>6251.5</f>
        <v>6251.5</v>
      </c>
      <c r="T195" s="32" t="n">
        <f>2458</f>
        <v>2458.0</v>
      </c>
      <c r="U195" s="32" t="str">
        <f>"－"</f>
        <v>－</v>
      </c>
      <c r="V195" s="32" t="n">
        <f>15352810</f>
        <v>1.535281E7</v>
      </c>
      <c r="W195" s="32" t="str">
        <f>"－"</f>
        <v>－</v>
      </c>
      <c r="X195" s="36" t="n">
        <f>20</f>
        <v>20.0</v>
      </c>
    </row>
    <row r="196">
      <c r="A196" s="27" t="s">
        <v>42</v>
      </c>
      <c r="B196" s="27" t="s">
        <v>633</v>
      </c>
      <c r="C196" s="27" t="s">
        <v>634</v>
      </c>
      <c r="D196" s="27" t="s">
        <v>635</v>
      </c>
      <c r="E196" s="28" t="s">
        <v>46</v>
      </c>
      <c r="F196" s="29" t="s">
        <v>46</v>
      </c>
      <c r="G196" s="30" t="s">
        <v>46</v>
      </c>
      <c r="H196" s="31"/>
      <c r="I196" s="31" t="s">
        <v>629</v>
      </c>
      <c r="J196" s="32" t="n">
        <v>1.0</v>
      </c>
      <c r="K196" s="33" t="n">
        <f>9840</f>
        <v>9840.0</v>
      </c>
      <c r="L196" s="34" t="s">
        <v>48</v>
      </c>
      <c r="M196" s="33" t="n">
        <f>10770</f>
        <v>10770.0</v>
      </c>
      <c r="N196" s="34" t="s">
        <v>73</v>
      </c>
      <c r="O196" s="33" t="n">
        <f>9470</f>
        <v>9470.0</v>
      </c>
      <c r="P196" s="34" t="s">
        <v>98</v>
      </c>
      <c r="Q196" s="33" t="n">
        <f>10000</f>
        <v>10000.0</v>
      </c>
      <c r="R196" s="34" t="s">
        <v>49</v>
      </c>
      <c r="S196" s="35" t="n">
        <f>10195.88</f>
        <v>10195.88</v>
      </c>
      <c r="T196" s="32" t="n">
        <f>619</f>
        <v>619.0</v>
      </c>
      <c r="U196" s="32" t="str">
        <f>"－"</f>
        <v>－</v>
      </c>
      <c r="V196" s="32" t="n">
        <f>6162000</f>
        <v>6162000.0</v>
      </c>
      <c r="W196" s="32" t="str">
        <f>"－"</f>
        <v>－</v>
      </c>
      <c r="X196" s="36" t="n">
        <f>17</f>
        <v>17.0</v>
      </c>
    </row>
    <row r="197">
      <c r="A197" s="27" t="s">
        <v>42</v>
      </c>
      <c r="B197" s="27" t="s">
        <v>636</v>
      </c>
      <c r="C197" s="27" t="s">
        <v>637</v>
      </c>
      <c r="D197" s="27" t="s">
        <v>638</v>
      </c>
      <c r="E197" s="28" t="s">
        <v>46</v>
      </c>
      <c r="F197" s="29" t="s">
        <v>46</v>
      </c>
      <c r="G197" s="30" t="s">
        <v>46</v>
      </c>
      <c r="H197" s="31"/>
      <c r="I197" s="31" t="s">
        <v>629</v>
      </c>
      <c r="J197" s="32" t="n">
        <v>1.0</v>
      </c>
      <c r="K197" s="33" t="n">
        <f>7820</f>
        <v>7820.0</v>
      </c>
      <c r="L197" s="34" t="s">
        <v>48</v>
      </c>
      <c r="M197" s="33" t="n">
        <f>8000</f>
        <v>8000.0</v>
      </c>
      <c r="N197" s="34" t="s">
        <v>168</v>
      </c>
      <c r="O197" s="33" t="n">
        <f>7450</f>
        <v>7450.0</v>
      </c>
      <c r="P197" s="34" t="s">
        <v>180</v>
      </c>
      <c r="Q197" s="33" t="n">
        <f>7800</f>
        <v>7800.0</v>
      </c>
      <c r="R197" s="34" t="s">
        <v>51</v>
      </c>
      <c r="S197" s="35" t="n">
        <f>7777</f>
        <v>7777.0</v>
      </c>
      <c r="T197" s="32" t="n">
        <f>11835</f>
        <v>11835.0</v>
      </c>
      <c r="U197" s="32" t="n">
        <f>7</f>
        <v>7.0</v>
      </c>
      <c r="V197" s="32" t="n">
        <f>91832670</f>
        <v>9.183267E7</v>
      </c>
      <c r="W197" s="32" t="n">
        <f>53060</f>
        <v>53060.0</v>
      </c>
      <c r="X197" s="36" t="n">
        <f>20</f>
        <v>20.0</v>
      </c>
    </row>
    <row r="198">
      <c r="A198" s="27" t="s">
        <v>42</v>
      </c>
      <c r="B198" s="27" t="s">
        <v>639</v>
      </c>
      <c r="C198" s="27" t="s">
        <v>640</v>
      </c>
      <c r="D198" s="27" t="s">
        <v>641</v>
      </c>
      <c r="E198" s="28" t="s">
        <v>46</v>
      </c>
      <c r="F198" s="29" t="s">
        <v>46</v>
      </c>
      <c r="G198" s="30" t="s">
        <v>46</v>
      </c>
      <c r="H198" s="31"/>
      <c r="I198" s="31" t="s">
        <v>629</v>
      </c>
      <c r="J198" s="32" t="n">
        <v>1.0</v>
      </c>
      <c r="K198" s="33" t="n">
        <f>553</f>
        <v>553.0</v>
      </c>
      <c r="L198" s="34" t="s">
        <v>48</v>
      </c>
      <c r="M198" s="33" t="n">
        <f>636</f>
        <v>636.0</v>
      </c>
      <c r="N198" s="34" t="s">
        <v>69</v>
      </c>
      <c r="O198" s="33" t="n">
        <f>463</f>
        <v>463.0</v>
      </c>
      <c r="P198" s="34" t="s">
        <v>49</v>
      </c>
      <c r="Q198" s="33" t="n">
        <f>478</f>
        <v>478.0</v>
      </c>
      <c r="R198" s="34" t="s">
        <v>51</v>
      </c>
      <c r="S198" s="35" t="n">
        <f>524.35</f>
        <v>524.35</v>
      </c>
      <c r="T198" s="32" t="n">
        <f>14758043</f>
        <v>1.4758043E7</v>
      </c>
      <c r="U198" s="32" t="n">
        <f>470</f>
        <v>470.0</v>
      </c>
      <c r="V198" s="32" t="n">
        <f>7724824162</f>
        <v>7.724824162E9</v>
      </c>
      <c r="W198" s="32" t="n">
        <f>240236</f>
        <v>240236.0</v>
      </c>
      <c r="X198" s="36" t="n">
        <f>20</f>
        <v>20.0</v>
      </c>
    </row>
    <row r="199">
      <c r="A199" s="27" t="s">
        <v>42</v>
      </c>
      <c r="B199" s="27" t="s">
        <v>642</v>
      </c>
      <c r="C199" s="27" t="s">
        <v>643</v>
      </c>
      <c r="D199" s="27" t="s">
        <v>644</v>
      </c>
      <c r="E199" s="28" t="s">
        <v>46</v>
      </c>
      <c r="F199" s="29" t="s">
        <v>46</v>
      </c>
      <c r="G199" s="30" t="s">
        <v>46</v>
      </c>
      <c r="H199" s="31"/>
      <c r="I199" s="31" t="s">
        <v>629</v>
      </c>
      <c r="J199" s="32" t="n">
        <v>1.0</v>
      </c>
      <c r="K199" s="33" t="n">
        <f>20180</f>
        <v>20180.0</v>
      </c>
      <c r="L199" s="34" t="s">
        <v>48</v>
      </c>
      <c r="M199" s="33" t="n">
        <f>20600</f>
        <v>20600.0</v>
      </c>
      <c r="N199" s="34" t="s">
        <v>48</v>
      </c>
      <c r="O199" s="33" t="n">
        <f>17520</f>
        <v>17520.0</v>
      </c>
      <c r="P199" s="34" t="s">
        <v>98</v>
      </c>
      <c r="Q199" s="33" t="n">
        <f>18330</f>
        <v>18330.0</v>
      </c>
      <c r="R199" s="34" t="s">
        <v>51</v>
      </c>
      <c r="S199" s="35" t="n">
        <f>19219</f>
        <v>19219.0</v>
      </c>
      <c r="T199" s="32" t="n">
        <f>51756</f>
        <v>51756.0</v>
      </c>
      <c r="U199" s="32" t="n">
        <f>55</f>
        <v>55.0</v>
      </c>
      <c r="V199" s="32" t="n">
        <f>994537350</f>
        <v>9.9453735E8</v>
      </c>
      <c r="W199" s="32" t="n">
        <f>1047220</f>
        <v>1047220.0</v>
      </c>
      <c r="X199" s="36" t="n">
        <f>20</f>
        <v>20.0</v>
      </c>
    </row>
    <row r="200">
      <c r="A200" s="27" t="s">
        <v>42</v>
      </c>
      <c r="B200" s="27" t="s">
        <v>645</v>
      </c>
      <c r="C200" s="27" t="s">
        <v>646</v>
      </c>
      <c r="D200" s="27" t="s">
        <v>647</v>
      </c>
      <c r="E200" s="28" t="s">
        <v>46</v>
      </c>
      <c r="F200" s="29" t="s">
        <v>46</v>
      </c>
      <c r="G200" s="30" t="s">
        <v>46</v>
      </c>
      <c r="H200" s="31"/>
      <c r="I200" s="31" t="s">
        <v>629</v>
      </c>
      <c r="J200" s="32" t="n">
        <v>1.0</v>
      </c>
      <c r="K200" s="33" t="n">
        <f>5400</f>
        <v>5400.0</v>
      </c>
      <c r="L200" s="34" t="s">
        <v>48</v>
      </c>
      <c r="M200" s="33" t="n">
        <f>5770</f>
        <v>5770.0</v>
      </c>
      <c r="N200" s="34" t="s">
        <v>98</v>
      </c>
      <c r="O200" s="33" t="n">
        <f>5300</f>
        <v>5300.0</v>
      </c>
      <c r="P200" s="34" t="s">
        <v>97</v>
      </c>
      <c r="Q200" s="33" t="n">
        <f>5590</f>
        <v>5590.0</v>
      </c>
      <c r="R200" s="34" t="s">
        <v>51</v>
      </c>
      <c r="S200" s="35" t="n">
        <f>5505</f>
        <v>5505.0</v>
      </c>
      <c r="T200" s="32" t="n">
        <f>36298</f>
        <v>36298.0</v>
      </c>
      <c r="U200" s="32" t="str">
        <f>"－"</f>
        <v>－</v>
      </c>
      <c r="V200" s="32" t="n">
        <f>199793400</f>
        <v>1.997934E8</v>
      </c>
      <c r="W200" s="32" t="str">
        <f>"－"</f>
        <v>－</v>
      </c>
      <c r="X200" s="36" t="n">
        <f>20</f>
        <v>20.0</v>
      </c>
    </row>
    <row r="201">
      <c r="A201" s="27" t="s">
        <v>42</v>
      </c>
      <c r="B201" s="27" t="s">
        <v>648</v>
      </c>
      <c r="C201" s="27" t="s">
        <v>649</v>
      </c>
      <c r="D201" s="27" t="s">
        <v>650</v>
      </c>
      <c r="E201" s="28" t="s">
        <v>46</v>
      </c>
      <c r="F201" s="29" t="s">
        <v>46</v>
      </c>
      <c r="G201" s="30" t="s">
        <v>46</v>
      </c>
      <c r="H201" s="31"/>
      <c r="I201" s="31" t="s">
        <v>629</v>
      </c>
      <c r="J201" s="32" t="n">
        <v>1.0</v>
      </c>
      <c r="K201" s="33" t="n">
        <f>285</f>
        <v>285.0</v>
      </c>
      <c r="L201" s="34" t="s">
        <v>48</v>
      </c>
      <c r="M201" s="33" t="n">
        <f>288</f>
        <v>288.0</v>
      </c>
      <c r="N201" s="34" t="s">
        <v>97</v>
      </c>
      <c r="O201" s="33" t="n">
        <f>220</f>
        <v>220.0</v>
      </c>
      <c r="P201" s="34" t="s">
        <v>50</v>
      </c>
      <c r="Q201" s="33" t="n">
        <f>228</f>
        <v>228.0</v>
      </c>
      <c r="R201" s="34" t="s">
        <v>51</v>
      </c>
      <c r="S201" s="35" t="n">
        <f>244.65</f>
        <v>244.65</v>
      </c>
      <c r="T201" s="32" t="n">
        <f>220351703</f>
        <v>2.20351703E8</v>
      </c>
      <c r="U201" s="32" t="n">
        <f>311272</f>
        <v>311272.0</v>
      </c>
      <c r="V201" s="32" t="n">
        <f>53119083146</f>
        <v>5.3119083146E10</v>
      </c>
      <c r="W201" s="32" t="n">
        <f>72368809</f>
        <v>7.2368809E7</v>
      </c>
      <c r="X201" s="36" t="n">
        <f>20</f>
        <v>20.0</v>
      </c>
    </row>
    <row r="202">
      <c r="A202" s="27" t="s">
        <v>42</v>
      </c>
      <c r="B202" s="27" t="s">
        <v>651</v>
      </c>
      <c r="C202" s="27" t="s">
        <v>652</v>
      </c>
      <c r="D202" s="27" t="s">
        <v>653</v>
      </c>
      <c r="E202" s="28" t="s">
        <v>46</v>
      </c>
      <c r="F202" s="29" t="s">
        <v>46</v>
      </c>
      <c r="G202" s="30" t="s">
        <v>46</v>
      </c>
      <c r="H202" s="31"/>
      <c r="I202" s="31" t="s">
        <v>629</v>
      </c>
      <c r="J202" s="32" t="n">
        <v>1.0</v>
      </c>
      <c r="K202" s="33" t="n">
        <f>5820</f>
        <v>5820.0</v>
      </c>
      <c r="L202" s="34" t="s">
        <v>48</v>
      </c>
      <c r="M202" s="33" t="n">
        <f>6560</f>
        <v>6560.0</v>
      </c>
      <c r="N202" s="34" t="s">
        <v>50</v>
      </c>
      <c r="O202" s="33" t="n">
        <f>5770</f>
        <v>5770.0</v>
      </c>
      <c r="P202" s="34" t="s">
        <v>97</v>
      </c>
      <c r="Q202" s="33" t="n">
        <f>6330</f>
        <v>6330.0</v>
      </c>
      <c r="R202" s="34" t="s">
        <v>51</v>
      </c>
      <c r="S202" s="35" t="n">
        <f>6181.5</f>
        <v>6181.5</v>
      </c>
      <c r="T202" s="32" t="n">
        <f>190329</f>
        <v>190329.0</v>
      </c>
      <c r="U202" s="32" t="n">
        <f>212</f>
        <v>212.0</v>
      </c>
      <c r="V202" s="32" t="n">
        <f>1179038180</f>
        <v>1.17903818E9</v>
      </c>
      <c r="W202" s="32" t="n">
        <f>1348860</f>
        <v>1348860.0</v>
      </c>
      <c r="X202" s="36" t="n">
        <f>20</f>
        <v>20.0</v>
      </c>
    </row>
    <row r="203">
      <c r="A203" s="27" t="s">
        <v>42</v>
      </c>
      <c r="B203" s="27" t="s">
        <v>654</v>
      </c>
      <c r="C203" s="27" t="s">
        <v>655</v>
      </c>
      <c r="D203" s="27" t="s">
        <v>656</v>
      </c>
      <c r="E203" s="28" t="s">
        <v>46</v>
      </c>
      <c r="F203" s="29" t="s">
        <v>46</v>
      </c>
      <c r="G203" s="30" t="s">
        <v>46</v>
      </c>
      <c r="H203" s="31"/>
      <c r="I203" s="31" t="s">
        <v>629</v>
      </c>
      <c r="J203" s="32" t="n">
        <v>1.0</v>
      </c>
      <c r="K203" s="33" t="n">
        <f>21580</f>
        <v>21580.0</v>
      </c>
      <c r="L203" s="34" t="s">
        <v>48</v>
      </c>
      <c r="M203" s="33" t="n">
        <f>22520</f>
        <v>22520.0</v>
      </c>
      <c r="N203" s="34" t="s">
        <v>61</v>
      </c>
      <c r="O203" s="33" t="n">
        <f>19010</f>
        <v>19010.0</v>
      </c>
      <c r="P203" s="34" t="s">
        <v>98</v>
      </c>
      <c r="Q203" s="33" t="n">
        <f>19690</f>
        <v>19690.0</v>
      </c>
      <c r="R203" s="34" t="s">
        <v>51</v>
      </c>
      <c r="S203" s="35" t="n">
        <f>20715</f>
        <v>20715.0</v>
      </c>
      <c r="T203" s="32" t="n">
        <f>346169</f>
        <v>346169.0</v>
      </c>
      <c r="U203" s="32" t="n">
        <f>1</f>
        <v>1.0</v>
      </c>
      <c r="V203" s="32" t="n">
        <f>7153643470</f>
        <v>7.15364347E9</v>
      </c>
      <c r="W203" s="32" t="n">
        <f>20690</f>
        <v>20690.0</v>
      </c>
      <c r="X203" s="36" t="n">
        <f>20</f>
        <v>20.0</v>
      </c>
    </row>
    <row r="204">
      <c r="A204" s="27" t="s">
        <v>42</v>
      </c>
      <c r="B204" s="27" t="s">
        <v>657</v>
      </c>
      <c r="C204" s="27" t="s">
        <v>658</v>
      </c>
      <c r="D204" s="27" t="s">
        <v>659</v>
      </c>
      <c r="E204" s="28" t="s">
        <v>46</v>
      </c>
      <c r="F204" s="29" t="s">
        <v>46</v>
      </c>
      <c r="G204" s="30" t="s">
        <v>46</v>
      </c>
      <c r="H204" s="31"/>
      <c r="I204" s="31" t="s">
        <v>629</v>
      </c>
      <c r="J204" s="32" t="n">
        <v>1.0</v>
      </c>
      <c r="K204" s="33" t="n">
        <f>3780</f>
        <v>3780.0</v>
      </c>
      <c r="L204" s="34" t="s">
        <v>48</v>
      </c>
      <c r="M204" s="33" t="n">
        <f>4000</f>
        <v>4000.0</v>
      </c>
      <c r="N204" s="34" t="s">
        <v>98</v>
      </c>
      <c r="O204" s="33" t="n">
        <f>3695</f>
        <v>3695.0</v>
      </c>
      <c r="P204" s="34" t="s">
        <v>61</v>
      </c>
      <c r="Q204" s="33" t="n">
        <f>3920</f>
        <v>3920.0</v>
      </c>
      <c r="R204" s="34" t="s">
        <v>51</v>
      </c>
      <c r="S204" s="35" t="n">
        <f>3843</f>
        <v>3843.0</v>
      </c>
      <c r="T204" s="32" t="n">
        <f>414140</f>
        <v>414140.0</v>
      </c>
      <c r="U204" s="32" t="n">
        <f>105</f>
        <v>105.0</v>
      </c>
      <c r="V204" s="32" t="n">
        <f>1599971050</f>
        <v>1.59997105E9</v>
      </c>
      <c r="W204" s="32" t="n">
        <f>411300</f>
        <v>411300.0</v>
      </c>
      <c r="X204" s="36" t="n">
        <f>20</f>
        <v>20.0</v>
      </c>
    </row>
    <row r="205">
      <c r="A205" s="27" t="s">
        <v>42</v>
      </c>
      <c r="B205" s="27" t="s">
        <v>660</v>
      </c>
      <c r="C205" s="27" t="s">
        <v>661</v>
      </c>
      <c r="D205" s="27" t="s">
        <v>662</v>
      </c>
      <c r="E205" s="28" t="s">
        <v>46</v>
      </c>
      <c r="F205" s="29" t="s">
        <v>46</v>
      </c>
      <c r="G205" s="30" t="s">
        <v>46</v>
      </c>
      <c r="H205" s="31"/>
      <c r="I205" s="31" t="s">
        <v>629</v>
      </c>
      <c r="J205" s="32" t="n">
        <v>1.0</v>
      </c>
      <c r="K205" s="33" t="n">
        <f>11980</f>
        <v>11980.0</v>
      </c>
      <c r="L205" s="34" t="s">
        <v>48</v>
      </c>
      <c r="M205" s="33" t="n">
        <f>13450</f>
        <v>13450.0</v>
      </c>
      <c r="N205" s="34" t="s">
        <v>51</v>
      </c>
      <c r="O205" s="33" t="n">
        <f>11810</f>
        <v>11810.0</v>
      </c>
      <c r="P205" s="34" t="s">
        <v>370</v>
      </c>
      <c r="Q205" s="33" t="n">
        <f>13360</f>
        <v>13360.0</v>
      </c>
      <c r="R205" s="34" t="s">
        <v>51</v>
      </c>
      <c r="S205" s="35" t="n">
        <f>12475.5</f>
        <v>12475.5</v>
      </c>
      <c r="T205" s="32" t="n">
        <f>210551</f>
        <v>210551.0</v>
      </c>
      <c r="U205" s="32" t="n">
        <f>12051</f>
        <v>12051.0</v>
      </c>
      <c r="V205" s="32" t="n">
        <f>2699482850</f>
        <v>2.69948285E9</v>
      </c>
      <c r="W205" s="32" t="n">
        <f>160202510</f>
        <v>1.6020251E8</v>
      </c>
      <c r="X205" s="36" t="n">
        <f>20</f>
        <v>20.0</v>
      </c>
    </row>
    <row r="206">
      <c r="A206" s="27" t="s">
        <v>42</v>
      </c>
      <c r="B206" s="27" t="s">
        <v>663</v>
      </c>
      <c r="C206" s="27" t="s">
        <v>664</v>
      </c>
      <c r="D206" s="27" t="s">
        <v>665</v>
      </c>
      <c r="E206" s="28" t="s">
        <v>46</v>
      </c>
      <c r="F206" s="29" t="s">
        <v>46</v>
      </c>
      <c r="G206" s="30" t="s">
        <v>46</v>
      </c>
      <c r="H206" s="31"/>
      <c r="I206" s="31" t="s">
        <v>629</v>
      </c>
      <c r="J206" s="32" t="n">
        <v>1.0</v>
      </c>
      <c r="K206" s="33" t="n">
        <f>10180</f>
        <v>10180.0</v>
      </c>
      <c r="L206" s="34" t="s">
        <v>48</v>
      </c>
      <c r="M206" s="33" t="n">
        <f>10180</f>
        <v>10180.0</v>
      </c>
      <c r="N206" s="34" t="s">
        <v>48</v>
      </c>
      <c r="O206" s="33" t="n">
        <f>9270</f>
        <v>9270.0</v>
      </c>
      <c r="P206" s="34" t="s">
        <v>86</v>
      </c>
      <c r="Q206" s="33" t="n">
        <f>9310</f>
        <v>9310.0</v>
      </c>
      <c r="R206" s="34" t="s">
        <v>86</v>
      </c>
      <c r="S206" s="35" t="n">
        <f>9786.67</f>
        <v>9786.67</v>
      </c>
      <c r="T206" s="32" t="n">
        <f>528</f>
        <v>528.0</v>
      </c>
      <c r="U206" s="32" t="str">
        <f>"－"</f>
        <v>－</v>
      </c>
      <c r="V206" s="32" t="n">
        <f>5164990</f>
        <v>5164990.0</v>
      </c>
      <c r="W206" s="32" t="str">
        <f>"－"</f>
        <v>－</v>
      </c>
      <c r="X206" s="36" t="n">
        <f>15</f>
        <v>15.0</v>
      </c>
    </row>
    <row r="207">
      <c r="A207" s="27" t="s">
        <v>42</v>
      </c>
      <c r="B207" s="27" t="s">
        <v>666</v>
      </c>
      <c r="C207" s="27" t="s">
        <v>667</v>
      </c>
      <c r="D207" s="27" t="s">
        <v>668</v>
      </c>
      <c r="E207" s="28" t="s">
        <v>46</v>
      </c>
      <c r="F207" s="29" t="s">
        <v>46</v>
      </c>
      <c r="G207" s="30" t="s">
        <v>46</v>
      </c>
      <c r="H207" s="31"/>
      <c r="I207" s="31" t="s">
        <v>629</v>
      </c>
      <c r="J207" s="32" t="n">
        <v>1.0</v>
      </c>
      <c r="K207" s="33" t="n">
        <f>14340</f>
        <v>14340.0</v>
      </c>
      <c r="L207" s="34" t="s">
        <v>48</v>
      </c>
      <c r="M207" s="33" t="n">
        <f>14700</f>
        <v>14700.0</v>
      </c>
      <c r="N207" s="34" t="s">
        <v>61</v>
      </c>
      <c r="O207" s="33" t="n">
        <f>13610</f>
        <v>13610.0</v>
      </c>
      <c r="P207" s="34" t="s">
        <v>98</v>
      </c>
      <c r="Q207" s="33" t="n">
        <f>13930</f>
        <v>13930.0</v>
      </c>
      <c r="R207" s="34" t="s">
        <v>51</v>
      </c>
      <c r="S207" s="35" t="n">
        <f>14184</f>
        <v>14184.0</v>
      </c>
      <c r="T207" s="32" t="n">
        <f>55929</f>
        <v>55929.0</v>
      </c>
      <c r="U207" s="32" t="n">
        <f>6500</f>
        <v>6500.0</v>
      </c>
      <c r="V207" s="32" t="n">
        <f>785347530</f>
        <v>7.8534753E8</v>
      </c>
      <c r="W207" s="32" t="n">
        <f>91162500</f>
        <v>9.11625E7</v>
      </c>
      <c r="X207" s="36" t="n">
        <f>20</f>
        <v>20.0</v>
      </c>
    </row>
    <row r="208">
      <c r="A208" s="27" t="s">
        <v>42</v>
      </c>
      <c r="B208" s="27" t="s">
        <v>669</v>
      </c>
      <c r="C208" s="27" t="s">
        <v>670</v>
      </c>
      <c r="D208" s="27" t="s">
        <v>671</v>
      </c>
      <c r="E208" s="28" t="s">
        <v>46</v>
      </c>
      <c r="F208" s="29" t="s">
        <v>46</v>
      </c>
      <c r="G208" s="30" t="s">
        <v>46</v>
      </c>
      <c r="H208" s="31"/>
      <c r="I208" s="31" t="s">
        <v>629</v>
      </c>
      <c r="J208" s="32" t="n">
        <v>1.0</v>
      </c>
      <c r="K208" s="33" t="n">
        <f>12300</f>
        <v>12300.0</v>
      </c>
      <c r="L208" s="34" t="s">
        <v>48</v>
      </c>
      <c r="M208" s="33" t="n">
        <f>12500</f>
        <v>12500.0</v>
      </c>
      <c r="N208" s="34" t="s">
        <v>90</v>
      </c>
      <c r="O208" s="33" t="n">
        <f>12010</f>
        <v>12010.0</v>
      </c>
      <c r="P208" s="34" t="s">
        <v>279</v>
      </c>
      <c r="Q208" s="33" t="n">
        <f>12270</f>
        <v>12270.0</v>
      </c>
      <c r="R208" s="34" t="s">
        <v>51</v>
      </c>
      <c r="S208" s="35" t="n">
        <f>12243.13</f>
        <v>12243.13</v>
      </c>
      <c r="T208" s="32" t="n">
        <f>636</f>
        <v>636.0</v>
      </c>
      <c r="U208" s="32" t="str">
        <f>"－"</f>
        <v>－</v>
      </c>
      <c r="V208" s="32" t="n">
        <f>7810700</f>
        <v>7810700.0</v>
      </c>
      <c r="W208" s="32" t="str">
        <f>"－"</f>
        <v>－</v>
      </c>
      <c r="X208" s="36" t="n">
        <f>16</f>
        <v>16.0</v>
      </c>
    </row>
    <row r="209">
      <c r="A209" s="27" t="s">
        <v>42</v>
      </c>
      <c r="B209" s="27" t="s">
        <v>672</v>
      </c>
      <c r="C209" s="27" t="s">
        <v>673</v>
      </c>
      <c r="D209" s="27" t="s">
        <v>674</v>
      </c>
      <c r="E209" s="28" t="s">
        <v>46</v>
      </c>
      <c r="F209" s="29" t="s">
        <v>46</v>
      </c>
      <c r="G209" s="30" t="s">
        <v>46</v>
      </c>
      <c r="H209" s="31"/>
      <c r="I209" s="31" t="s">
        <v>629</v>
      </c>
      <c r="J209" s="32" t="n">
        <v>1.0</v>
      </c>
      <c r="K209" s="33" t="n">
        <f>7980</f>
        <v>7980.0</v>
      </c>
      <c r="L209" s="34" t="s">
        <v>48</v>
      </c>
      <c r="M209" s="33" t="n">
        <f>8250</f>
        <v>8250.0</v>
      </c>
      <c r="N209" s="34" t="s">
        <v>61</v>
      </c>
      <c r="O209" s="33" t="n">
        <f>7050</f>
        <v>7050.0</v>
      </c>
      <c r="P209" s="34" t="s">
        <v>98</v>
      </c>
      <c r="Q209" s="33" t="n">
        <f>7590</f>
        <v>7590.0</v>
      </c>
      <c r="R209" s="34" t="s">
        <v>51</v>
      </c>
      <c r="S209" s="35" t="n">
        <f>7781</f>
        <v>7781.0</v>
      </c>
      <c r="T209" s="32" t="n">
        <f>48605</f>
        <v>48605.0</v>
      </c>
      <c r="U209" s="32" t="n">
        <f>120</f>
        <v>120.0</v>
      </c>
      <c r="V209" s="32" t="n">
        <f>375250850</f>
        <v>3.7525085E8</v>
      </c>
      <c r="W209" s="32" t="n">
        <f>920850</f>
        <v>920850.0</v>
      </c>
      <c r="X209" s="36" t="n">
        <f>20</f>
        <v>20.0</v>
      </c>
    </row>
    <row r="210">
      <c r="A210" s="27" t="s">
        <v>42</v>
      </c>
      <c r="B210" s="27" t="s">
        <v>675</v>
      </c>
      <c r="C210" s="27" t="s">
        <v>676</v>
      </c>
      <c r="D210" s="27" t="s">
        <v>677</v>
      </c>
      <c r="E210" s="28" t="s">
        <v>46</v>
      </c>
      <c r="F210" s="29" t="s">
        <v>46</v>
      </c>
      <c r="G210" s="30" t="s">
        <v>46</v>
      </c>
      <c r="H210" s="31"/>
      <c r="I210" s="31" t="s">
        <v>629</v>
      </c>
      <c r="J210" s="32" t="n">
        <v>1.0</v>
      </c>
      <c r="K210" s="33" t="n">
        <f>5860</f>
        <v>5860.0</v>
      </c>
      <c r="L210" s="34" t="s">
        <v>48</v>
      </c>
      <c r="M210" s="33" t="n">
        <f>6200</f>
        <v>6200.0</v>
      </c>
      <c r="N210" s="34" t="s">
        <v>168</v>
      </c>
      <c r="O210" s="33" t="n">
        <f>5700</f>
        <v>5700.0</v>
      </c>
      <c r="P210" s="34" t="s">
        <v>180</v>
      </c>
      <c r="Q210" s="33" t="n">
        <f>5960</f>
        <v>5960.0</v>
      </c>
      <c r="R210" s="34" t="s">
        <v>51</v>
      </c>
      <c r="S210" s="35" t="n">
        <f>5908.33</f>
        <v>5908.33</v>
      </c>
      <c r="T210" s="32" t="n">
        <f>8917</f>
        <v>8917.0</v>
      </c>
      <c r="U210" s="32" t="str">
        <f>"－"</f>
        <v>－</v>
      </c>
      <c r="V210" s="32" t="n">
        <f>52969330</f>
        <v>5.296933E7</v>
      </c>
      <c r="W210" s="32" t="str">
        <f>"－"</f>
        <v>－</v>
      </c>
      <c r="X210" s="36" t="n">
        <f>18</f>
        <v>18.0</v>
      </c>
    </row>
    <row r="211">
      <c r="A211" s="27" t="s">
        <v>42</v>
      </c>
      <c r="B211" s="27" t="s">
        <v>678</v>
      </c>
      <c r="C211" s="27" t="s">
        <v>679</v>
      </c>
      <c r="D211" s="27" t="s">
        <v>680</v>
      </c>
      <c r="E211" s="28" t="s">
        <v>46</v>
      </c>
      <c r="F211" s="29" t="s">
        <v>46</v>
      </c>
      <c r="G211" s="30" t="s">
        <v>46</v>
      </c>
      <c r="H211" s="31"/>
      <c r="I211" s="31" t="s">
        <v>629</v>
      </c>
      <c r="J211" s="32" t="n">
        <v>1.0</v>
      </c>
      <c r="K211" s="33" t="n">
        <f>8480</f>
        <v>8480.0</v>
      </c>
      <c r="L211" s="34" t="s">
        <v>48</v>
      </c>
      <c r="M211" s="33" t="n">
        <f>8900</f>
        <v>8900.0</v>
      </c>
      <c r="N211" s="34" t="s">
        <v>266</v>
      </c>
      <c r="O211" s="33" t="n">
        <f>8390</f>
        <v>8390.0</v>
      </c>
      <c r="P211" s="34" t="s">
        <v>176</v>
      </c>
      <c r="Q211" s="33" t="n">
        <f>8510</f>
        <v>8510.0</v>
      </c>
      <c r="R211" s="34" t="s">
        <v>49</v>
      </c>
      <c r="S211" s="35" t="n">
        <f>8557.86</f>
        <v>8557.86</v>
      </c>
      <c r="T211" s="32" t="n">
        <f>3875</f>
        <v>3875.0</v>
      </c>
      <c r="U211" s="32" t="str">
        <f>"－"</f>
        <v>－</v>
      </c>
      <c r="V211" s="32" t="n">
        <f>33313750</f>
        <v>3.331375E7</v>
      </c>
      <c r="W211" s="32" t="str">
        <f>"－"</f>
        <v>－</v>
      </c>
      <c r="X211" s="36" t="n">
        <f>14</f>
        <v>14.0</v>
      </c>
    </row>
    <row r="212">
      <c r="A212" s="27" t="s">
        <v>42</v>
      </c>
      <c r="B212" s="27" t="s">
        <v>681</v>
      </c>
      <c r="C212" s="27" t="s">
        <v>682</v>
      </c>
      <c r="D212" s="27" t="s">
        <v>683</v>
      </c>
      <c r="E212" s="28" t="s">
        <v>46</v>
      </c>
      <c r="F212" s="29" t="s">
        <v>46</v>
      </c>
      <c r="G212" s="30" t="s">
        <v>46</v>
      </c>
      <c r="H212" s="31"/>
      <c r="I212" s="31" t="s">
        <v>629</v>
      </c>
      <c r="J212" s="32" t="n">
        <v>1.0</v>
      </c>
      <c r="K212" s="33" t="n">
        <f>9880</f>
        <v>9880.0</v>
      </c>
      <c r="L212" s="34" t="s">
        <v>61</v>
      </c>
      <c r="M212" s="33" t="n">
        <f>10210</f>
        <v>10210.0</v>
      </c>
      <c r="N212" s="34" t="s">
        <v>180</v>
      </c>
      <c r="O212" s="33" t="n">
        <f>9860</f>
        <v>9860.0</v>
      </c>
      <c r="P212" s="34" t="s">
        <v>61</v>
      </c>
      <c r="Q212" s="33" t="n">
        <f>10210</f>
        <v>10210.0</v>
      </c>
      <c r="R212" s="34" t="s">
        <v>49</v>
      </c>
      <c r="S212" s="35" t="n">
        <f>10050</f>
        <v>10050.0</v>
      </c>
      <c r="T212" s="32" t="n">
        <f>21</f>
        <v>21.0</v>
      </c>
      <c r="U212" s="32" t="str">
        <f>"－"</f>
        <v>－</v>
      </c>
      <c r="V212" s="32" t="n">
        <f>210490</f>
        <v>210490.0</v>
      </c>
      <c r="W212" s="32" t="str">
        <f>"－"</f>
        <v>－</v>
      </c>
      <c r="X212" s="36" t="n">
        <f>7</f>
        <v>7.0</v>
      </c>
    </row>
    <row r="213">
      <c r="A213" s="27" t="s">
        <v>42</v>
      </c>
      <c r="B213" s="27" t="s">
        <v>684</v>
      </c>
      <c r="C213" s="27" t="s">
        <v>685</v>
      </c>
      <c r="D213" s="27" t="s">
        <v>686</v>
      </c>
      <c r="E213" s="28" t="s">
        <v>46</v>
      </c>
      <c r="F213" s="29" t="s">
        <v>46</v>
      </c>
      <c r="G213" s="30" t="s">
        <v>46</v>
      </c>
      <c r="H213" s="31"/>
      <c r="I213" s="31" t="s">
        <v>629</v>
      </c>
      <c r="J213" s="32" t="n">
        <v>1.0</v>
      </c>
      <c r="K213" s="33" t="n">
        <f>10270</f>
        <v>10270.0</v>
      </c>
      <c r="L213" s="34" t="s">
        <v>61</v>
      </c>
      <c r="M213" s="33" t="n">
        <f>10580</f>
        <v>10580.0</v>
      </c>
      <c r="N213" s="34" t="s">
        <v>184</v>
      </c>
      <c r="O213" s="33" t="n">
        <f>10260</f>
        <v>10260.0</v>
      </c>
      <c r="P213" s="34" t="s">
        <v>50</v>
      </c>
      <c r="Q213" s="33" t="n">
        <f>10420</f>
        <v>10420.0</v>
      </c>
      <c r="R213" s="34" t="s">
        <v>49</v>
      </c>
      <c r="S213" s="35" t="n">
        <f>10366</f>
        <v>10366.0</v>
      </c>
      <c r="T213" s="32" t="n">
        <f>2031</f>
        <v>2031.0</v>
      </c>
      <c r="U213" s="32" t="str">
        <f>"－"</f>
        <v>－</v>
      </c>
      <c r="V213" s="32" t="n">
        <f>21160090</f>
        <v>2.116009E7</v>
      </c>
      <c r="W213" s="32" t="str">
        <f>"－"</f>
        <v>－</v>
      </c>
      <c r="X213" s="36" t="n">
        <f>5</f>
        <v>5.0</v>
      </c>
    </row>
    <row r="214">
      <c r="A214" s="27" t="s">
        <v>42</v>
      </c>
      <c r="B214" s="27" t="s">
        <v>687</v>
      </c>
      <c r="C214" s="27" t="s">
        <v>688</v>
      </c>
      <c r="D214" s="27" t="s">
        <v>689</v>
      </c>
      <c r="E214" s="28" t="s">
        <v>46</v>
      </c>
      <c r="F214" s="29" t="s">
        <v>46</v>
      </c>
      <c r="G214" s="30" t="s">
        <v>46</v>
      </c>
      <c r="H214" s="31"/>
      <c r="I214" s="31" t="s">
        <v>629</v>
      </c>
      <c r="J214" s="32" t="n">
        <v>1.0</v>
      </c>
      <c r="K214" s="33" t="n">
        <f>10910</f>
        <v>10910.0</v>
      </c>
      <c r="L214" s="34" t="s">
        <v>61</v>
      </c>
      <c r="M214" s="33" t="n">
        <f>11070</f>
        <v>11070.0</v>
      </c>
      <c r="N214" s="34" t="s">
        <v>51</v>
      </c>
      <c r="O214" s="33" t="n">
        <f>10580</f>
        <v>10580.0</v>
      </c>
      <c r="P214" s="34" t="s">
        <v>176</v>
      </c>
      <c r="Q214" s="33" t="n">
        <f>10930</f>
        <v>10930.0</v>
      </c>
      <c r="R214" s="34" t="s">
        <v>51</v>
      </c>
      <c r="S214" s="35" t="n">
        <f>10833</f>
        <v>10833.0</v>
      </c>
      <c r="T214" s="32" t="n">
        <f>1033</f>
        <v>1033.0</v>
      </c>
      <c r="U214" s="32" t="str">
        <f>"－"</f>
        <v>－</v>
      </c>
      <c r="V214" s="32" t="n">
        <f>11053590</f>
        <v>1.105359E7</v>
      </c>
      <c r="W214" s="32" t="str">
        <f>"－"</f>
        <v>－</v>
      </c>
      <c r="X214" s="36" t="n">
        <f>10</f>
        <v>10.0</v>
      </c>
    </row>
    <row r="215">
      <c r="A215" s="27" t="s">
        <v>42</v>
      </c>
      <c r="B215" s="27" t="s">
        <v>690</v>
      </c>
      <c r="C215" s="27" t="s">
        <v>691</v>
      </c>
      <c r="D215" s="27" t="s">
        <v>692</v>
      </c>
      <c r="E215" s="28" t="s">
        <v>46</v>
      </c>
      <c r="F215" s="29" t="s">
        <v>46</v>
      </c>
      <c r="G215" s="30" t="s">
        <v>46</v>
      </c>
      <c r="H215" s="31"/>
      <c r="I215" s="31" t="s">
        <v>629</v>
      </c>
      <c r="J215" s="32" t="n">
        <v>1.0</v>
      </c>
      <c r="K215" s="33" t="n">
        <f>10000</f>
        <v>10000.0</v>
      </c>
      <c r="L215" s="34" t="s">
        <v>61</v>
      </c>
      <c r="M215" s="33" t="n">
        <f>10000</f>
        <v>10000.0</v>
      </c>
      <c r="N215" s="34" t="s">
        <v>61</v>
      </c>
      <c r="O215" s="33" t="n">
        <f>9680</f>
        <v>9680.0</v>
      </c>
      <c r="P215" s="34" t="s">
        <v>50</v>
      </c>
      <c r="Q215" s="33" t="n">
        <f>9770</f>
        <v>9770.0</v>
      </c>
      <c r="R215" s="34" t="s">
        <v>51</v>
      </c>
      <c r="S215" s="35" t="n">
        <f>9865.33</f>
        <v>9865.33</v>
      </c>
      <c r="T215" s="32" t="n">
        <f>4614</f>
        <v>4614.0</v>
      </c>
      <c r="U215" s="32" t="str">
        <f>"－"</f>
        <v>－</v>
      </c>
      <c r="V215" s="32" t="n">
        <f>45396050</f>
        <v>4.539605E7</v>
      </c>
      <c r="W215" s="32" t="str">
        <f>"－"</f>
        <v>－</v>
      </c>
      <c r="X215" s="36" t="n">
        <f>15</f>
        <v>15.0</v>
      </c>
    </row>
    <row r="216">
      <c r="A216" s="27" t="s">
        <v>42</v>
      </c>
      <c r="B216" s="27" t="s">
        <v>693</v>
      </c>
      <c r="C216" s="27" t="s">
        <v>694</v>
      </c>
      <c r="D216" s="27" t="s">
        <v>695</v>
      </c>
      <c r="E216" s="28" t="s">
        <v>46</v>
      </c>
      <c r="F216" s="29" t="s">
        <v>46</v>
      </c>
      <c r="G216" s="30" t="s">
        <v>46</v>
      </c>
      <c r="H216" s="31"/>
      <c r="I216" s="31" t="s">
        <v>629</v>
      </c>
      <c r="J216" s="32" t="n">
        <v>1.0</v>
      </c>
      <c r="K216" s="33" t="n">
        <f>9840</f>
        <v>9840.0</v>
      </c>
      <c r="L216" s="34" t="s">
        <v>61</v>
      </c>
      <c r="M216" s="33" t="n">
        <f>10040</f>
        <v>10040.0</v>
      </c>
      <c r="N216" s="34" t="s">
        <v>49</v>
      </c>
      <c r="O216" s="33" t="n">
        <f>9660</f>
        <v>9660.0</v>
      </c>
      <c r="P216" s="34" t="s">
        <v>370</v>
      </c>
      <c r="Q216" s="33" t="n">
        <f>9880</f>
        <v>9880.0</v>
      </c>
      <c r="R216" s="34" t="s">
        <v>51</v>
      </c>
      <c r="S216" s="35" t="n">
        <f>9855</f>
        <v>9855.0</v>
      </c>
      <c r="T216" s="32" t="n">
        <f>705</f>
        <v>705.0</v>
      </c>
      <c r="U216" s="32" t="str">
        <f>"－"</f>
        <v>－</v>
      </c>
      <c r="V216" s="32" t="n">
        <f>6997180</f>
        <v>6997180.0</v>
      </c>
      <c r="W216" s="32" t="str">
        <f>"－"</f>
        <v>－</v>
      </c>
      <c r="X216" s="36" t="n">
        <f>4</f>
        <v>4.0</v>
      </c>
    </row>
    <row r="217">
      <c r="A217" s="27" t="s">
        <v>42</v>
      </c>
      <c r="B217" s="27" t="s">
        <v>696</v>
      </c>
      <c r="C217" s="27" t="s">
        <v>697</v>
      </c>
      <c r="D217" s="27" t="s">
        <v>698</v>
      </c>
      <c r="E217" s="28" t="s">
        <v>46</v>
      </c>
      <c r="F217" s="29" t="s">
        <v>46</v>
      </c>
      <c r="G217" s="30" t="s">
        <v>46</v>
      </c>
      <c r="H217" s="31"/>
      <c r="I217" s="31" t="s">
        <v>629</v>
      </c>
      <c r="J217" s="32" t="n">
        <v>1.0</v>
      </c>
      <c r="K217" s="33" t="n">
        <f>10760</f>
        <v>10760.0</v>
      </c>
      <c r="L217" s="34" t="s">
        <v>370</v>
      </c>
      <c r="M217" s="33" t="n">
        <f>11080</f>
        <v>11080.0</v>
      </c>
      <c r="N217" s="34" t="s">
        <v>266</v>
      </c>
      <c r="O217" s="33" t="n">
        <f>10760</f>
        <v>10760.0</v>
      </c>
      <c r="P217" s="34" t="s">
        <v>370</v>
      </c>
      <c r="Q217" s="33" t="n">
        <f>11080</f>
        <v>11080.0</v>
      </c>
      <c r="R217" s="34" t="s">
        <v>266</v>
      </c>
      <c r="S217" s="35" t="n">
        <f>10920</f>
        <v>10920.0</v>
      </c>
      <c r="T217" s="32" t="n">
        <f>381</f>
        <v>381.0</v>
      </c>
      <c r="U217" s="32" t="str">
        <f>"－"</f>
        <v>－</v>
      </c>
      <c r="V217" s="32" t="n">
        <f>4099880</f>
        <v>4099880.0</v>
      </c>
      <c r="W217" s="32" t="str">
        <f>"－"</f>
        <v>－</v>
      </c>
      <c r="X217" s="36" t="n">
        <f>2</f>
        <v>2.0</v>
      </c>
    </row>
    <row r="218">
      <c r="A218" s="27" t="s">
        <v>42</v>
      </c>
      <c r="B218" s="27" t="s">
        <v>699</v>
      </c>
      <c r="C218" s="27" t="s">
        <v>700</v>
      </c>
      <c r="D218" s="27" t="s">
        <v>701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996</f>
        <v>996.0</v>
      </c>
      <c r="L218" s="34" t="s">
        <v>48</v>
      </c>
      <c r="M218" s="33" t="n">
        <f>1000</f>
        <v>1000.0</v>
      </c>
      <c r="N218" s="34" t="s">
        <v>176</v>
      </c>
      <c r="O218" s="33" t="n">
        <f>994</f>
        <v>994.0</v>
      </c>
      <c r="P218" s="34" t="s">
        <v>279</v>
      </c>
      <c r="Q218" s="33" t="n">
        <f>998</f>
        <v>998.0</v>
      </c>
      <c r="R218" s="34" t="s">
        <v>51</v>
      </c>
      <c r="S218" s="35" t="n">
        <f>997.2</f>
        <v>997.2</v>
      </c>
      <c r="T218" s="32" t="n">
        <f>210640</f>
        <v>210640.0</v>
      </c>
      <c r="U218" s="32" t="str">
        <f>"－"</f>
        <v>－</v>
      </c>
      <c r="V218" s="32" t="n">
        <f>210126920</f>
        <v>2.1012692E8</v>
      </c>
      <c r="W218" s="32" t="str">
        <f>"－"</f>
        <v>－</v>
      </c>
      <c r="X218" s="36" t="n">
        <f>20</f>
        <v>20.0</v>
      </c>
    </row>
    <row r="219">
      <c r="A219" s="27" t="s">
        <v>42</v>
      </c>
      <c r="B219" s="27" t="s">
        <v>702</v>
      </c>
      <c r="C219" s="27" t="s">
        <v>703</v>
      </c>
      <c r="D219" s="27" t="s">
        <v>704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1019</f>
        <v>1019.0</v>
      </c>
      <c r="L219" s="34" t="s">
        <v>48</v>
      </c>
      <c r="M219" s="33" t="n">
        <f>1024</f>
        <v>1024.0</v>
      </c>
      <c r="N219" s="34" t="s">
        <v>61</v>
      </c>
      <c r="O219" s="33" t="n">
        <f>990</f>
        <v>990.0</v>
      </c>
      <c r="P219" s="34" t="s">
        <v>176</v>
      </c>
      <c r="Q219" s="33" t="n">
        <f>1001</f>
        <v>1001.0</v>
      </c>
      <c r="R219" s="34" t="s">
        <v>51</v>
      </c>
      <c r="S219" s="35" t="n">
        <f>1002.9</f>
        <v>1002.9</v>
      </c>
      <c r="T219" s="32" t="n">
        <f>1145990</f>
        <v>1145990.0</v>
      </c>
      <c r="U219" s="32" t="n">
        <f>600520</f>
        <v>600520.0</v>
      </c>
      <c r="V219" s="32" t="n">
        <f>1150203360</f>
        <v>1.15020336E9</v>
      </c>
      <c r="W219" s="32" t="n">
        <f>603335320</f>
        <v>6.0333532E8</v>
      </c>
      <c r="X219" s="36" t="n">
        <f>20</f>
        <v>20.0</v>
      </c>
    </row>
    <row r="220">
      <c r="A220" s="27" t="s">
        <v>42</v>
      </c>
      <c r="B220" s="27" t="s">
        <v>705</v>
      </c>
      <c r="C220" s="27" t="s">
        <v>706</v>
      </c>
      <c r="D220" s="27" t="s">
        <v>707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1056</f>
        <v>1056.0</v>
      </c>
      <c r="L220" s="34" t="s">
        <v>48</v>
      </c>
      <c r="M220" s="33" t="n">
        <f>1065</f>
        <v>1065.0</v>
      </c>
      <c r="N220" s="34" t="s">
        <v>279</v>
      </c>
      <c r="O220" s="33" t="n">
        <f>1050</f>
        <v>1050.0</v>
      </c>
      <c r="P220" s="34" t="s">
        <v>69</v>
      </c>
      <c r="Q220" s="33" t="n">
        <f>1060</f>
        <v>1060.0</v>
      </c>
      <c r="R220" s="34" t="s">
        <v>51</v>
      </c>
      <c r="S220" s="35" t="n">
        <f>1057.3</f>
        <v>1057.3</v>
      </c>
      <c r="T220" s="32" t="n">
        <f>316330</f>
        <v>316330.0</v>
      </c>
      <c r="U220" s="32" t="n">
        <f>275190</f>
        <v>275190.0</v>
      </c>
      <c r="V220" s="32" t="n">
        <f>334599575</f>
        <v>3.34599575E8</v>
      </c>
      <c r="W220" s="32" t="n">
        <f>291256855</f>
        <v>2.91256855E8</v>
      </c>
      <c r="X220" s="36" t="n">
        <f>20</f>
        <v>20.0</v>
      </c>
    </row>
    <row r="221">
      <c r="A221" s="27" t="s">
        <v>42</v>
      </c>
      <c r="B221" s="27" t="s">
        <v>708</v>
      </c>
      <c r="C221" s="27" t="s">
        <v>709</v>
      </c>
      <c r="D221" s="27" t="s">
        <v>710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1165</f>
        <v>1165.0</v>
      </c>
      <c r="L221" s="34" t="s">
        <v>48</v>
      </c>
      <c r="M221" s="33" t="n">
        <f>1189</f>
        <v>1189.0</v>
      </c>
      <c r="N221" s="34" t="s">
        <v>61</v>
      </c>
      <c r="O221" s="33" t="n">
        <f>1069</f>
        <v>1069.0</v>
      </c>
      <c r="P221" s="34" t="s">
        <v>98</v>
      </c>
      <c r="Q221" s="33" t="n">
        <f>1099</f>
        <v>1099.0</v>
      </c>
      <c r="R221" s="34" t="s">
        <v>51</v>
      </c>
      <c r="S221" s="35" t="n">
        <f>1123.15</f>
        <v>1123.15</v>
      </c>
      <c r="T221" s="32" t="n">
        <f>807540</f>
        <v>807540.0</v>
      </c>
      <c r="U221" s="32" t="n">
        <f>177050</f>
        <v>177050.0</v>
      </c>
      <c r="V221" s="32" t="n">
        <f>915110650</f>
        <v>9.1511065E8</v>
      </c>
      <c r="W221" s="32" t="n">
        <f>199923320</f>
        <v>1.9992332E8</v>
      </c>
      <c r="X221" s="36" t="n">
        <f>20</f>
        <v>20.0</v>
      </c>
    </row>
    <row r="222">
      <c r="A222" s="27" t="s">
        <v>42</v>
      </c>
      <c r="B222" s="27" t="s">
        <v>711</v>
      </c>
      <c r="C222" s="27" t="s">
        <v>712</v>
      </c>
      <c r="D222" s="27" t="s">
        <v>713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1201</f>
        <v>1201.0</v>
      </c>
      <c r="L222" s="34" t="s">
        <v>48</v>
      </c>
      <c r="M222" s="33" t="n">
        <f>1224</f>
        <v>1224.0</v>
      </c>
      <c r="N222" s="34" t="s">
        <v>61</v>
      </c>
      <c r="O222" s="33" t="n">
        <f>1118</f>
        <v>1118.0</v>
      </c>
      <c r="P222" s="34" t="s">
        <v>98</v>
      </c>
      <c r="Q222" s="33" t="n">
        <f>1143</f>
        <v>1143.0</v>
      </c>
      <c r="R222" s="34" t="s">
        <v>51</v>
      </c>
      <c r="S222" s="35" t="n">
        <f>1164.25</f>
        <v>1164.25</v>
      </c>
      <c r="T222" s="32" t="n">
        <f>440030</f>
        <v>440030.0</v>
      </c>
      <c r="U222" s="32" t="str">
        <f>"－"</f>
        <v>－</v>
      </c>
      <c r="V222" s="32" t="n">
        <f>514534880</f>
        <v>5.1453488E8</v>
      </c>
      <c r="W222" s="32" t="str">
        <f>"－"</f>
        <v>－</v>
      </c>
      <c r="X222" s="36" t="n">
        <f>20</f>
        <v>20.0</v>
      </c>
    </row>
    <row r="223">
      <c r="A223" s="27" t="s">
        <v>42</v>
      </c>
      <c r="B223" s="27" t="s">
        <v>714</v>
      </c>
      <c r="C223" s="27" t="s">
        <v>715</v>
      </c>
      <c r="D223" s="27" t="s">
        <v>716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869</f>
        <v>869.0</v>
      </c>
      <c r="L223" s="34" t="s">
        <v>48</v>
      </c>
      <c r="M223" s="33" t="n">
        <f>882</f>
        <v>882.0</v>
      </c>
      <c r="N223" s="34" t="s">
        <v>61</v>
      </c>
      <c r="O223" s="33" t="n">
        <f>793</f>
        <v>793.0</v>
      </c>
      <c r="P223" s="34" t="s">
        <v>98</v>
      </c>
      <c r="Q223" s="33" t="n">
        <f>821</f>
        <v>821.0</v>
      </c>
      <c r="R223" s="34" t="s">
        <v>51</v>
      </c>
      <c r="S223" s="35" t="n">
        <f>848.9</f>
        <v>848.9</v>
      </c>
      <c r="T223" s="32" t="n">
        <f>512570</f>
        <v>512570.0</v>
      </c>
      <c r="U223" s="32" t="n">
        <f>30</f>
        <v>30.0</v>
      </c>
      <c r="V223" s="32" t="n">
        <f>429224090</f>
        <v>4.2922409E8</v>
      </c>
      <c r="W223" s="32" t="n">
        <f>25700</f>
        <v>25700.0</v>
      </c>
      <c r="X223" s="36" t="n">
        <f>20</f>
        <v>20.0</v>
      </c>
    </row>
    <row r="224">
      <c r="A224" s="27" t="s">
        <v>42</v>
      </c>
      <c r="B224" s="27" t="s">
        <v>717</v>
      </c>
      <c r="C224" s="27" t="s">
        <v>718</v>
      </c>
      <c r="D224" s="27" t="s">
        <v>719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853</f>
        <v>853.0</v>
      </c>
      <c r="L224" s="34" t="s">
        <v>48</v>
      </c>
      <c r="M224" s="33" t="n">
        <f>950</f>
        <v>950.0</v>
      </c>
      <c r="N224" s="34" t="s">
        <v>51</v>
      </c>
      <c r="O224" s="33" t="n">
        <f>832</f>
        <v>832.0</v>
      </c>
      <c r="P224" s="34" t="s">
        <v>62</v>
      </c>
      <c r="Q224" s="33" t="n">
        <f>943</f>
        <v>943.0</v>
      </c>
      <c r="R224" s="34" t="s">
        <v>51</v>
      </c>
      <c r="S224" s="35" t="n">
        <f>894</f>
        <v>894.0</v>
      </c>
      <c r="T224" s="32" t="n">
        <f>10934130</f>
        <v>1.093413E7</v>
      </c>
      <c r="U224" s="32" t="n">
        <f>9600</f>
        <v>9600.0</v>
      </c>
      <c r="V224" s="32" t="n">
        <f>9750917298</f>
        <v>9.750917298E9</v>
      </c>
      <c r="W224" s="32" t="n">
        <f>8641308</f>
        <v>8641308.0</v>
      </c>
      <c r="X224" s="36" t="n">
        <f>20</f>
        <v>20.0</v>
      </c>
    </row>
    <row r="225">
      <c r="A225" s="27" t="s">
        <v>42</v>
      </c>
      <c r="B225" s="27" t="s">
        <v>720</v>
      </c>
      <c r="C225" s="27" t="s">
        <v>721</v>
      </c>
      <c r="D225" s="27" t="s">
        <v>722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1011</f>
        <v>1011.0</v>
      </c>
      <c r="L225" s="34" t="s">
        <v>48</v>
      </c>
      <c r="M225" s="33" t="n">
        <f>1027</f>
        <v>1027.0</v>
      </c>
      <c r="N225" s="34" t="s">
        <v>49</v>
      </c>
      <c r="O225" s="33" t="n">
        <f>977</f>
        <v>977.0</v>
      </c>
      <c r="P225" s="34" t="s">
        <v>62</v>
      </c>
      <c r="Q225" s="33" t="n">
        <f>1015</f>
        <v>1015.0</v>
      </c>
      <c r="R225" s="34" t="s">
        <v>51</v>
      </c>
      <c r="S225" s="35" t="n">
        <f>1000.65</f>
        <v>1000.65</v>
      </c>
      <c r="T225" s="32" t="n">
        <f>392180</f>
        <v>392180.0</v>
      </c>
      <c r="U225" s="32" t="n">
        <f>112000</f>
        <v>112000.0</v>
      </c>
      <c r="V225" s="32" t="n">
        <f>391551450</f>
        <v>3.9155145E8</v>
      </c>
      <c r="W225" s="32" t="n">
        <f>111026600</f>
        <v>1.110266E8</v>
      </c>
      <c r="X225" s="36" t="n">
        <f>20</f>
        <v>20.0</v>
      </c>
    </row>
    <row r="226">
      <c r="A226" s="27" t="s">
        <v>42</v>
      </c>
      <c r="B226" s="27" t="s">
        <v>723</v>
      </c>
      <c r="C226" s="27" t="s">
        <v>724</v>
      </c>
      <c r="D226" s="27" t="s">
        <v>725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946</f>
        <v>946.0</v>
      </c>
      <c r="L226" s="34" t="s">
        <v>48</v>
      </c>
      <c r="M226" s="33" t="n">
        <f>979</f>
        <v>979.0</v>
      </c>
      <c r="N226" s="34" t="s">
        <v>49</v>
      </c>
      <c r="O226" s="33" t="n">
        <f>933</f>
        <v>933.0</v>
      </c>
      <c r="P226" s="34" t="s">
        <v>50</v>
      </c>
      <c r="Q226" s="33" t="n">
        <f>961</f>
        <v>961.0</v>
      </c>
      <c r="R226" s="34" t="s">
        <v>51</v>
      </c>
      <c r="S226" s="35" t="n">
        <f>954</f>
        <v>954.0</v>
      </c>
      <c r="T226" s="32" t="n">
        <f>227366</f>
        <v>227366.0</v>
      </c>
      <c r="U226" s="32" t="n">
        <f>105000</f>
        <v>105000.0</v>
      </c>
      <c r="V226" s="32" t="n">
        <f>217666631</f>
        <v>2.17666631E8</v>
      </c>
      <c r="W226" s="32" t="n">
        <f>100275000</f>
        <v>1.00275E8</v>
      </c>
      <c r="X226" s="36" t="n">
        <f>20</f>
        <v>20.0</v>
      </c>
    </row>
    <row r="227">
      <c r="A227" s="27" t="s">
        <v>42</v>
      </c>
      <c r="B227" s="27" t="s">
        <v>726</v>
      </c>
      <c r="C227" s="27" t="s">
        <v>727</v>
      </c>
      <c r="D227" s="27" t="s">
        <v>728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1059</f>
        <v>1059.0</v>
      </c>
      <c r="L227" s="34" t="s">
        <v>48</v>
      </c>
      <c r="M227" s="33" t="n">
        <f>1087</f>
        <v>1087.0</v>
      </c>
      <c r="N227" s="34" t="s">
        <v>97</v>
      </c>
      <c r="O227" s="33" t="n">
        <f>988</f>
        <v>988.0</v>
      </c>
      <c r="P227" s="34" t="s">
        <v>98</v>
      </c>
      <c r="Q227" s="33" t="n">
        <f>997</f>
        <v>997.0</v>
      </c>
      <c r="R227" s="34" t="s">
        <v>51</v>
      </c>
      <c r="S227" s="35" t="n">
        <f>1025.7</f>
        <v>1025.7</v>
      </c>
      <c r="T227" s="32" t="n">
        <f>75760</f>
        <v>75760.0</v>
      </c>
      <c r="U227" s="32" t="str">
        <f>"－"</f>
        <v>－</v>
      </c>
      <c r="V227" s="32" t="n">
        <f>78138190</f>
        <v>7.813819E7</v>
      </c>
      <c r="W227" s="32" t="str">
        <f>"－"</f>
        <v>－</v>
      </c>
      <c r="X227" s="36" t="n">
        <f>20</f>
        <v>20.0</v>
      </c>
    </row>
    <row r="228">
      <c r="A228" s="27" t="s">
        <v>42</v>
      </c>
      <c r="B228" s="27" t="s">
        <v>729</v>
      </c>
      <c r="C228" s="27" t="s">
        <v>730</v>
      </c>
      <c r="D228" s="27" t="s">
        <v>731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1045</f>
        <v>1045.0</v>
      </c>
      <c r="L228" s="34" t="s">
        <v>48</v>
      </c>
      <c r="M228" s="33" t="n">
        <f>1050</f>
        <v>1050.0</v>
      </c>
      <c r="N228" s="34" t="s">
        <v>97</v>
      </c>
      <c r="O228" s="33" t="n">
        <f>951</f>
        <v>951.0</v>
      </c>
      <c r="P228" s="34" t="s">
        <v>98</v>
      </c>
      <c r="Q228" s="33" t="n">
        <f>967</f>
        <v>967.0</v>
      </c>
      <c r="R228" s="34" t="s">
        <v>51</v>
      </c>
      <c r="S228" s="35" t="n">
        <f>996.2</f>
        <v>996.2</v>
      </c>
      <c r="T228" s="32" t="n">
        <f>36800</f>
        <v>36800.0</v>
      </c>
      <c r="U228" s="32" t="str">
        <f>"－"</f>
        <v>－</v>
      </c>
      <c r="V228" s="32" t="n">
        <f>36484120</f>
        <v>3.648412E7</v>
      </c>
      <c r="W228" s="32" t="str">
        <f>"－"</f>
        <v>－</v>
      </c>
      <c r="X228" s="36" t="n">
        <f>20</f>
        <v>20.0</v>
      </c>
    </row>
    <row r="229">
      <c r="A229" s="27" t="s">
        <v>42</v>
      </c>
      <c r="B229" s="27" t="s">
        <v>732</v>
      </c>
      <c r="C229" s="27" t="s">
        <v>733</v>
      </c>
      <c r="D229" s="27" t="s">
        <v>734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1226</f>
        <v>1226.0</v>
      </c>
      <c r="L229" s="34" t="s">
        <v>48</v>
      </c>
      <c r="M229" s="33" t="n">
        <f>1256</f>
        <v>1256.0</v>
      </c>
      <c r="N229" s="34" t="s">
        <v>61</v>
      </c>
      <c r="O229" s="33" t="n">
        <f>1130</f>
        <v>1130.0</v>
      </c>
      <c r="P229" s="34" t="s">
        <v>98</v>
      </c>
      <c r="Q229" s="33" t="n">
        <f>1159</f>
        <v>1159.0</v>
      </c>
      <c r="R229" s="34" t="s">
        <v>51</v>
      </c>
      <c r="S229" s="35" t="n">
        <f>1186.95</f>
        <v>1186.95</v>
      </c>
      <c r="T229" s="32" t="n">
        <f>12667060</f>
        <v>1.266706E7</v>
      </c>
      <c r="U229" s="32" t="n">
        <f>3582950</f>
        <v>3582950.0</v>
      </c>
      <c r="V229" s="32" t="n">
        <f>15159698817</f>
        <v>1.5159698817E10</v>
      </c>
      <c r="W229" s="32" t="n">
        <f>4358046867</f>
        <v>4.358046867E9</v>
      </c>
      <c r="X229" s="36" t="n">
        <f>20</f>
        <v>20.0</v>
      </c>
    </row>
    <row r="230">
      <c r="A230" s="27" t="s">
        <v>42</v>
      </c>
      <c r="B230" s="27" t="s">
        <v>735</v>
      </c>
      <c r="C230" s="27" t="s">
        <v>736</v>
      </c>
      <c r="D230" s="27" t="s">
        <v>737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2748</f>
        <v>2748.0</v>
      </c>
      <c r="L230" s="34" t="s">
        <v>48</v>
      </c>
      <c r="M230" s="33" t="n">
        <f>2851</f>
        <v>2851.0</v>
      </c>
      <c r="N230" s="34" t="s">
        <v>61</v>
      </c>
      <c r="O230" s="33" t="n">
        <f>2585</f>
        <v>2585.0</v>
      </c>
      <c r="P230" s="34" t="s">
        <v>98</v>
      </c>
      <c r="Q230" s="33" t="n">
        <f>2690</f>
        <v>2690.0</v>
      </c>
      <c r="R230" s="34" t="s">
        <v>51</v>
      </c>
      <c r="S230" s="35" t="n">
        <f>2693.85</f>
        <v>2693.85</v>
      </c>
      <c r="T230" s="32" t="n">
        <f>43337</f>
        <v>43337.0</v>
      </c>
      <c r="U230" s="32" t="str">
        <f>"－"</f>
        <v>－</v>
      </c>
      <c r="V230" s="32" t="n">
        <f>117257488</f>
        <v>1.17257488E8</v>
      </c>
      <c r="W230" s="32" t="str">
        <f>"－"</f>
        <v>－</v>
      </c>
      <c r="X230" s="36" t="n">
        <f>20</f>
        <v>20.0</v>
      </c>
    </row>
    <row r="231">
      <c r="A231" s="27" t="s">
        <v>42</v>
      </c>
      <c r="B231" s="27" t="s">
        <v>738</v>
      </c>
      <c r="C231" s="27" t="s">
        <v>739</v>
      </c>
      <c r="D231" s="27" t="s">
        <v>740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1470</f>
        <v>1470.0</v>
      </c>
      <c r="L231" s="34" t="s">
        <v>97</v>
      </c>
      <c r="M231" s="33" t="n">
        <f>1640</f>
        <v>1640.0</v>
      </c>
      <c r="N231" s="34" t="s">
        <v>180</v>
      </c>
      <c r="O231" s="33" t="n">
        <f>1422</f>
        <v>1422.0</v>
      </c>
      <c r="P231" s="34" t="s">
        <v>176</v>
      </c>
      <c r="Q231" s="33" t="n">
        <f>1610</f>
        <v>1610.0</v>
      </c>
      <c r="R231" s="34" t="s">
        <v>51</v>
      </c>
      <c r="S231" s="35" t="n">
        <f>1528.08</f>
        <v>1528.08</v>
      </c>
      <c r="T231" s="32" t="n">
        <f>4180</f>
        <v>4180.0</v>
      </c>
      <c r="U231" s="32" t="str">
        <f>"－"</f>
        <v>－</v>
      </c>
      <c r="V231" s="32" t="n">
        <f>6352150</f>
        <v>6352150.0</v>
      </c>
      <c r="W231" s="32" t="str">
        <f>"－"</f>
        <v>－</v>
      </c>
      <c r="X231" s="36" t="n">
        <f>13</f>
        <v>13.0</v>
      </c>
    </row>
    <row r="232">
      <c r="A232" s="27" t="s">
        <v>42</v>
      </c>
      <c r="B232" s="27" t="s">
        <v>741</v>
      </c>
      <c r="C232" s="27" t="s">
        <v>742</v>
      </c>
      <c r="D232" s="27" t="s">
        <v>743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1626</f>
        <v>1626.0</v>
      </c>
      <c r="L232" s="34" t="s">
        <v>48</v>
      </c>
      <c r="M232" s="33" t="n">
        <f>1682</f>
        <v>1682.0</v>
      </c>
      <c r="N232" s="34" t="s">
        <v>51</v>
      </c>
      <c r="O232" s="33" t="n">
        <f>1609</f>
        <v>1609.0</v>
      </c>
      <c r="P232" s="34" t="s">
        <v>50</v>
      </c>
      <c r="Q232" s="33" t="n">
        <f>1664</f>
        <v>1664.0</v>
      </c>
      <c r="R232" s="34" t="s">
        <v>51</v>
      </c>
      <c r="S232" s="35" t="n">
        <f>1644.17</f>
        <v>1644.17</v>
      </c>
      <c r="T232" s="32" t="n">
        <f>74640</f>
        <v>74640.0</v>
      </c>
      <c r="U232" s="32" t="str">
        <f>"－"</f>
        <v>－</v>
      </c>
      <c r="V232" s="32" t="n">
        <f>121726430</f>
        <v>1.2172643E8</v>
      </c>
      <c r="W232" s="32" t="str">
        <f>"－"</f>
        <v>－</v>
      </c>
      <c r="X232" s="36" t="n">
        <f>12</f>
        <v>12.0</v>
      </c>
    </row>
    <row r="233">
      <c r="A233" s="27" t="s">
        <v>42</v>
      </c>
      <c r="B233" s="27" t="s">
        <v>744</v>
      </c>
      <c r="C233" s="27" t="s">
        <v>745</v>
      </c>
      <c r="D233" s="27" t="s">
        <v>746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23730</f>
        <v>23730.0</v>
      </c>
      <c r="L233" s="34" t="s">
        <v>61</v>
      </c>
      <c r="M233" s="33" t="n">
        <f>23730</f>
        <v>23730.0</v>
      </c>
      <c r="N233" s="34" t="s">
        <v>61</v>
      </c>
      <c r="O233" s="33" t="n">
        <f>23190</f>
        <v>23190.0</v>
      </c>
      <c r="P233" s="34" t="s">
        <v>98</v>
      </c>
      <c r="Q233" s="33" t="n">
        <f>23190</f>
        <v>23190.0</v>
      </c>
      <c r="R233" s="34" t="s">
        <v>98</v>
      </c>
      <c r="S233" s="35" t="n">
        <f>23387.5</f>
        <v>23387.5</v>
      </c>
      <c r="T233" s="32" t="n">
        <f>3034</f>
        <v>3034.0</v>
      </c>
      <c r="U233" s="32" t="str">
        <f>"－"</f>
        <v>－</v>
      </c>
      <c r="V233" s="32" t="n">
        <f>70365500</f>
        <v>7.03655E7</v>
      </c>
      <c r="W233" s="32" t="str">
        <f>"－"</f>
        <v>－</v>
      </c>
      <c r="X233" s="36" t="n">
        <f>4</f>
        <v>4.0</v>
      </c>
    </row>
    <row r="234">
      <c r="A234" s="27" t="s">
        <v>42</v>
      </c>
      <c r="B234" s="27" t="s">
        <v>747</v>
      </c>
      <c r="C234" s="27" t="s">
        <v>748</v>
      </c>
      <c r="D234" s="27" t="s">
        <v>749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14620</f>
        <v>14620.0</v>
      </c>
      <c r="L234" s="34" t="s">
        <v>48</v>
      </c>
      <c r="M234" s="33" t="n">
        <f>15160</f>
        <v>15160.0</v>
      </c>
      <c r="N234" s="34" t="s">
        <v>49</v>
      </c>
      <c r="O234" s="33" t="n">
        <f>14470</f>
        <v>14470.0</v>
      </c>
      <c r="P234" s="34" t="s">
        <v>50</v>
      </c>
      <c r="Q234" s="33" t="n">
        <f>15010</f>
        <v>15010.0</v>
      </c>
      <c r="R234" s="34" t="s">
        <v>51</v>
      </c>
      <c r="S234" s="35" t="n">
        <f>14805.26</f>
        <v>14805.26</v>
      </c>
      <c r="T234" s="32" t="n">
        <f>160541</f>
        <v>160541.0</v>
      </c>
      <c r="U234" s="32" t="str">
        <f>"－"</f>
        <v>－</v>
      </c>
      <c r="V234" s="32" t="n">
        <f>2373755850</f>
        <v>2.37375585E9</v>
      </c>
      <c r="W234" s="32" t="str">
        <f>"－"</f>
        <v>－</v>
      </c>
      <c r="X234" s="36" t="n">
        <f>19</f>
        <v>19.0</v>
      </c>
    </row>
    <row r="235">
      <c r="A235" s="27" t="s">
        <v>42</v>
      </c>
      <c r="B235" s="27" t="s">
        <v>750</v>
      </c>
      <c r="C235" s="27" t="s">
        <v>751</v>
      </c>
      <c r="D235" s="27" t="s">
        <v>752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1006</f>
        <v>1006.0</v>
      </c>
      <c r="L235" s="34" t="s">
        <v>48</v>
      </c>
      <c r="M235" s="33" t="n">
        <f>1025</f>
        <v>1025.0</v>
      </c>
      <c r="N235" s="34" t="s">
        <v>90</v>
      </c>
      <c r="O235" s="33" t="n">
        <f>985</f>
        <v>985.0</v>
      </c>
      <c r="P235" s="34" t="s">
        <v>62</v>
      </c>
      <c r="Q235" s="33" t="n">
        <f>1017</f>
        <v>1017.0</v>
      </c>
      <c r="R235" s="34" t="s">
        <v>86</v>
      </c>
      <c r="S235" s="35" t="n">
        <f>1003.46</f>
        <v>1003.46</v>
      </c>
      <c r="T235" s="32" t="n">
        <f>26770</f>
        <v>26770.0</v>
      </c>
      <c r="U235" s="32" t="str">
        <f>"－"</f>
        <v>－</v>
      </c>
      <c r="V235" s="32" t="n">
        <f>26881500</f>
        <v>2.68815E7</v>
      </c>
      <c r="W235" s="32" t="str">
        <f>"－"</f>
        <v>－</v>
      </c>
      <c r="X235" s="36" t="n">
        <f>13</f>
        <v>13.0</v>
      </c>
    </row>
    <row r="236">
      <c r="A236" s="27" t="s">
        <v>42</v>
      </c>
      <c r="B236" s="27" t="s">
        <v>753</v>
      </c>
      <c r="C236" s="27" t="s">
        <v>754</v>
      </c>
      <c r="D236" s="27" t="s">
        <v>755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1024</f>
        <v>1024.0</v>
      </c>
      <c r="L236" s="34" t="s">
        <v>48</v>
      </c>
      <c r="M236" s="33" t="n">
        <f>1024</f>
        <v>1024.0</v>
      </c>
      <c r="N236" s="34" t="s">
        <v>48</v>
      </c>
      <c r="O236" s="33" t="n">
        <f>969</f>
        <v>969.0</v>
      </c>
      <c r="P236" s="34" t="s">
        <v>62</v>
      </c>
      <c r="Q236" s="33" t="n">
        <f>1001</f>
        <v>1001.0</v>
      </c>
      <c r="R236" s="34" t="s">
        <v>51</v>
      </c>
      <c r="S236" s="35" t="n">
        <f>997.95</f>
        <v>997.95</v>
      </c>
      <c r="T236" s="32" t="n">
        <f>12940</f>
        <v>12940.0</v>
      </c>
      <c r="U236" s="32" t="str">
        <f>"－"</f>
        <v>－</v>
      </c>
      <c r="V236" s="32" t="n">
        <f>12920140</f>
        <v>1.292014E7</v>
      </c>
      <c r="W236" s="32" t="str">
        <f>"－"</f>
        <v>－</v>
      </c>
      <c r="X236" s="36" t="n">
        <f>20</f>
        <v>20.0</v>
      </c>
    </row>
    <row r="237">
      <c r="A237" s="27" t="s">
        <v>42</v>
      </c>
      <c r="B237" s="27" t="s">
        <v>756</v>
      </c>
      <c r="C237" s="27" t="s">
        <v>757</v>
      </c>
      <c r="D237" s="27" t="s">
        <v>758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897</f>
        <v>897.0</v>
      </c>
      <c r="L237" s="34" t="s">
        <v>48</v>
      </c>
      <c r="M237" s="33" t="n">
        <f>913</f>
        <v>913.0</v>
      </c>
      <c r="N237" s="34" t="s">
        <v>266</v>
      </c>
      <c r="O237" s="33" t="n">
        <f>880</f>
        <v>880.0</v>
      </c>
      <c r="P237" s="34" t="s">
        <v>98</v>
      </c>
      <c r="Q237" s="33" t="n">
        <f>887</f>
        <v>887.0</v>
      </c>
      <c r="R237" s="34" t="s">
        <v>51</v>
      </c>
      <c r="S237" s="35" t="n">
        <f>895.4</f>
        <v>895.4</v>
      </c>
      <c r="T237" s="32" t="n">
        <f>365380</f>
        <v>365380.0</v>
      </c>
      <c r="U237" s="32" t="str">
        <f>"－"</f>
        <v>－</v>
      </c>
      <c r="V237" s="32" t="n">
        <f>326089344</f>
        <v>3.26089344E8</v>
      </c>
      <c r="W237" s="32" t="str">
        <f>"－"</f>
        <v>－</v>
      </c>
      <c r="X237" s="36" t="n">
        <f>20</f>
        <v>20.0</v>
      </c>
    </row>
    <row r="238">
      <c r="A238" s="27" t="s">
        <v>42</v>
      </c>
      <c r="B238" s="27" t="s">
        <v>759</v>
      </c>
      <c r="C238" s="27" t="s">
        <v>760</v>
      </c>
      <c r="D238" s="27" t="s">
        <v>761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12100</f>
        <v>12100.0</v>
      </c>
      <c r="L238" s="34" t="s">
        <v>48</v>
      </c>
      <c r="M238" s="33" t="n">
        <f>12400</f>
        <v>12400.0</v>
      </c>
      <c r="N238" s="34" t="s">
        <v>97</v>
      </c>
      <c r="O238" s="33" t="n">
        <f>11300</f>
        <v>11300.0</v>
      </c>
      <c r="P238" s="34" t="s">
        <v>50</v>
      </c>
      <c r="Q238" s="33" t="n">
        <f>11580</f>
        <v>11580.0</v>
      </c>
      <c r="R238" s="34" t="s">
        <v>51</v>
      </c>
      <c r="S238" s="35" t="n">
        <f>11837</f>
        <v>11837.0</v>
      </c>
      <c r="T238" s="32" t="n">
        <f>942</f>
        <v>942.0</v>
      </c>
      <c r="U238" s="32" t="str">
        <f>"－"</f>
        <v>－</v>
      </c>
      <c r="V238" s="32" t="n">
        <f>11142160</f>
        <v>1.114216E7</v>
      </c>
      <c r="W238" s="32" t="str">
        <f>"－"</f>
        <v>－</v>
      </c>
      <c r="X238" s="36" t="n">
        <f>20</f>
        <v>20.0</v>
      </c>
    </row>
    <row r="239">
      <c r="A239" s="27" t="s">
        <v>42</v>
      </c>
      <c r="B239" s="27" t="s">
        <v>762</v>
      </c>
      <c r="C239" s="27" t="s">
        <v>763</v>
      </c>
      <c r="D239" s="27" t="s">
        <v>764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1865</f>
        <v>1865.0</v>
      </c>
      <c r="L239" s="34" t="s">
        <v>48</v>
      </c>
      <c r="M239" s="33" t="n">
        <f>1884</f>
        <v>1884.0</v>
      </c>
      <c r="N239" s="34" t="s">
        <v>49</v>
      </c>
      <c r="O239" s="33" t="n">
        <f>1795</f>
        <v>1795.0</v>
      </c>
      <c r="P239" s="34" t="s">
        <v>62</v>
      </c>
      <c r="Q239" s="33" t="n">
        <f>1860</f>
        <v>1860.0</v>
      </c>
      <c r="R239" s="34" t="s">
        <v>51</v>
      </c>
      <c r="S239" s="35" t="n">
        <f>1840.25</f>
        <v>1840.25</v>
      </c>
      <c r="T239" s="32" t="n">
        <f>16178</f>
        <v>16178.0</v>
      </c>
      <c r="U239" s="32" t="str">
        <f>"－"</f>
        <v>－</v>
      </c>
      <c r="V239" s="32" t="n">
        <f>29785258</f>
        <v>2.9785258E7</v>
      </c>
      <c r="W239" s="32" t="str">
        <f>"－"</f>
        <v>－</v>
      </c>
      <c r="X239" s="36" t="n">
        <f>20</f>
        <v>20.0</v>
      </c>
    </row>
    <row r="240">
      <c r="A240" s="27" t="s">
        <v>42</v>
      </c>
      <c r="B240" s="27" t="s">
        <v>765</v>
      </c>
      <c r="C240" s="27" t="s">
        <v>766</v>
      </c>
      <c r="D240" s="27" t="s">
        <v>767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1175</f>
        <v>1175.0</v>
      </c>
      <c r="L240" s="34" t="s">
        <v>97</v>
      </c>
      <c r="M240" s="33" t="n">
        <f>1399</f>
        <v>1399.0</v>
      </c>
      <c r="N240" s="34" t="s">
        <v>62</v>
      </c>
      <c r="O240" s="33" t="n">
        <f>1175</f>
        <v>1175.0</v>
      </c>
      <c r="P240" s="34" t="s">
        <v>97</v>
      </c>
      <c r="Q240" s="33" t="n">
        <f>1338</f>
        <v>1338.0</v>
      </c>
      <c r="R240" s="34" t="s">
        <v>184</v>
      </c>
      <c r="S240" s="35" t="n">
        <f>1301.56</f>
        <v>1301.56</v>
      </c>
      <c r="T240" s="32" t="n">
        <f>690</f>
        <v>690.0</v>
      </c>
      <c r="U240" s="32" t="str">
        <f>"－"</f>
        <v>－</v>
      </c>
      <c r="V240" s="32" t="n">
        <f>901510</f>
        <v>901510.0</v>
      </c>
      <c r="W240" s="32" t="str">
        <f>"－"</f>
        <v>－</v>
      </c>
      <c r="X240" s="36" t="n">
        <f>9</f>
        <v>9.0</v>
      </c>
    </row>
    <row r="241">
      <c r="A241" s="27" t="s">
        <v>42</v>
      </c>
      <c r="B241" s="27" t="s">
        <v>768</v>
      </c>
      <c r="C241" s="27" t="s">
        <v>769</v>
      </c>
      <c r="D241" s="27" t="s">
        <v>770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1031</f>
        <v>1031.0</v>
      </c>
      <c r="L241" s="34" t="s">
        <v>48</v>
      </c>
      <c r="M241" s="33" t="n">
        <f>1036</f>
        <v>1036.0</v>
      </c>
      <c r="N241" s="34" t="s">
        <v>61</v>
      </c>
      <c r="O241" s="33" t="n">
        <f>1020</f>
        <v>1020.0</v>
      </c>
      <c r="P241" s="34" t="s">
        <v>86</v>
      </c>
      <c r="Q241" s="33" t="n">
        <f>1021</f>
        <v>1021.0</v>
      </c>
      <c r="R241" s="34" t="s">
        <v>51</v>
      </c>
      <c r="S241" s="35" t="n">
        <f>1024.95</f>
        <v>1024.95</v>
      </c>
      <c r="T241" s="32" t="n">
        <f>16430</f>
        <v>16430.0</v>
      </c>
      <c r="U241" s="32" t="str">
        <f>"－"</f>
        <v>－</v>
      </c>
      <c r="V241" s="32" t="n">
        <f>16799270</f>
        <v>1.679927E7</v>
      </c>
      <c r="W241" s="32" t="str">
        <f>"－"</f>
        <v>－</v>
      </c>
      <c r="X241" s="36" t="n">
        <f>19</f>
        <v>19.0</v>
      </c>
    </row>
    <row r="242">
      <c r="A242" s="27" t="s">
        <v>42</v>
      </c>
      <c r="B242" s="27" t="s">
        <v>771</v>
      </c>
      <c r="C242" s="27" t="s">
        <v>772</v>
      </c>
      <c r="D242" s="27" t="s">
        <v>773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1779</f>
        <v>1779.0</v>
      </c>
      <c r="L242" s="34" t="s">
        <v>48</v>
      </c>
      <c r="M242" s="33" t="n">
        <f>1810</f>
        <v>1810.0</v>
      </c>
      <c r="N242" s="34" t="s">
        <v>69</v>
      </c>
      <c r="O242" s="33" t="n">
        <f>1720</f>
        <v>1720.0</v>
      </c>
      <c r="P242" s="34" t="s">
        <v>62</v>
      </c>
      <c r="Q242" s="33" t="n">
        <f>1773</f>
        <v>1773.0</v>
      </c>
      <c r="R242" s="34" t="s">
        <v>51</v>
      </c>
      <c r="S242" s="35" t="n">
        <f>1757.9</f>
        <v>1757.9</v>
      </c>
      <c r="T242" s="32" t="n">
        <f>32150</f>
        <v>32150.0</v>
      </c>
      <c r="U242" s="32" t="str">
        <f>"－"</f>
        <v>－</v>
      </c>
      <c r="V242" s="32" t="n">
        <f>56418180</f>
        <v>5.641818E7</v>
      </c>
      <c r="W242" s="32" t="str">
        <f>"－"</f>
        <v>－</v>
      </c>
      <c r="X242" s="36" t="n">
        <f>20</f>
        <v>20.0</v>
      </c>
    </row>
    <row r="243">
      <c r="A243" s="27" t="s">
        <v>42</v>
      </c>
      <c r="B243" s="27" t="s">
        <v>774</v>
      </c>
      <c r="C243" s="27" t="s">
        <v>775</v>
      </c>
      <c r="D243" s="27" t="s">
        <v>776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1777</f>
        <v>1777.0</v>
      </c>
      <c r="L243" s="34" t="s">
        <v>48</v>
      </c>
      <c r="M243" s="33" t="n">
        <f>1794</f>
        <v>1794.0</v>
      </c>
      <c r="N243" s="34" t="s">
        <v>49</v>
      </c>
      <c r="O243" s="33" t="n">
        <f>1712</f>
        <v>1712.0</v>
      </c>
      <c r="P243" s="34" t="s">
        <v>62</v>
      </c>
      <c r="Q243" s="33" t="n">
        <f>1767</f>
        <v>1767.0</v>
      </c>
      <c r="R243" s="34" t="s">
        <v>51</v>
      </c>
      <c r="S243" s="35" t="n">
        <f>1754.35</f>
        <v>1754.35</v>
      </c>
      <c r="T243" s="32" t="n">
        <f>134910</f>
        <v>134910.0</v>
      </c>
      <c r="U243" s="32" t="str">
        <f>"－"</f>
        <v>－</v>
      </c>
      <c r="V243" s="32" t="n">
        <f>236701790</f>
        <v>2.3670179E8</v>
      </c>
      <c r="W243" s="32" t="str">
        <f>"－"</f>
        <v>－</v>
      </c>
      <c r="X243" s="36" t="n">
        <f>20</f>
        <v>20.0</v>
      </c>
    </row>
    <row r="244">
      <c r="A244" s="27" t="s">
        <v>42</v>
      </c>
      <c r="B244" s="27" t="s">
        <v>777</v>
      </c>
      <c r="C244" s="27" t="s">
        <v>778</v>
      </c>
      <c r="D244" s="27" t="s">
        <v>779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1616</f>
        <v>1616.0</v>
      </c>
      <c r="L244" s="34" t="s">
        <v>48</v>
      </c>
      <c r="M244" s="33" t="n">
        <f>1670</f>
        <v>1670.0</v>
      </c>
      <c r="N244" s="34" t="s">
        <v>51</v>
      </c>
      <c r="O244" s="33" t="n">
        <f>1599</f>
        <v>1599.0</v>
      </c>
      <c r="P244" s="34" t="s">
        <v>50</v>
      </c>
      <c r="Q244" s="33" t="n">
        <f>1670</f>
        <v>1670.0</v>
      </c>
      <c r="R244" s="34" t="s">
        <v>51</v>
      </c>
      <c r="S244" s="35" t="n">
        <f>1630</f>
        <v>1630.0</v>
      </c>
      <c r="T244" s="32" t="n">
        <f>4070</f>
        <v>4070.0</v>
      </c>
      <c r="U244" s="32" t="str">
        <f>"－"</f>
        <v>－</v>
      </c>
      <c r="V244" s="32" t="n">
        <f>6625900</f>
        <v>6625900.0</v>
      </c>
      <c r="W244" s="32" t="str">
        <f>"－"</f>
        <v>－</v>
      </c>
      <c r="X244" s="36" t="n">
        <f>17</f>
        <v>17.0</v>
      </c>
    </row>
    <row r="245">
      <c r="A245" s="27" t="s">
        <v>42</v>
      </c>
      <c r="B245" s="27" t="s">
        <v>780</v>
      </c>
      <c r="C245" s="27" t="s">
        <v>781</v>
      </c>
      <c r="D245" s="27" t="s">
        <v>782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10620</f>
        <v>10620.0</v>
      </c>
      <c r="L245" s="34" t="s">
        <v>48</v>
      </c>
      <c r="M245" s="33" t="n">
        <f>10900</f>
        <v>10900.0</v>
      </c>
      <c r="N245" s="34" t="s">
        <v>61</v>
      </c>
      <c r="O245" s="33" t="n">
        <f>9730</f>
        <v>9730.0</v>
      </c>
      <c r="P245" s="34" t="s">
        <v>98</v>
      </c>
      <c r="Q245" s="33" t="n">
        <f>9980</f>
        <v>9980.0</v>
      </c>
      <c r="R245" s="34" t="s">
        <v>51</v>
      </c>
      <c r="S245" s="35" t="n">
        <f>10249.5</f>
        <v>10249.5</v>
      </c>
      <c r="T245" s="32" t="n">
        <f>285344</f>
        <v>285344.0</v>
      </c>
      <c r="U245" s="32" t="n">
        <f>38702</f>
        <v>38702.0</v>
      </c>
      <c r="V245" s="32" t="n">
        <f>2940552590</f>
        <v>2.94055259E9</v>
      </c>
      <c r="W245" s="32" t="n">
        <f>410400600</f>
        <v>4.104006E8</v>
      </c>
      <c r="X245" s="36" t="n">
        <f>20</f>
        <v>20.0</v>
      </c>
    </row>
    <row r="246">
      <c r="A246" s="27" t="s">
        <v>42</v>
      </c>
      <c r="B246" s="27" t="s">
        <v>783</v>
      </c>
      <c r="C246" s="27" t="s">
        <v>784</v>
      </c>
      <c r="D246" s="27" t="s">
        <v>785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10200</f>
        <v>10200.0</v>
      </c>
      <c r="L246" s="34" t="s">
        <v>48</v>
      </c>
      <c r="M246" s="33" t="n">
        <f>10440</f>
        <v>10440.0</v>
      </c>
      <c r="N246" s="34" t="s">
        <v>61</v>
      </c>
      <c r="O246" s="33" t="n">
        <f>9520</f>
        <v>9520.0</v>
      </c>
      <c r="P246" s="34" t="s">
        <v>98</v>
      </c>
      <c r="Q246" s="33" t="n">
        <f>9760</f>
        <v>9760.0</v>
      </c>
      <c r="R246" s="34" t="s">
        <v>51</v>
      </c>
      <c r="S246" s="35" t="n">
        <f>9956.5</f>
        <v>9956.5</v>
      </c>
      <c r="T246" s="32" t="n">
        <f>76124</f>
        <v>76124.0</v>
      </c>
      <c r="U246" s="32" t="n">
        <f>10348</f>
        <v>10348.0</v>
      </c>
      <c r="V246" s="32" t="n">
        <f>757513040</f>
        <v>7.5751304E8</v>
      </c>
      <c r="W246" s="32" t="n">
        <f>103180080</f>
        <v>1.0318008E8</v>
      </c>
      <c r="X246" s="36" t="n">
        <f>20</f>
        <v>20.0</v>
      </c>
    </row>
    <row r="247">
      <c r="A247" s="27" t="s">
        <v>42</v>
      </c>
      <c r="B247" s="27" t="s">
        <v>786</v>
      </c>
      <c r="C247" s="27" t="s">
        <v>787</v>
      </c>
      <c r="D247" s="27" t="s">
        <v>788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21330</f>
        <v>21330.0</v>
      </c>
      <c r="L247" s="34" t="s">
        <v>48</v>
      </c>
      <c r="M247" s="33" t="n">
        <f>21820</f>
        <v>21820.0</v>
      </c>
      <c r="N247" s="34" t="s">
        <v>86</v>
      </c>
      <c r="O247" s="33" t="n">
        <f>21200</f>
        <v>21200.0</v>
      </c>
      <c r="P247" s="34" t="s">
        <v>50</v>
      </c>
      <c r="Q247" s="33" t="n">
        <f>21820</f>
        <v>21820.0</v>
      </c>
      <c r="R247" s="34" t="s">
        <v>86</v>
      </c>
      <c r="S247" s="35" t="n">
        <f>21515</f>
        <v>21515.0</v>
      </c>
      <c r="T247" s="32" t="n">
        <f>1131</f>
        <v>1131.0</v>
      </c>
      <c r="U247" s="32" t="str">
        <f>"－"</f>
        <v>－</v>
      </c>
      <c r="V247" s="32" t="n">
        <f>24404060</f>
        <v>2.440406E7</v>
      </c>
      <c r="W247" s="32" t="str">
        <f>"－"</f>
        <v>－</v>
      </c>
      <c r="X247" s="36" t="n">
        <f>12</f>
        <v>12.0</v>
      </c>
    </row>
    <row r="248">
      <c r="A248" s="27" t="s">
        <v>42</v>
      </c>
      <c r="B248" s="27" t="s">
        <v>789</v>
      </c>
      <c r="C248" s="27" t="s">
        <v>790</v>
      </c>
      <c r="D248" s="27" t="s">
        <v>791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2729</f>
        <v>2729.0</v>
      </c>
      <c r="L248" s="34" t="s">
        <v>48</v>
      </c>
      <c r="M248" s="33" t="n">
        <f>2742</f>
        <v>2742.0</v>
      </c>
      <c r="N248" s="34" t="s">
        <v>168</v>
      </c>
      <c r="O248" s="33" t="n">
        <f>2724</f>
        <v>2724.0</v>
      </c>
      <c r="P248" s="34" t="s">
        <v>279</v>
      </c>
      <c r="Q248" s="33" t="n">
        <f>2735</f>
        <v>2735.0</v>
      </c>
      <c r="R248" s="34" t="s">
        <v>51</v>
      </c>
      <c r="S248" s="35" t="n">
        <f>2734.05</f>
        <v>2734.05</v>
      </c>
      <c r="T248" s="32" t="n">
        <f>796993</f>
        <v>796993.0</v>
      </c>
      <c r="U248" s="32" t="n">
        <f>604537</f>
        <v>604537.0</v>
      </c>
      <c r="V248" s="32" t="n">
        <f>2177329829</f>
        <v>2.177329829E9</v>
      </c>
      <c r="W248" s="32" t="n">
        <f>1651827045</f>
        <v>1.651827045E9</v>
      </c>
      <c r="X248" s="36" t="n">
        <f>20</f>
        <v>20.0</v>
      </c>
    </row>
    <row r="249">
      <c r="A249" s="27" t="s">
        <v>42</v>
      </c>
      <c r="B249" s="27" t="s">
        <v>792</v>
      </c>
      <c r="C249" s="27" t="s">
        <v>793</v>
      </c>
      <c r="D249" s="27" t="s">
        <v>794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2456</f>
        <v>2456.0</v>
      </c>
      <c r="L249" s="34" t="s">
        <v>48</v>
      </c>
      <c r="M249" s="33" t="n">
        <f>2523</f>
        <v>2523.0</v>
      </c>
      <c r="N249" s="34" t="s">
        <v>61</v>
      </c>
      <c r="O249" s="33" t="n">
        <f>2303</f>
        <v>2303.0</v>
      </c>
      <c r="P249" s="34" t="s">
        <v>98</v>
      </c>
      <c r="Q249" s="33" t="n">
        <f>2348</f>
        <v>2348.0</v>
      </c>
      <c r="R249" s="34" t="s">
        <v>51</v>
      </c>
      <c r="S249" s="35" t="n">
        <f>2408.6</f>
        <v>2408.6</v>
      </c>
      <c r="T249" s="32" t="n">
        <f>1290750</f>
        <v>1290750.0</v>
      </c>
      <c r="U249" s="32" t="n">
        <f>705000</f>
        <v>705000.0</v>
      </c>
      <c r="V249" s="32" t="n">
        <f>3089935240</f>
        <v>3.08993524E9</v>
      </c>
      <c r="W249" s="32" t="n">
        <f>1691337200</f>
        <v>1.6913372E9</v>
      </c>
      <c r="X249" s="36" t="n">
        <f>20</f>
        <v>20.0</v>
      </c>
    </row>
    <row r="250">
      <c r="A250" s="27" t="s">
        <v>42</v>
      </c>
      <c r="B250" s="27" t="s">
        <v>795</v>
      </c>
      <c r="C250" s="27" t="s">
        <v>796</v>
      </c>
      <c r="D250" s="27" t="s">
        <v>797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2261</f>
        <v>2261.0</v>
      </c>
      <c r="L250" s="34" t="s">
        <v>48</v>
      </c>
      <c r="M250" s="33" t="n">
        <f>2371</f>
        <v>2371.0</v>
      </c>
      <c r="N250" s="34" t="s">
        <v>97</v>
      </c>
      <c r="O250" s="33" t="n">
        <f>2087</f>
        <v>2087.0</v>
      </c>
      <c r="P250" s="34" t="s">
        <v>98</v>
      </c>
      <c r="Q250" s="33" t="n">
        <f>2140</f>
        <v>2140.0</v>
      </c>
      <c r="R250" s="34" t="s">
        <v>51</v>
      </c>
      <c r="S250" s="35" t="n">
        <f>2196.65</f>
        <v>2196.65</v>
      </c>
      <c r="T250" s="32" t="n">
        <f>1373459</f>
        <v>1373459.0</v>
      </c>
      <c r="U250" s="32" t="n">
        <f>872000</f>
        <v>872000.0</v>
      </c>
      <c r="V250" s="32" t="n">
        <f>2970649644</f>
        <v>2.970649644E9</v>
      </c>
      <c r="W250" s="32" t="n">
        <f>1872333600</f>
        <v>1.8723336E9</v>
      </c>
      <c r="X250" s="36" t="n">
        <f>20</f>
        <v>20.0</v>
      </c>
    </row>
    <row r="251">
      <c r="A251" s="27" t="s">
        <v>42</v>
      </c>
      <c r="B251" s="27" t="s">
        <v>798</v>
      </c>
      <c r="C251" s="27" t="s">
        <v>799</v>
      </c>
      <c r="D251" s="27" t="s">
        <v>800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1562</f>
        <v>1562.0</v>
      </c>
      <c r="L251" s="34" t="s">
        <v>48</v>
      </c>
      <c r="M251" s="33" t="n">
        <f>1600</f>
        <v>1600.0</v>
      </c>
      <c r="N251" s="34" t="s">
        <v>266</v>
      </c>
      <c r="O251" s="33" t="n">
        <f>1535</f>
        <v>1535.0</v>
      </c>
      <c r="P251" s="34" t="s">
        <v>51</v>
      </c>
      <c r="Q251" s="33" t="n">
        <f>1535</f>
        <v>1535.0</v>
      </c>
      <c r="R251" s="34" t="s">
        <v>51</v>
      </c>
      <c r="S251" s="35" t="n">
        <f>1564.7</f>
        <v>1564.7</v>
      </c>
      <c r="T251" s="32" t="n">
        <f>6763258</f>
        <v>6763258.0</v>
      </c>
      <c r="U251" s="32" t="n">
        <f>6720000</f>
        <v>6720000.0</v>
      </c>
      <c r="V251" s="32" t="n">
        <f>10658218080</f>
        <v>1.065821808E10</v>
      </c>
      <c r="W251" s="32" t="n">
        <f>10590935096</f>
        <v>1.0590935096E10</v>
      </c>
      <c r="X251" s="36" t="n">
        <f>20</f>
        <v>20.0</v>
      </c>
    </row>
    <row r="252">
      <c r="A252" s="27" t="s">
        <v>42</v>
      </c>
      <c r="B252" s="27" t="s">
        <v>801</v>
      </c>
      <c r="C252" s="27" t="s">
        <v>802</v>
      </c>
      <c r="D252" s="27" t="s">
        <v>803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1055</f>
        <v>1055.0</v>
      </c>
      <c r="L252" s="34" t="s">
        <v>48</v>
      </c>
      <c r="M252" s="33" t="n">
        <f>1090</f>
        <v>1090.0</v>
      </c>
      <c r="N252" s="34" t="s">
        <v>90</v>
      </c>
      <c r="O252" s="33" t="n">
        <f>1025</f>
        <v>1025.0</v>
      </c>
      <c r="P252" s="34" t="s">
        <v>50</v>
      </c>
      <c r="Q252" s="33" t="n">
        <f>1054</f>
        <v>1054.0</v>
      </c>
      <c r="R252" s="34" t="s">
        <v>51</v>
      </c>
      <c r="S252" s="35" t="n">
        <f>1052.85</f>
        <v>1052.85</v>
      </c>
      <c r="T252" s="32" t="n">
        <f>111144</f>
        <v>111144.0</v>
      </c>
      <c r="U252" s="32" t="str">
        <f>"－"</f>
        <v>－</v>
      </c>
      <c r="V252" s="32" t="n">
        <f>117311069</f>
        <v>1.17311069E8</v>
      </c>
      <c r="W252" s="32" t="str">
        <f>"－"</f>
        <v>－</v>
      </c>
      <c r="X252" s="36" t="n">
        <f>20</f>
        <v>20.0</v>
      </c>
    </row>
    <row r="253">
      <c r="A253" s="27" t="s">
        <v>42</v>
      </c>
      <c r="B253" s="27" t="s">
        <v>804</v>
      </c>
      <c r="C253" s="27" t="s">
        <v>805</v>
      </c>
      <c r="D253" s="27" t="s">
        <v>806</v>
      </c>
      <c r="E253" s="28" t="s">
        <v>807</v>
      </c>
      <c r="F253" s="29" t="s">
        <v>808</v>
      </c>
      <c r="G253" s="30" t="s">
        <v>809</v>
      </c>
      <c r="H253" s="31"/>
      <c r="I253" s="31" t="s">
        <v>47</v>
      </c>
      <c r="J253" s="32" t="n">
        <v>10.0</v>
      </c>
      <c r="K253" s="33" t="n">
        <f>982</f>
        <v>982.0</v>
      </c>
      <c r="L253" s="34" t="s">
        <v>279</v>
      </c>
      <c r="M253" s="33" t="n">
        <f>999</f>
        <v>999.0</v>
      </c>
      <c r="N253" s="34" t="s">
        <v>279</v>
      </c>
      <c r="O253" s="33" t="n">
        <f>951</f>
        <v>951.0</v>
      </c>
      <c r="P253" s="34" t="s">
        <v>98</v>
      </c>
      <c r="Q253" s="33" t="n">
        <f>964</f>
        <v>964.0</v>
      </c>
      <c r="R253" s="34" t="s">
        <v>51</v>
      </c>
      <c r="S253" s="35" t="n">
        <f>967.13</f>
        <v>967.13</v>
      </c>
      <c r="T253" s="32" t="n">
        <f>31370</f>
        <v>31370.0</v>
      </c>
      <c r="U253" s="32" t="str">
        <f>"－"</f>
        <v>－</v>
      </c>
      <c r="V253" s="32" t="n">
        <f>30268780</f>
        <v>3.026878E7</v>
      </c>
      <c r="W253" s="32" t="str">
        <f>"－"</f>
        <v>－</v>
      </c>
      <c r="X253" s="36" t="n">
        <f>16</f>
        <v>16.0</v>
      </c>
    </row>
    <row r="254">
      <c r="A254" s="27" t="s">
        <v>42</v>
      </c>
      <c r="B254" s="27" t="s">
        <v>810</v>
      </c>
      <c r="C254" s="27" t="s">
        <v>811</v>
      </c>
      <c r="D254" s="27" t="s">
        <v>812</v>
      </c>
      <c r="E254" s="28" t="s">
        <v>807</v>
      </c>
      <c r="F254" s="29" t="s">
        <v>808</v>
      </c>
      <c r="G254" s="30" t="s">
        <v>813</v>
      </c>
      <c r="H254" s="31"/>
      <c r="I254" s="31" t="s">
        <v>47</v>
      </c>
      <c r="J254" s="32" t="n">
        <v>10.0</v>
      </c>
      <c r="K254" s="33" t="n">
        <f>295</f>
        <v>295.0</v>
      </c>
      <c r="L254" s="34" t="s">
        <v>62</v>
      </c>
      <c r="M254" s="33" t="n">
        <f>356</f>
        <v>356.0</v>
      </c>
      <c r="N254" s="34" t="s">
        <v>266</v>
      </c>
      <c r="O254" s="33" t="n">
        <f>210</f>
        <v>210.0</v>
      </c>
      <c r="P254" s="34" t="s">
        <v>98</v>
      </c>
      <c r="Q254" s="33" t="n">
        <f>216</f>
        <v>216.0</v>
      </c>
      <c r="R254" s="34" t="s">
        <v>51</v>
      </c>
      <c r="S254" s="35" t="n">
        <f>220.08</f>
        <v>220.08</v>
      </c>
      <c r="T254" s="32" t="n">
        <f>1331400</f>
        <v>1331400.0</v>
      </c>
      <c r="U254" s="32" t="str">
        <f>"－"</f>
        <v>－</v>
      </c>
      <c r="V254" s="32" t="n">
        <f>306747580</f>
        <v>3.0674758E8</v>
      </c>
      <c r="W254" s="32" t="str">
        <f>"－"</f>
        <v>－</v>
      </c>
      <c r="X254" s="36" t="n">
        <f>12</f>
        <v>12.0</v>
      </c>
    </row>
    <row r="255">
      <c r="A255" s="27" t="s">
        <v>42</v>
      </c>
      <c r="B255" s="27" t="s">
        <v>814</v>
      </c>
      <c r="C255" s="27" t="s">
        <v>815</v>
      </c>
      <c r="D255" s="27" t="s">
        <v>816</v>
      </c>
      <c r="E255" s="28" t="s">
        <v>807</v>
      </c>
      <c r="F255" s="29" t="s">
        <v>808</v>
      </c>
      <c r="G255" s="30" t="s">
        <v>817</v>
      </c>
      <c r="H255" s="31"/>
      <c r="I255" s="31" t="s">
        <v>47</v>
      </c>
      <c r="J255" s="32" t="n">
        <v>10.0</v>
      </c>
      <c r="K255" s="33" t="n">
        <f>1970</f>
        <v>1970.0</v>
      </c>
      <c r="L255" s="34" t="s">
        <v>98</v>
      </c>
      <c r="M255" s="33" t="n">
        <f>2170</f>
        <v>2170.0</v>
      </c>
      <c r="N255" s="34" t="s">
        <v>49</v>
      </c>
      <c r="O255" s="33" t="n">
        <f>1953</f>
        <v>1953.0</v>
      </c>
      <c r="P255" s="34" t="s">
        <v>98</v>
      </c>
      <c r="Q255" s="33" t="n">
        <f>2035</f>
        <v>2035.0</v>
      </c>
      <c r="R255" s="34" t="s">
        <v>51</v>
      </c>
      <c r="S255" s="35" t="n">
        <f>2020.6</f>
        <v>2020.6</v>
      </c>
      <c r="T255" s="32" t="n">
        <f>266380</f>
        <v>266380.0</v>
      </c>
      <c r="U255" s="32" t="str">
        <f>"－"</f>
        <v>－</v>
      </c>
      <c r="V255" s="32" t="n">
        <f>539414460</f>
        <v>5.3941446E8</v>
      </c>
      <c r="W255" s="32" t="str">
        <f>"－"</f>
        <v>－</v>
      </c>
      <c r="X255" s="36" t="n">
        <f>5</f>
        <v>5.0</v>
      </c>
    </row>
    <row r="256">
      <c r="A256" s="27" t="s">
        <v>42</v>
      </c>
      <c r="B256" s="27" t="s">
        <v>818</v>
      </c>
      <c r="C256" s="27" t="s">
        <v>819</v>
      </c>
      <c r="D256" s="27" t="s">
        <v>820</v>
      </c>
      <c r="E256" s="28" t="s">
        <v>807</v>
      </c>
      <c r="F256" s="29" t="s">
        <v>808</v>
      </c>
      <c r="G256" s="30" t="s">
        <v>817</v>
      </c>
      <c r="H256" s="31"/>
      <c r="I256" s="31" t="s">
        <v>47</v>
      </c>
      <c r="J256" s="32" t="n">
        <v>10.0</v>
      </c>
      <c r="K256" s="33" t="n">
        <f>1963</f>
        <v>1963.0</v>
      </c>
      <c r="L256" s="34" t="s">
        <v>98</v>
      </c>
      <c r="M256" s="33" t="n">
        <f>2070</f>
        <v>2070.0</v>
      </c>
      <c r="N256" s="34" t="s">
        <v>49</v>
      </c>
      <c r="O256" s="33" t="n">
        <f>1943</f>
        <v>1943.0</v>
      </c>
      <c r="P256" s="34" t="s">
        <v>98</v>
      </c>
      <c r="Q256" s="33" t="n">
        <f>2024</f>
        <v>2024.0</v>
      </c>
      <c r="R256" s="34" t="s">
        <v>51</v>
      </c>
      <c r="S256" s="35" t="n">
        <f>2010</f>
        <v>2010.0</v>
      </c>
      <c r="T256" s="32" t="n">
        <f>361720</f>
        <v>361720.0</v>
      </c>
      <c r="U256" s="32" t="n">
        <f>325000</f>
        <v>325000.0</v>
      </c>
      <c r="V256" s="32" t="n">
        <f>721780110</f>
        <v>7.2178011E8</v>
      </c>
      <c r="W256" s="32" t="n">
        <f>648053500</f>
        <v>6.480535E8</v>
      </c>
      <c r="X256" s="36" t="n">
        <f>5</f>
        <v>5.0</v>
      </c>
    </row>
    <row r="257">
      <c r="A257" s="27" t="s">
        <v>42</v>
      </c>
      <c r="B257" s="27" t="s">
        <v>821</v>
      </c>
      <c r="C257" s="27" t="s">
        <v>822</v>
      </c>
      <c r="D257" s="27" t="s">
        <v>823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102100</f>
        <v>102100.0</v>
      </c>
      <c r="L257" s="34" t="s">
        <v>48</v>
      </c>
      <c r="M257" s="33" t="n">
        <f>109800</f>
        <v>109800.0</v>
      </c>
      <c r="N257" s="34" t="s">
        <v>49</v>
      </c>
      <c r="O257" s="33" t="n">
        <f>99700</f>
        <v>99700.0</v>
      </c>
      <c r="P257" s="34" t="s">
        <v>97</v>
      </c>
      <c r="Q257" s="33" t="n">
        <f>109600</f>
        <v>109600.0</v>
      </c>
      <c r="R257" s="34" t="s">
        <v>51</v>
      </c>
      <c r="S257" s="35" t="n">
        <f>103140</f>
        <v>103140.0</v>
      </c>
      <c r="T257" s="32" t="n">
        <f>22803</f>
        <v>22803.0</v>
      </c>
      <c r="U257" s="32" t="n">
        <f>3559</f>
        <v>3559.0</v>
      </c>
      <c r="V257" s="32" t="n">
        <f>2364556256</f>
        <v>2.364556256E9</v>
      </c>
      <c r="W257" s="32" t="n">
        <f>372957456</f>
        <v>3.72957456E8</v>
      </c>
      <c r="X257" s="36" t="n">
        <f>20</f>
        <v>20.0</v>
      </c>
    </row>
    <row r="258">
      <c r="A258" s="27" t="s">
        <v>42</v>
      </c>
      <c r="B258" s="27" t="s">
        <v>824</v>
      </c>
      <c r="C258" s="27" t="s">
        <v>825</v>
      </c>
      <c r="D258" s="27" t="s">
        <v>826</v>
      </c>
      <c r="E258" s="28" t="s">
        <v>46</v>
      </c>
      <c r="F258" s="29" t="s">
        <v>46</v>
      </c>
      <c r="G258" s="30" t="s">
        <v>46</v>
      </c>
      <c r="H258" s="31"/>
      <c r="I258" s="31" t="s">
        <v>629</v>
      </c>
      <c r="J258" s="32" t="n">
        <v>1.0</v>
      </c>
      <c r="K258" s="33" t="n">
        <f>91800</f>
        <v>91800.0</v>
      </c>
      <c r="L258" s="34" t="s">
        <v>48</v>
      </c>
      <c r="M258" s="33" t="n">
        <f>101900</f>
        <v>101900.0</v>
      </c>
      <c r="N258" s="34" t="s">
        <v>49</v>
      </c>
      <c r="O258" s="33" t="n">
        <f>90100</f>
        <v>90100.0</v>
      </c>
      <c r="P258" s="34" t="s">
        <v>266</v>
      </c>
      <c r="Q258" s="33" t="n">
        <f>99100</f>
        <v>99100.0</v>
      </c>
      <c r="R258" s="34" t="s">
        <v>51</v>
      </c>
      <c r="S258" s="35" t="n">
        <f>93995</f>
        <v>93995.0</v>
      </c>
      <c r="T258" s="32" t="n">
        <f>29780</f>
        <v>29780.0</v>
      </c>
      <c r="U258" s="32" t="n">
        <f>7887</f>
        <v>7887.0</v>
      </c>
      <c r="V258" s="32" t="n">
        <f>2782829241</f>
        <v>2.782829241E9</v>
      </c>
      <c r="W258" s="32" t="n">
        <f>726314041</f>
        <v>7.26314041E8</v>
      </c>
      <c r="X258" s="36" t="n">
        <f>20</f>
        <v>20.0</v>
      </c>
    </row>
    <row r="259">
      <c r="A259" s="27" t="s">
        <v>42</v>
      </c>
      <c r="B259" s="27" t="s">
        <v>827</v>
      </c>
      <c r="C259" s="27" t="s">
        <v>828</v>
      </c>
      <c r="D259" s="27" t="s">
        <v>829</v>
      </c>
      <c r="E259" s="28" t="s">
        <v>46</v>
      </c>
      <c r="F259" s="29" t="s">
        <v>46</v>
      </c>
      <c r="G259" s="30" t="s">
        <v>46</v>
      </c>
      <c r="H259" s="31"/>
      <c r="I259" s="31" t="s">
        <v>629</v>
      </c>
      <c r="J259" s="32" t="n">
        <v>1.0</v>
      </c>
      <c r="K259" s="33" t="n">
        <f>137000</f>
        <v>137000.0</v>
      </c>
      <c r="L259" s="34" t="s">
        <v>48</v>
      </c>
      <c r="M259" s="33" t="n">
        <f>142100</f>
        <v>142100.0</v>
      </c>
      <c r="N259" s="34" t="s">
        <v>49</v>
      </c>
      <c r="O259" s="33" t="n">
        <f>129200</f>
        <v>129200.0</v>
      </c>
      <c r="P259" s="34" t="s">
        <v>50</v>
      </c>
      <c r="Q259" s="33" t="n">
        <f>139300</f>
        <v>139300.0</v>
      </c>
      <c r="R259" s="34" t="s">
        <v>51</v>
      </c>
      <c r="S259" s="35" t="n">
        <f>136565</f>
        <v>136565.0</v>
      </c>
      <c r="T259" s="32" t="n">
        <f>44906</f>
        <v>44906.0</v>
      </c>
      <c r="U259" s="32" t="n">
        <f>9552</f>
        <v>9552.0</v>
      </c>
      <c r="V259" s="32" t="n">
        <f>6170575154</f>
        <v>6.170575154E9</v>
      </c>
      <c r="W259" s="32" t="n">
        <f>1310347854</f>
        <v>1.310347854E9</v>
      </c>
      <c r="X259" s="36" t="n">
        <f>20</f>
        <v>20.0</v>
      </c>
    </row>
    <row r="260">
      <c r="A260" s="27" t="s">
        <v>42</v>
      </c>
      <c r="B260" s="27" t="s">
        <v>830</v>
      </c>
      <c r="C260" s="27" t="s">
        <v>831</v>
      </c>
      <c r="D260" s="27" t="s">
        <v>832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653000</f>
        <v>653000.0</v>
      </c>
      <c r="L260" s="34" t="s">
        <v>48</v>
      </c>
      <c r="M260" s="33" t="n">
        <f>663000</f>
        <v>663000.0</v>
      </c>
      <c r="N260" s="34" t="s">
        <v>61</v>
      </c>
      <c r="O260" s="33" t="n">
        <f>593000</f>
        <v>593000.0</v>
      </c>
      <c r="P260" s="34" t="s">
        <v>90</v>
      </c>
      <c r="Q260" s="33" t="n">
        <f>607000</f>
        <v>607000.0</v>
      </c>
      <c r="R260" s="34" t="s">
        <v>51</v>
      </c>
      <c r="S260" s="35" t="n">
        <f>621400</f>
        <v>621400.0</v>
      </c>
      <c r="T260" s="32" t="n">
        <f>50665</f>
        <v>50665.0</v>
      </c>
      <c r="U260" s="32" t="n">
        <f>11908</f>
        <v>11908.0</v>
      </c>
      <c r="V260" s="32" t="n">
        <f>31398375793</f>
        <v>3.1398375793E10</v>
      </c>
      <c r="W260" s="32" t="n">
        <f>7384894793</f>
        <v>7.384894793E9</v>
      </c>
      <c r="X260" s="36" t="n">
        <f>20</f>
        <v>20.0</v>
      </c>
    </row>
    <row r="261">
      <c r="A261" s="27" t="s">
        <v>42</v>
      </c>
      <c r="B261" s="27" t="s">
        <v>833</v>
      </c>
      <c r="C261" s="27" t="s">
        <v>834</v>
      </c>
      <c r="D261" s="27" t="s">
        <v>835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79100</f>
        <v>79100.0</v>
      </c>
      <c r="L261" s="34" t="s">
        <v>48</v>
      </c>
      <c r="M261" s="33" t="n">
        <f>82600</f>
        <v>82600.0</v>
      </c>
      <c r="N261" s="34" t="s">
        <v>49</v>
      </c>
      <c r="O261" s="33" t="n">
        <f>73700</f>
        <v>73700.0</v>
      </c>
      <c r="P261" s="34" t="s">
        <v>62</v>
      </c>
      <c r="Q261" s="33" t="n">
        <f>81100</f>
        <v>81100.0</v>
      </c>
      <c r="R261" s="34" t="s">
        <v>51</v>
      </c>
      <c r="S261" s="35" t="n">
        <f>78140</f>
        <v>78140.0</v>
      </c>
      <c r="T261" s="32" t="n">
        <f>302121</f>
        <v>302121.0</v>
      </c>
      <c r="U261" s="32" t="n">
        <f>32810</f>
        <v>32810.0</v>
      </c>
      <c r="V261" s="32" t="n">
        <f>23561614816</f>
        <v>2.3561614816E10</v>
      </c>
      <c r="W261" s="32" t="n">
        <f>2562037516</f>
        <v>2.562037516E9</v>
      </c>
      <c r="X261" s="36" t="n">
        <f>20</f>
        <v>20.0</v>
      </c>
    </row>
    <row r="262">
      <c r="A262" s="27" t="s">
        <v>42</v>
      </c>
      <c r="B262" s="27" t="s">
        <v>836</v>
      </c>
      <c r="C262" s="27" t="s">
        <v>837</v>
      </c>
      <c r="D262" s="27" t="s">
        <v>838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132500</f>
        <v>132500.0</v>
      </c>
      <c r="L262" s="34" t="s">
        <v>48</v>
      </c>
      <c r="M262" s="33" t="n">
        <f>139600</f>
        <v>139600.0</v>
      </c>
      <c r="N262" s="34" t="s">
        <v>86</v>
      </c>
      <c r="O262" s="33" t="n">
        <f>130400</f>
        <v>130400.0</v>
      </c>
      <c r="P262" s="34" t="s">
        <v>50</v>
      </c>
      <c r="Q262" s="33" t="n">
        <f>136900</f>
        <v>136900.0</v>
      </c>
      <c r="R262" s="34" t="s">
        <v>51</v>
      </c>
      <c r="S262" s="35" t="n">
        <f>134950</f>
        <v>134950.0</v>
      </c>
      <c r="T262" s="32" t="n">
        <f>179365</f>
        <v>179365.0</v>
      </c>
      <c r="U262" s="32" t="n">
        <f>39238</f>
        <v>39238.0</v>
      </c>
      <c r="V262" s="32" t="n">
        <f>24104399046</f>
        <v>2.4104399046E10</v>
      </c>
      <c r="W262" s="32" t="n">
        <f>5261009546</f>
        <v>5.261009546E9</v>
      </c>
      <c r="X262" s="36" t="n">
        <f>20</f>
        <v>20.0</v>
      </c>
    </row>
    <row r="263">
      <c r="A263" s="27" t="s">
        <v>42</v>
      </c>
      <c r="B263" s="27" t="s">
        <v>839</v>
      </c>
      <c r="C263" s="27" t="s">
        <v>840</v>
      </c>
      <c r="D263" s="27" t="s">
        <v>841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184600</f>
        <v>184600.0</v>
      </c>
      <c r="L263" s="34" t="s">
        <v>48</v>
      </c>
      <c r="M263" s="33" t="n">
        <f>190700</f>
        <v>190700.0</v>
      </c>
      <c r="N263" s="34" t="s">
        <v>180</v>
      </c>
      <c r="O263" s="33" t="n">
        <f>176000</f>
        <v>176000.0</v>
      </c>
      <c r="P263" s="34" t="s">
        <v>50</v>
      </c>
      <c r="Q263" s="33" t="n">
        <f>180300</f>
        <v>180300.0</v>
      </c>
      <c r="R263" s="34" t="s">
        <v>51</v>
      </c>
      <c r="S263" s="35" t="n">
        <f>182670</f>
        <v>182670.0</v>
      </c>
      <c r="T263" s="32" t="n">
        <f>186912</f>
        <v>186912.0</v>
      </c>
      <c r="U263" s="32" t="n">
        <f>38263</f>
        <v>38263.0</v>
      </c>
      <c r="V263" s="32" t="n">
        <f>34220755255</f>
        <v>3.4220755255E10</v>
      </c>
      <c r="W263" s="32" t="n">
        <f>6998521755</f>
        <v>6.998521755E9</v>
      </c>
      <c r="X263" s="36" t="n">
        <f>20</f>
        <v>20.0</v>
      </c>
    </row>
    <row r="264">
      <c r="A264" s="27" t="s">
        <v>42</v>
      </c>
      <c r="B264" s="27" t="s">
        <v>842</v>
      </c>
      <c r="C264" s="27" t="s">
        <v>843</v>
      </c>
      <c r="D264" s="27" t="s">
        <v>844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314000</f>
        <v>314000.0</v>
      </c>
      <c r="L264" s="34" t="s">
        <v>48</v>
      </c>
      <c r="M264" s="33" t="n">
        <f>316500</f>
        <v>316500.0</v>
      </c>
      <c r="N264" s="34" t="s">
        <v>61</v>
      </c>
      <c r="O264" s="33" t="n">
        <f>288100</f>
        <v>288100.0</v>
      </c>
      <c r="P264" s="34" t="s">
        <v>176</v>
      </c>
      <c r="Q264" s="33" t="n">
        <f>311000</f>
        <v>311000.0</v>
      </c>
      <c r="R264" s="34" t="s">
        <v>51</v>
      </c>
      <c r="S264" s="35" t="n">
        <f>307935</f>
        <v>307935.0</v>
      </c>
      <c r="T264" s="32" t="n">
        <f>144880</f>
        <v>144880.0</v>
      </c>
      <c r="U264" s="32" t="n">
        <f>29343</f>
        <v>29343.0</v>
      </c>
      <c r="V264" s="32" t="n">
        <f>44079897700</f>
        <v>4.40798977E10</v>
      </c>
      <c r="W264" s="32" t="n">
        <f>8888811800</f>
        <v>8.8888118E9</v>
      </c>
      <c r="X264" s="36" t="n">
        <f>20</f>
        <v>20.0</v>
      </c>
    </row>
    <row r="265">
      <c r="A265" s="27" t="s">
        <v>42</v>
      </c>
      <c r="B265" s="27" t="s">
        <v>845</v>
      </c>
      <c r="C265" s="27" t="s">
        <v>846</v>
      </c>
      <c r="D265" s="27" t="s">
        <v>847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188600</f>
        <v>188600.0</v>
      </c>
      <c r="L265" s="34" t="s">
        <v>48</v>
      </c>
      <c r="M265" s="33" t="n">
        <f>190700</f>
        <v>190700.0</v>
      </c>
      <c r="N265" s="34" t="s">
        <v>69</v>
      </c>
      <c r="O265" s="33" t="n">
        <f>174100</f>
        <v>174100.0</v>
      </c>
      <c r="P265" s="34" t="s">
        <v>176</v>
      </c>
      <c r="Q265" s="33" t="n">
        <f>185900</f>
        <v>185900.0</v>
      </c>
      <c r="R265" s="34" t="s">
        <v>51</v>
      </c>
      <c r="S265" s="35" t="n">
        <f>186000</f>
        <v>186000.0</v>
      </c>
      <c r="T265" s="32" t="n">
        <f>91743</f>
        <v>91743.0</v>
      </c>
      <c r="U265" s="32" t="n">
        <f>15969</f>
        <v>15969.0</v>
      </c>
      <c r="V265" s="32" t="n">
        <f>16952763753</f>
        <v>1.6952763753E10</v>
      </c>
      <c r="W265" s="32" t="n">
        <f>2935481353</f>
        <v>2.935481353E9</v>
      </c>
      <c r="X265" s="36" t="n">
        <f>20</f>
        <v>20.0</v>
      </c>
    </row>
    <row r="266">
      <c r="A266" s="27" t="s">
        <v>42</v>
      </c>
      <c r="B266" s="27" t="s">
        <v>848</v>
      </c>
      <c r="C266" s="27" t="s">
        <v>849</v>
      </c>
      <c r="D266" s="27" t="s">
        <v>850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400000</f>
        <v>400000.0</v>
      </c>
      <c r="L266" s="34" t="s">
        <v>48</v>
      </c>
      <c r="M266" s="33" t="n">
        <f>411500</f>
        <v>411500.0</v>
      </c>
      <c r="N266" s="34" t="s">
        <v>49</v>
      </c>
      <c r="O266" s="33" t="n">
        <f>377500</f>
        <v>377500.0</v>
      </c>
      <c r="P266" s="34" t="s">
        <v>176</v>
      </c>
      <c r="Q266" s="33" t="n">
        <f>399500</f>
        <v>399500.0</v>
      </c>
      <c r="R266" s="34" t="s">
        <v>51</v>
      </c>
      <c r="S266" s="35" t="n">
        <f>397925</f>
        <v>397925.0</v>
      </c>
      <c r="T266" s="32" t="n">
        <f>69515</f>
        <v>69515.0</v>
      </c>
      <c r="U266" s="32" t="n">
        <f>15203</f>
        <v>15203.0</v>
      </c>
      <c r="V266" s="32" t="n">
        <f>27518457168</f>
        <v>2.7518457168E10</v>
      </c>
      <c r="W266" s="32" t="n">
        <f>6015351168</f>
        <v>6.015351168E9</v>
      </c>
      <c r="X266" s="36" t="n">
        <f>20</f>
        <v>20.0</v>
      </c>
    </row>
    <row r="267">
      <c r="A267" s="27" t="s">
        <v>42</v>
      </c>
      <c r="B267" s="27" t="s">
        <v>851</v>
      </c>
      <c r="C267" s="27" t="s">
        <v>852</v>
      </c>
      <c r="D267" s="27" t="s">
        <v>853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164500</f>
        <v>164500.0</v>
      </c>
      <c r="L267" s="34" t="s">
        <v>48</v>
      </c>
      <c r="M267" s="33" t="n">
        <f>169400</f>
        <v>169400.0</v>
      </c>
      <c r="N267" s="34" t="s">
        <v>180</v>
      </c>
      <c r="O267" s="33" t="n">
        <f>159200</f>
        <v>159200.0</v>
      </c>
      <c r="P267" s="34" t="s">
        <v>370</v>
      </c>
      <c r="Q267" s="33" t="n">
        <f>162800</f>
        <v>162800.0</v>
      </c>
      <c r="R267" s="34" t="s">
        <v>51</v>
      </c>
      <c r="S267" s="35" t="n">
        <f>164090</f>
        <v>164090.0</v>
      </c>
      <c r="T267" s="32" t="n">
        <f>431195</f>
        <v>431195.0</v>
      </c>
      <c r="U267" s="32" t="n">
        <f>88398</f>
        <v>88398.0</v>
      </c>
      <c r="V267" s="32" t="n">
        <f>70566472193</f>
        <v>7.0566472193E10</v>
      </c>
      <c r="W267" s="32" t="n">
        <f>14452808093</f>
        <v>1.4452808093E10</v>
      </c>
      <c r="X267" s="36" t="n">
        <f>20</f>
        <v>20.0</v>
      </c>
    </row>
    <row r="268">
      <c r="A268" s="27" t="s">
        <v>42</v>
      </c>
      <c r="B268" s="27" t="s">
        <v>854</v>
      </c>
      <c r="C268" s="27" t="s">
        <v>855</v>
      </c>
      <c r="D268" s="27" t="s">
        <v>856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327000</f>
        <v>327000.0</v>
      </c>
      <c r="L268" s="34" t="s">
        <v>48</v>
      </c>
      <c r="M268" s="33" t="n">
        <f>329000</f>
        <v>329000.0</v>
      </c>
      <c r="N268" s="34" t="s">
        <v>97</v>
      </c>
      <c r="O268" s="33" t="n">
        <f>295600</f>
        <v>295600.0</v>
      </c>
      <c r="P268" s="34" t="s">
        <v>98</v>
      </c>
      <c r="Q268" s="33" t="n">
        <f>307000</f>
        <v>307000.0</v>
      </c>
      <c r="R268" s="34" t="s">
        <v>51</v>
      </c>
      <c r="S268" s="35" t="n">
        <f>311575</f>
        <v>311575.0</v>
      </c>
      <c r="T268" s="32" t="n">
        <f>74210</f>
        <v>74210.0</v>
      </c>
      <c r="U268" s="32" t="n">
        <f>15711</f>
        <v>15711.0</v>
      </c>
      <c r="V268" s="32" t="n">
        <f>22936099370</f>
        <v>2.293609937E10</v>
      </c>
      <c r="W268" s="32" t="n">
        <f>4859123870</f>
        <v>4.85912387E9</v>
      </c>
      <c r="X268" s="36" t="n">
        <f>20</f>
        <v>20.0</v>
      </c>
    </row>
    <row r="269">
      <c r="A269" s="27" t="s">
        <v>42</v>
      </c>
      <c r="B269" s="27" t="s">
        <v>857</v>
      </c>
      <c r="C269" s="27" t="s">
        <v>858</v>
      </c>
      <c r="D269" s="27" t="s">
        <v>859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347500</f>
        <v>347500.0</v>
      </c>
      <c r="L269" s="34" t="s">
        <v>48</v>
      </c>
      <c r="M269" s="33" t="n">
        <f>362500</f>
        <v>362500.0</v>
      </c>
      <c r="N269" s="34" t="s">
        <v>90</v>
      </c>
      <c r="O269" s="33" t="n">
        <f>340500</f>
        <v>340500.0</v>
      </c>
      <c r="P269" s="34" t="s">
        <v>50</v>
      </c>
      <c r="Q269" s="33" t="n">
        <f>355500</f>
        <v>355500.0</v>
      </c>
      <c r="R269" s="34" t="s">
        <v>51</v>
      </c>
      <c r="S269" s="35" t="n">
        <f>350800</f>
        <v>350800.0</v>
      </c>
      <c r="T269" s="32" t="n">
        <f>191877</f>
        <v>191877.0</v>
      </c>
      <c r="U269" s="32" t="n">
        <f>43985</f>
        <v>43985.0</v>
      </c>
      <c r="V269" s="32" t="n">
        <f>67299894703</f>
        <v>6.7299894703E10</v>
      </c>
      <c r="W269" s="32" t="n">
        <f>15370692203</f>
        <v>1.5370692203E10</v>
      </c>
      <c r="X269" s="36" t="n">
        <f>20</f>
        <v>20.0</v>
      </c>
    </row>
    <row r="270">
      <c r="A270" s="27" t="s">
        <v>42</v>
      </c>
      <c r="B270" s="27" t="s">
        <v>860</v>
      </c>
      <c r="C270" s="27" t="s">
        <v>861</v>
      </c>
      <c r="D270" s="27" t="s">
        <v>862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480500</f>
        <v>480500.0</v>
      </c>
      <c r="L270" s="34" t="s">
        <v>48</v>
      </c>
      <c r="M270" s="33" t="n">
        <f>541000</f>
        <v>541000.0</v>
      </c>
      <c r="N270" s="34" t="s">
        <v>51</v>
      </c>
      <c r="O270" s="33" t="n">
        <f>467500</f>
        <v>467500.0</v>
      </c>
      <c r="P270" s="34" t="s">
        <v>97</v>
      </c>
      <c r="Q270" s="33" t="n">
        <f>529000</f>
        <v>529000.0</v>
      </c>
      <c r="R270" s="34" t="s">
        <v>51</v>
      </c>
      <c r="S270" s="35" t="n">
        <f>501600</f>
        <v>501600.0</v>
      </c>
      <c r="T270" s="32" t="n">
        <f>35385</f>
        <v>35385.0</v>
      </c>
      <c r="U270" s="32" t="n">
        <f>4767</f>
        <v>4767.0</v>
      </c>
      <c r="V270" s="32" t="n">
        <f>17782309809</f>
        <v>1.7782309809E10</v>
      </c>
      <c r="W270" s="32" t="n">
        <f>2389837809</f>
        <v>2.389837809E9</v>
      </c>
      <c r="X270" s="36" t="n">
        <f>20</f>
        <v>20.0</v>
      </c>
    </row>
    <row r="271">
      <c r="A271" s="27" t="s">
        <v>42</v>
      </c>
      <c r="B271" s="27" t="s">
        <v>863</v>
      </c>
      <c r="C271" s="27" t="s">
        <v>864</v>
      </c>
      <c r="D271" s="27" t="s">
        <v>865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257400</f>
        <v>257400.0</v>
      </c>
      <c r="L271" s="34" t="s">
        <v>48</v>
      </c>
      <c r="M271" s="33" t="n">
        <f>257400</f>
        <v>257400.0</v>
      </c>
      <c r="N271" s="34" t="s">
        <v>48</v>
      </c>
      <c r="O271" s="33" t="n">
        <f>235400</f>
        <v>235400.0</v>
      </c>
      <c r="P271" s="34" t="s">
        <v>176</v>
      </c>
      <c r="Q271" s="33" t="n">
        <f>250300</f>
        <v>250300.0</v>
      </c>
      <c r="R271" s="34" t="s">
        <v>51</v>
      </c>
      <c r="S271" s="35" t="n">
        <f>245105</f>
        <v>245105.0</v>
      </c>
      <c r="T271" s="32" t="n">
        <f>20414</f>
        <v>20414.0</v>
      </c>
      <c r="U271" s="32" t="n">
        <f>2767</f>
        <v>2767.0</v>
      </c>
      <c r="V271" s="32" t="n">
        <f>4999113781</f>
        <v>4.999113781E9</v>
      </c>
      <c r="W271" s="32" t="n">
        <f>677211181</f>
        <v>6.77211181E8</v>
      </c>
      <c r="X271" s="36" t="n">
        <f>20</f>
        <v>20.0</v>
      </c>
    </row>
    <row r="272">
      <c r="A272" s="27" t="s">
        <v>42</v>
      </c>
      <c r="B272" s="27" t="s">
        <v>866</v>
      </c>
      <c r="C272" s="27" t="s">
        <v>867</v>
      </c>
      <c r="D272" s="27" t="s">
        <v>868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115600</f>
        <v>115600.0</v>
      </c>
      <c r="L272" s="34" t="s">
        <v>48</v>
      </c>
      <c r="M272" s="33" t="n">
        <f>122700</f>
        <v>122700.0</v>
      </c>
      <c r="N272" s="34" t="s">
        <v>51</v>
      </c>
      <c r="O272" s="33" t="n">
        <f>112100</f>
        <v>112100.0</v>
      </c>
      <c r="P272" s="34" t="s">
        <v>48</v>
      </c>
      <c r="Q272" s="33" t="n">
        <f>121100</f>
        <v>121100.0</v>
      </c>
      <c r="R272" s="34" t="s">
        <v>51</v>
      </c>
      <c r="S272" s="35" t="n">
        <f>117060</f>
        <v>117060.0</v>
      </c>
      <c r="T272" s="32" t="n">
        <f>178135</f>
        <v>178135.0</v>
      </c>
      <c r="U272" s="32" t="n">
        <f>35127</f>
        <v>35127.0</v>
      </c>
      <c r="V272" s="32" t="n">
        <f>20856085710</f>
        <v>2.085608571E10</v>
      </c>
      <c r="W272" s="32" t="n">
        <f>4097044010</f>
        <v>4.09704401E9</v>
      </c>
      <c r="X272" s="36" t="n">
        <f>20</f>
        <v>20.0</v>
      </c>
    </row>
    <row r="273">
      <c r="A273" s="27" t="s">
        <v>42</v>
      </c>
      <c r="B273" s="27" t="s">
        <v>869</v>
      </c>
      <c r="C273" s="27" t="s">
        <v>870</v>
      </c>
      <c r="D273" s="27" t="s">
        <v>871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138700</f>
        <v>138700.0</v>
      </c>
      <c r="L273" s="34" t="s">
        <v>48</v>
      </c>
      <c r="M273" s="33" t="n">
        <f>144400</f>
        <v>144400.0</v>
      </c>
      <c r="N273" s="34" t="s">
        <v>49</v>
      </c>
      <c r="O273" s="33" t="n">
        <f>132300</f>
        <v>132300.0</v>
      </c>
      <c r="P273" s="34" t="s">
        <v>98</v>
      </c>
      <c r="Q273" s="33" t="n">
        <f>139300</f>
        <v>139300.0</v>
      </c>
      <c r="R273" s="34" t="s">
        <v>51</v>
      </c>
      <c r="S273" s="35" t="n">
        <f>136690</f>
        <v>136690.0</v>
      </c>
      <c r="T273" s="32" t="n">
        <f>124181</f>
        <v>124181.0</v>
      </c>
      <c r="U273" s="32" t="n">
        <f>25276</f>
        <v>25276.0</v>
      </c>
      <c r="V273" s="32" t="n">
        <f>16993169656</f>
        <v>1.6993169656E10</v>
      </c>
      <c r="W273" s="32" t="n">
        <f>3456953456</f>
        <v>3.456953456E9</v>
      </c>
      <c r="X273" s="36" t="n">
        <f>20</f>
        <v>20.0</v>
      </c>
    </row>
    <row r="274">
      <c r="A274" s="27" t="s">
        <v>42</v>
      </c>
      <c r="B274" s="27" t="s">
        <v>872</v>
      </c>
      <c r="C274" s="27" t="s">
        <v>873</v>
      </c>
      <c r="D274" s="27" t="s">
        <v>874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372500</f>
        <v>372500.0</v>
      </c>
      <c r="L274" s="34" t="s">
        <v>48</v>
      </c>
      <c r="M274" s="33" t="n">
        <f>372500</f>
        <v>372500.0</v>
      </c>
      <c r="N274" s="34" t="s">
        <v>48</v>
      </c>
      <c r="O274" s="33" t="n">
        <f>333000</f>
        <v>333000.0</v>
      </c>
      <c r="P274" s="34" t="s">
        <v>266</v>
      </c>
      <c r="Q274" s="33" t="n">
        <f>356500</f>
        <v>356500.0</v>
      </c>
      <c r="R274" s="34" t="s">
        <v>51</v>
      </c>
      <c r="S274" s="35" t="n">
        <f>352500</f>
        <v>352500.0</v>
      </c>
      <c r="T274" s="32" t="n">
        <f>46563</f>
        <v>46563.0</v>
      </c>
      <c r="U274" s="32" t="n">
        <f>8236</f>
        <v>8236.0</v>
      </c>
      <c r="V274" s="32" t="n">
        <f>16342869247</f>
        <v>1.6342869247E10</v>
      </c>
      <c r="W274" s="32" t="n">
        <f>2892002247</f>
        <v>2.892002247E9</v>
      </c>
      <c r="X274" s="36" t="n">
        <f>20</f>
        <v>20.0</v>
      </c>
    </row>
    <row r="275">
      <c r="A275" s="27" t="s">
        <v>42</v>
      </c>
      <c r="B275" s="27" t="s">
        <v>875</v>
      </c>
      <c r="C275" s="27" t="s">
        <v>876</v>
      </c>
      <c r="D275" s="27" t="s">
        <v>877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14860</f>
        <v>14860.0</v>
      </c>
      <c r="L275" s="34" t="s">
        <v>48</v>
      </c>
      <c r="M275" s="33" t="n">
        <f>14900</f>
        <v>14900.0</v>
      </c>
      <c r="N275" s="34" t="s">
        <v>48</v>
      </c>
      <c r="O275" s="33" t="n">
        <f>13540</f>
        <v>13540.0</v>
      </c>
      <c r="P275" s="34" t="s">
        <v>266</v>
      </c>
      <c r="Q275" s="33" t="n">
        <f>14540</f>
        <v>14540.0</v>
      </c>
      <c r="R275" s="34" t="s">
        <v>51</v>
      </c>
      <c r="S275" s="35" t="n">
        <f>14283</f>
        <v>14283.0</v>
      </c>
      <c r="T275" s="32" t="n">
        <f>936237</f>
        <v>936237.0</v>
      </c>
      <c r="U275" s="32" t="n">
        <f>161331</f>
        <v>161331.0</v>
      </c>
      <c r="V275" s="32" t="n">
        <f>13354153110</f>
        <v>1.335415311E10</v>
      </c>
      <c r="W275" s="32" t="n">
        <f>2299171220</f>
        <v>2.29917122E9</v>
      </c>
      <c r="X275" s="36" t="n">
        <f>20</f>
        <v>20.0</v>
      </c>
    </row>
    <row r="276">
      <c r="A276" s="27" t="s">
        <v>42</v>
      </c>
      <c r="B276" s="27" t="s">
        <v>878</v>
      </c>
      <c r="C276" s="27" t="s">
        <v>879</v>
      </c>
      <c r="D276" s="27" t="s">
        <v>880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75000</f>
        <v>75000.0</v>
      </c>
      <c r="L276" s="34" t="s">
        <v>48</v>
      </c>
      <c r="M276" s="33" t="n">
        <f>78500</f>
        <v>78500.0</v>
      </c>
      <c r="N276" s="34" t="s">
        <v>49</v>
      </c>
      <c r="O276" s="33" t="n">
        <f>70400</f>
        <v>70400.0</v>
      </c>
      <c r="P276" s="34" t="s">
        <v>62</v>
      </c>
      <c r="Q276" s="33" t="n">
        <f>77600</f>
        <v>77600.0</v>
      </c>
      <c r="R276" s="34" t="s">
        <v>51</v>
      </c>
      <c r="S276" s="35" t="n">
        <f>74650</f>
        <v>74650.0</v>
      </c>
      <c r="T276" s="32" t="n">
        <f>453499</f>
        <v>453499.0</v>
      </c>
      <c r="U276" s="32" t="n">
        <f>108482</f>
        <v>108482.0</v>
      </c>
      <c r="V276" s="32" t="n">
        <f>33713351183</f>
        <v>3.3713351183E10</v>
      </c>
      <c r="W276" s="32" t="n">
        <f>8056905383</f>
        <v>8.056905383E9</v>
      </c>
      <c r="X276" s="36" t="n">
        <f>20</f>
        <v>20.0</v>
      </c>
    </row>
    <row r="277">
      <c r="A277" s="27" t="s">
        <v>42</v>
      </c>
      <c r="B277" s="27" t="s">
        <v>881</v>
      </c>
      <c r="C277" s="27" t="s">
        <v>882</v>
      </c>
      <c r="D277" s="27" t="s">
        <v>883</v>
      </c>
      <c r="E277" s="28" t="s">
        <v>46</v>
      </c>
      <c r="F277" s="29" t="s">
        <v>46</v>
      </c>
      <c r="G277" s="30" t="s">
        <v>46</v>
      </c>
      <c r="H277" s="31"/>
      <c r="I277" s="31" t="s">
        <v>629</v>
      </c>
      <c r="J277" s="32" t="n">
        <v>1.0</v>
      </c>
      <c r="K277" s="33" t="n">
        <f>104800</f>
        <v>104800.0</v>
      </c>
      <c r="L277" s="34" t="s">
        <v>48</v>
      </c>
      <c r="M277" s="33" t="n">
        <f>110600</f>
        <v>110600.0</v>
      </c>
      <c r="N277" s="34" t="s">
        <v>51</v>
      </c>
      <c r="O277" s="33" t="n">
        <f>103900</f>
        <v>103900.0</v>
      </c>
      <c r="P277" s="34" t="s">
        <v>97</v>
      </c>
      <c r="Q277" s="33" t="n">
        <f>110000</f>
        <v>110000.0</v>
      </c>
      <c r="R277" s="34" t="s">
        <v>51</v>
      </c>
      <c r="S277" s="35" t="n">
        <f>106920</f>
        <v>106920.0</v>
      </c>
      <c r="T277" s="32" t="n">
        <f>24063</f>
        <v>24063.0</v>
      </c>
      <c r="U277" s="32" t="n">
        <f>2845</f>
        <v>2845.0</v>
      </c>
      <c r="V277" s="32" t="n">
        <f>2573717357</f>
        <v>2.573717357E9</v>
      </c>
      <c r="W277" s="32" t="n">
        <f>303110257</f>
        <v>3.03110257E8</v>
      </c>
      <c r="X277" s="36" t="n">
        <f>20</f>
        <v>20.0</v>
      </c>
    </row>
    <row r="278">
      <c r="A278" s="27" t="s">
        <v>42</v>
      </c>
      <c r="B278" s="27" t="s">
        <v>884</v>
      </c>
      <c r="C278" s="27" t="s">
        <v>885</v>
      </c>
      <c r="D278" s="27" t="s">
        <v>886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218100</f>
        <v>218100.0</v>
      </c>
      <c r="L278" s="34" t="s">
        <v>48</v>
      </c>
      <c r="M278" s="33" t="n">
        <f>219500</f>
        <v>219500.0</v>
      </c>
      <c r="N278" s="34" t="s">
        <v>279</v>
      </c>
      <c r="O278" s="33" t="n">
        <f>208600</f>
        <v>208600.0</v>
      </c>
      <c r="P278" s="34" t="s">
        <v>49</v>
      </c>
      <c r="Q278" s="33" t="n">
        <f>211100</f>
        <v>211100.0</v>
      </c>
      <c r="R278" s="34" t="s">
        <v>51</v>
      </c>
      <c r="S278" s="35" t="n">
        <f>215125</f>
        <v>215125.0</v>
      </c>
      <c r="T278" s="32" t="n">
        <f>79868</f>
        <v>79868.0</v>
      </c>
      <c r="U278" s="32" t="n">
        <f>13996</f>
        <v>13996.0</v>
      </c>
      <c r="V278" s="32" t="n">
        <f>17152737545</f>
        <v>1.7152737545E10</v>
      </c>
      <c r="W278" s="32" t="n">
        <f>2999744745</f>
        <v>2.999744745E9</v>
      </c>
      <c r="X278" s="36" t="n">
        <f>20</f>
        <v>20.0</v>
      </c>
    </row>
    <row r="279">
      <c r="A279" s="27" t="s">
        <v>42</v>
      </c>
      <c r="B279" s="27" t="s">
        <v>887</v>
      </c>
      <c r="C279" s="27" t="s">
        <v>888</v>
      </c>
      <c r="D279" s="27" t="s">
        <v>889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120500</f>
        <v>120500.0</v>
      </c>
      <c r="L279" s="34" t="s">
        <v>48</v>
      </c>
      <c r="M279" s="33" t="n">
        <f>127500</f>
        <v>127500.0</v>
      </c>
      <c r="N279" s="34" t="s">
        <v>49</v>
      </c>
      <c r="O279" s="33" t="n">
        <f>117400</f>
        <v>117400.0</v>
      </c>
      <c r="P279" s="34" t="s">
        <v>48</v>
      </c>
      <c r="Q279" s="33" t="n">
        <f>126100</f>
        <v>126100.0</v>
      </c>
      <c r="R279" s="34" t="s">
        <v>51</v>
      </c>
      <c r="S279" s="35" t="n">
        <f>122860</f>
        <v>122860.0</v>
      </c>
      <c r="T279" s="32" t="n">
        <f>19826</f>
        <v>19826.0</v>
      </c>
      <c r="U279" s="32" t="n">
        <f>4354</f>
        <v>4354.0</v>
      </c>
      <c r="V279" s="32" t="n">
        <f>2427584276</f>
        <v>2.427584276E9</v>
      </c>
      <c r="W279" s="32" t="n">
        <f>530917076</f>
        <v>5.30917076E8</v>
      </c>
      <c r="X279" s="36" t="n">
        <f>20</f>
        <v>20.0</v>
      </c>
    </row>
    <row r="280">
      <c r="A280" s="27" t="s">
        <v>42</v>
      </c>
      <c r="B280" s="27" t="s">
        <v>890</v>
      </c>
      <c r="C280" s="27" t="s">
        <v>891</v>
      </c>
      <c r="D280" s="27" t="s">
        <v>892</v>
      </c>
      <c r="E280" s="28" t="s">
        <v>46</v>
      </c>
      <c r="F280" s="29" t="s">
        <v>46</v>
      </c>
      <c r="G280" s="30" t="s">
        <v>46</v>
      </c>
      <c r="H280" s="31"/>
      <c r="I280" s="31" t="s">
        <v>629</v>
      </c>
      <c r="J280" s="32" t="n">
        <v>1.0</v>
      </c>
      <c r="K280" s="33" t="n">
        <f>99500</f>
        <v>99500.0</v>
      </c>
      <c r="L280" s="34" t="s">
        <v>48</v>
      </c>
      <c r="M280" s="33" t="n">
        <f>102300</f>
        <v>102300.0</v>
      </c>
      <c r="N280" s="34" t="s">
        <v>49</v>
      </c>
      <c r="O280" s="33" t="n">
        <f>96200</f>
        <v>96200.0</v>
      </c>
      <c r="P280" s="34" t="s">
        <v>90</v>
      </c>
      <c r="Q280" s="33" t="n">
        <f>101800</f>
        <v>101800.0</v>
      </c>
      <c r="R280" s="34" t="s">
        <v>51</v>
      </c>
      <c r="S280" s="35" t="n">
        <f>99325</f>
        <v>99325.0</v>
      </c>
      <c r="T280" s="32" t="n">
        <f>25657</f>
        <v>25657.0</v>
      </c>
      <c r="U280" s="32" t="n">
        <f>4057</f>
        <v>4057.0</v>
      </c>
      <c r="V280" s="32" t="n">
        <f>2544011815</f>
        <v>2.544011815E9</v>
      </c>
      <c r="W280" s="32" t="n">
        <f>399918015</f>
        <v>3.99918015E8</v>
      </c>
      <c r="X280" s="36" t="n">
        <f>20</f>
        <v>20.0</v>
      </c>
    </row>
    <row r="281">
      <c r="A281" s="27" t="s">
        <v>42</v>
      </c>
      <c r="B281" s="27" t="s">
        <v>893</v>
      </c>
      <c r="C281" s="27" t="s">
        <v>894</v>
      </c>
      <c r="D281" s="27" t="s">
        <v>895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135800</f>
        <v>135800.0</v>
      </c>
      <c r="L281" s="34" t="s">
        <v>48</v>
      </c>
      <c r="M281" s="33" t="n">
        <f>138000</f>
        <v>138000.0</v>
      </c>
      <c r="N281" s="34" t="s">
        <v>61</v>
      </c>
      <c r="O281" s="33" t="n">
        <f>125400</f>
        <v>125400.0</v>
      </c>
      <c r="P281" s="34" t="s">
        <v>98</v>
      </c>
      <c r="Q281" s="33" t="n">
        <f>132000</f>
        <v>132000.0</v>
      </c>
      <c r="R281" s="34" t="s">
        <v>51</v>
      </c>
      <c r="S281" s="35" t="n">
        <f>132020</f>
        <v>132020.0</v>
      </c>
      <c r="T281" s="32" t="n">
        <f>557192</f>
        <v>557192.0</v>
      </c>
      <c r="U281" s="32" t="n">
        <f>137580</f>
        <v>137580.0</v>
      </c>
      <c r="V281" s="32" t="n">
        <f>73302221810</f>
        <v>7.330222181E10</v>
      </c>
      <c r="W281" s="32" t="n">
        <f>18065916110</f>
        <v>1.806591611E10</v>
      </c>
      <c r="X281" s="36" t="n">
        <f>20</f>
        <v>20.0</v>
      </c>
    </row>
    <row r="282">
      <c r="A282" s="27" t="s">
        <v>42</v>
      </c>
      <c r="B282" s="27" t="s">
        <v>896</v>
      </c>
      <c r="C282" s="27" t="s">
        <v>897</v>
      </c>
      <c r="D282" s="27" t="s">
        <v>898</v>
      </c>
      <c r="E282" s="28" t="s">
        <v>46</v>
      </c>
      <c r="F282" s="29" t="s">
        <v>46</v>
      </c>
      <c r="G282" s="30" t="s">
        <v>46</v>
      </c>
      <c r="H282" s="31"/>
      <c r="I282" s="31" t="s">
        <v>629</v>
      </c>
      <c r="J282" s="32" t="n">
        <v>1.0</v>
      </c>
      <c r="K282" s="33" t="n">
        <f>68300</f>
        <v>68300.0</v>
      </c>
      <c r="L282" s="34" t="s">
        <v>48</v>
      </c>
      <c r="M282" s="33" t="n">
        <f>72400</f>
        <v>72400.0</v>
      </c>
      <c r="N282" s="34" t="s">
        <v>370</v>
      </c>
      <c r="O282" s="33" t="n">
        <f>65600</f>
        <v>65600.0</v>
      </c>
      <c r="P282" s="34" t="s">
        <v>48</v>
      </c>
      <c r="Q282" s="33" t="n">
        <f>67700</f>
        <v>67700.0</v>
      </c>
      <c r="R282" s="34" t="s">
        <v>51</v>
      </c>
      <c r="S282" s="35" t="n">
        <f>69325</f>
        <v>69325.0</v>
      </c>
      <c r="T282" s="32" t="n">
        <f>35807</f>
        <v>35807.0</v>
      </c>
      <c r="U282" s="32" t="n">
        <f>2813</f>
        <v>2813.0</v>
      </c>
      <c r="V282" s="32" t="n">
        <f>2472549113</f>
        <v>2.472549113E9</v>
      </c>
      <c r="W282" s="32" t="n">
        <f>194291513</f>
        <v>1.94291513E8</v>
      </c>
      <c r="X282" s="36" t="n">
        <f>20</f>
        <v>20.0</v>
      </c>
    </row>
    <row r="283">
      <c r="A283" s="27" t="s">
        <v>42</v>
      </c>
      <c r="B283" s="27" t="s">
        <v>899</v>
      </c>
      <c r="C283" s="27" t="s">
        <v>900</v>
      </c>
      <c r="D283" s="27" t="s">
        <v>901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178300</f>
        <v>178300.0</v>
      </c>
      <c r="L283" s="34" t="s">
        <v>48</v>
      </c>
      <c r="M283" s="33" t="n">
        <f>184900</f>
        <v>184900.0</v>
      </c>
      <c r="N283" s="34" t="s">
        <v>48</v>
      </c>
      <c r="O283" s="33" t="n">
        <f>170500</f>
        <v>170500.0</v>
      </c>
      <c r="P283" s="34" t="s">
        <v>175</v>
      </c>
      <c r="Q283" s="33" t="n">
        <f>176200</f>
        <v>176200.0</v>
      </c>
      <c r="R283" s="34" t="s">
        <v>51</v>
      </c>
      <c r="S283" s="35" t="n">
        <f>175920</f>
        <v>175920.0</v>
      </c>
      <c r="T283" s="32" t="n">
        <f>373346</f>
        <v>373346.0</v>
      </c>
      <c r="U283" s="32" t="n">
        <f>88928</f>
        <v>88928.0</v>
      </c>
      <c r="V283" s="32" t="n">
        <f>66642650378</f>
        <v>6.6642650378E10</v>
      </c>
      <c r="W283" s="32" t="n">
        <f>15947791378</f>
        <v>1.5947791378E10</v>
      </c>
      <c r="X283" s="36" t="n">
        <f>20</f>
        <v>20.0</v>
      </c>
    </row>
    <row r="284">
      <c r="A284" s="27" t="s">
        <v>42</v>
      </c>
      <c r="B284" s="27" t="s">
        <v>902</v>
      </c>
      <c r="C284" s="27" t="s">
        <v>903</v>
      </c>
      <c r="D284" s="27" t="s">
        <v>904</v>
      </c>
      <c r="E284" s="28" t="s">
        <v>46</v>
      </c>
      <c r="F284" s="29" t="s">
        <v>46</v>
      </c>
      <c r="G284" s="30" t="s">
        <v>46</v>
      </c>
      <c r="H284" s="31"/>
      <c r="I284" s="31" t="s">
        <v>629</v>
      </c>
      <c r="J284" s="32" t="n">
        <v>1.0</v>
      </c>
      <c r="K284" s="33" t="n">
        <f>43750</f>
        <v>43750.0</v>
      </c>
      <c r="L284" s="34" t="s">
        <v>48</v>
      </c>
      <c r="M284" s="33" t="n">
        <f>45100</f>
        <v>45100.0</v>
      </c>
      <c r="N284" s="34" t="s">
        <v>90</v>
      </c>
      <c r="O284" s="33" t="n">
        <f>42050</f>
        <v>42050.0</v>
      </c>
      <c r="P284" s="34" t="s">
        <v>266</v>
      </c>
      <c r="Q284" s="33" t="n">
        <f>43850</f>
        <v>43850.0</v>
      </c>
      <c r="R284" s="34" t="s">
        <v>51</v>
      </c>
      <c r="S284" s="35" t="n">
        <f>43432.5</f>
        <v>43432.5</v>
      </c>
      <c r="T284" s="32" t="n">
        <f>146042</f>
        <v>146042.0</v>
      </c>
      <c r="U284" s="32" t="n">
        <f>19052</f>
        <v>19052.0</v>
      </c>
      <c r="V284" s="32" t="n">
        <f>6354544389</f>
        <v>6.354544389E9</v>
      </c>
      <c r="W284" s="32" t="n">
        <f>829549439</f>
        <v>8.29549439E8</v>
      </c>
      <c r="X284" s="36" t="n">
        <f>20</f>
        <v>20.0</v>
      </c>
    </row>
    <row r="285">
      <c r="A285" s="27" t="s">
        <v>42</v>
      </c>
      <c r="B285" s="27" t="s">
        <v>905</v>
      </c>
      <c r="C285" s="27" t="s">
        <v>906</v>
      </c>
      <c r="D285" s="27" t="s">
        <v>907</v>
      </c>
      <c r="E285" s="28" t="s">
        <v>46</v>
      </c>
      <c r="F285" s="29" t="s">
        <v>46</v>
      </c>
      <c r="G285" s="30" t="s">
        <v>46</v>
      </c>
      <c r="H285" s="31"/>
      <c r="I285" s="31" t="s">
        <v>629</v>
      </c>
      <c r="J285" s="32" t="n">
        <v>1.0</v>
      </c>
      <c r="K285" s="33" t="n">
        <f>104400</f>
        <v>104400.0</v>
      </c>
      <c r="L285" s="34" t="s">
        <v>48</v>
      </c>
      <c r="M285" s="33" t="n">
        <f>108200</f>
        <v>108200.0</v>
      </c>
      <c r="N285" s="34" t="s">
        <v>51</v>
      </c>
      <c r="O285" s="33" t="n">
        <f>100700</f>
        <v>100700.0</v>
      </c>
      <c r="P285" s="34" t="s">
        <v>266</v>
      </c>
      <c r="Q285" s="33" t="n">
        <f>106900</f>
        <v>106900.0</v>
      </c>
      <c r="R285" s="34" t="s">
        <v>51</v>
      </c>
      <c r="S285" s="35" t="n">
        <f>103665</f>
        <v>103665.0</v>
      </c>
      <c r="T285" s="32" t="n">
        <f>9637</f>
        <v>9637.0</v>
      </c>
      <c r="U285" s="32" t="n">
        <f>1034</f>
        <v>1034.0</v>
      </c>
      <c r="V285" s="32" t="n">
        <f>997533854</f>
        <v>9.97533854E8</v>
      </c>
      <c r="W285" s="32" t="n">
        <f>106911254</f>
        <v>1.06911254E8</v>
      </c>
      <c r="X285" s="36" t="n">
        <f>20</f>
        <v>20.0</v>
      </c>
    </row>
    <row r="286">
      <c r="A286" s="27" t="s">
        <v>42</v>
      </c>
      <c r="B286" s="27" t="s">
        <v>908</v>
      </c>
      <c r="C286" s="27" t="s">
        <v>909</v>
      </c>
      <c r="D286" s="27" t="s">
        <v>910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529000</f>
        <v>529000.0</v>
      </c>
      <c r="L286" s="34" t="s">
        <v>48</v>
      </c>
      <c r="M286" s="33" t="n">
        <f>561000</f>
        <v>561000.0</v>
      </c>
      <c r="N286" s="34" t="s">
        <v>90</v>
      </c>
      <c r="O286" s="33" t="n">
        <f>497000</f>
        <v>497000.0</v>
      </c>
      <c r="P286" s="34" t="s">
        <v>51</v>
      </c>
      <c r="Q286" s="33" t="n">
        <f>502000</f>
        <v>502000.0</v>
      </c>
      <c r="R286" s="34" t="s">
        <v>51</v>
      </c>
      <c r="S286" s="35" t="n">
        <f>526750</f>
        <v>526750.0</v>
      </c>
      <c r="T286" s="32" t="n">
        <f>63386</f>
        <v>63386.0</v>
      </c>
      <c r="U286" s="32" t="n">
        <f>7079</f>
        <v>7079.0</v>
      </c>
      <c r="V286" s="32" t="n">
        <f>33043087169</f>
        <v>3.3043087169E10</v>
      </c>
      <c r="W286" s="32" t="n">
        <f>3746609669</f>
        <v>3.746609669E9</v>
      </c>
      <c r="X286" s="36" t="n">
        <f>20</f>
        <v>20.0</v>
      </c>
    </row>
    <row r="287">
      <c r="A287" s="27" t="s">
        <v>42</v>
      </c>
      <c r="B287" s="27" t="s">
        <v>911</v>
      </c>
      <c r="C287" s="27" t="s">
        <v>912</v>
      </c>
      <c r="D287" s="27" t="s">
        <v>913</v>
      </c>
      <c r="E287" s="28" t="s">
        <v>46</v>
      </c>
      <c r="F287" s="29" t="s">
        <v>46</v>
      </c>
      <c r="G287" s="30" t="s">
        <v>46</v>
      </c>
      <c r="H287" s="31"/>
      <c r="I287" s="31" t="s">
        <v>629</v>
      </c>
      <c r="J287" s="32" t="n">
        <v>1.0</v>
      </c>
      <c r="K287" s="33" t="n">
        <f>65300</f>
        <v>65300.0</v>
      </c>
      <c r="L287" s="34" t="s">
        <v>48</v>
      </c>
      <c r="M287" s="33" t="n">
        <f>71300</f>
        <v>71300.0</v>
      </c>
      <c r="N287" s="34" t="s">
        <v>49</v>
      </c>
      <c r="O287" s="33" t="n">
        <f>62300</f>
        <v>62300.0</v>
      </c>
      <c r="P287" s="34" t="s">
        <v>69</v>
      </c>
      <c r="Q287" s="33" t="n">
        <f>69900</f>
        <v>69900.0</v>
      </c>
      <c r="R287" s="34" t="s">
        <v>51</v>
      </c>
      <c r="S287" s="35" t="n">
        <f>65335</f>
        <v>65335.0</v>
      </c>
      <c r="T287" s="32" t="n">
        <f>23800</f>
        <v>23800.0</v>
      </c>
      <c r="U287" s="32" t="n">
        <f>3466</f>
        <v>3466.0</v>
      </c>
      <c r="V287" s="32" t="n">
        <f>1565799235</f>
        <v>1.565799235E9</v>
      </c>
      <c r="W287" s="32" t="n">
        <f>230107835</f>
        <v>2.30107835E8</v>
      </c>
      <c r="X287" s="36" t="n">
        <f>20</f>
        <v>20.0</v>
      </c>
    </row>
    <row r="288">
      <c r="A288" s="27" t="s">
        <v>42</v>
      </c>
      <c r="B288" s="27" t="s">
        <v>914</v>
      </c>
      <c r="C288" s="27" t="s">
        <v>915</v>
      </c>
      <c r="D288" s="27" t="s">
        <v>916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37650</f>
        <v>37650.0</v>
      </c>
      <c r="L288" s="34" t="s">
        <v>48</v>
      </c>
      <c r="M288" s="33" t="n">
        <f>41000</f>
        <v>41000.0</v>
      </c>
      <c r="N288" s="34" t="s">
        <v>90</v>
      </c>
      <c r="O288" s="33" t="n">
        <f>36750</f>
        <v>36750.0</v>
      </c>
      <c r="P288" s="34" t="s">
        <v>48</v>
      </c>
      <c r="Q288" s="33" t="n">
        <f>39800</f>
        <v>39800.0</v>
      </c>
      <c r="R288" s="34" t="s">
        <v>51</v>
      </c>
      <c r="S288" s="35" t="n">
        <f>38655</f>
        <v>38655.0</v>
      </c>
      <c r="T288" s="32" t="n">
        <f>257366</f>
        <v>257366.0</v>
      </c>
      <c r="U288" s="32" t="n">
        <f>24509</f>
        <v>24509.0</v>
      </c>
      <c r="V288" s="32" t="n">
        <f>9984692604</f>
        <v>9.984692604E9</v>
      </c>
      <c r="W288" s="32" t="n">
        <f>948801154</f>
        <v>9.48801154E8</v>
      </c>
      <c r="X288" s="36" t="n">
        <f>20</f>
        <v>20.0</v>
      </c>
    </row>
    <row r="289">
      <c r="A289" s="27" t="s">
        <v>42</v>
      </c>
      <c r="B289" s="27" t="s">
        <v>917</v>
      </c>
      <c r="C289" s="27" t="s">
        <v>918</v>
      </c>
      <c r="D289" s="27" t="s">
        <v>919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102700</f>
        <v>102700.0</v>
      </c>
      <c r="L289" s="34" t="s">
        <v>48</v>
      </c>
      <c r="M289" s="33" t="n">
        <f>115200</f>
        <v>115200.0</v>
      </c>
      <c r="N289" s="34" t="s">
        <v>90</v>
      </c>
      <c r="O289" s="33" t="n">
        <f>100200</f>
        <v>100200.0</v>
      </c>
      <c r="P289" s="34" t="s">
        <v>48</v>
      </c>
      <c r="Q289" s="33" t="n">
        <f>108900</f>
        <v>108900.0</v>
      </c>
      <c r="R289" s="34" t="s">
        <v>51</v>
      </c>
      <c r="S289" s="35" t="n">
        <f>107645</f>
        <v>107645.0</v>
      </c>
      <c r="T289" s="32" t="n">
        <f>56214</f>
        <v>56214.0</v>
      </c>
      <c r="U289" s="32" t="n">
        <f>9235</f>
        <v>9235.0</v>
      </c>
      <c r="V289" s="32" t="n">
        <f>6082435793</f>
        <v>6.082435793E9</v>
      </c>
      <c r="W289" s="32" t="n">
        <f>998008393</f>
        <v>9.98008393E8</v>
      </c>
      <c r="X289" s="36" t="n">
        <f>20</f>
        <v>20.0</v>
      </c>
    </row>
    <row r="290">
      <c r="A290" s="27" t="s">
        <v>42</v>
      </c>
      <c r="B290" s="27" t="s">
        <v>920</v>
      </c>
      <c r="C290" s="27" t="s">
        <v>921</v>
      </c>
      <c r="D290" s="27" t="s">
        <v>922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432000</f>
        <v>432000.0</v>
      </c>
      <c r="L290" s="34" t="s">
        <v>48</v>
      </c>
      <c r="M290" s="33" t="n">
        <f>444500</f>
        <v>444500.0</v>
      </c>
      <c r="N290" s="34" t="s">
        <v>48</v>
      </c>
      <c r="O290" s="33" t="n">
        <f>414500</f>
        <v>414500.0</v>
      </c>
      <c r="P290" s="34" t="s">
        <v>62</v>
      </c>
      <c r="Q290" s="33" t="n">
        <f>434000</f>
        <v>434000.0</v>
      </c>
      <c r="R290" s="34" t="s">
        <v>51</v>
      </c>
      <c r="S290" s="35" t="n">
        <f>430225</f>
        <v>430225.0</v>
      </c>
      <c r="T290" s="32" t="n">
        <f>63925</f>
        <v>63925.0</v>
      </c>
      <c r="U290" s="32" t="n">
        <f>11158</f>
        <v>11158.0</v>
      </c>
      <c r="V290" s="32" t="n">
        <f>27700209525</f>
        <v>2.7700209525E10</v>
      </c>
      <c r="W290" s="32" t="n">
        <f>4866814025</f>
        <v>4.866814025E9</v>
      </c>
      <c r="X290" s="36" t="n">
        <f>20</f>
        <v>20.0</v>
      </c>
    </row>
    <row r="291">
      <c r="A291" s="27" t="s">
        <v>42</v>
      </c>
      <c r="B291" s="27" t="s">
        <v>923</v>
      </c>
      <c r="C291" s="27" t="s">
        <v>924</v>
      </c>
      <c r="D291" s="27" t="s">
        <v>925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156400</f>
        <v>156400.0</v>
      </c>
      <c r="L291" s="34" t="s">
        <v>48</v>
      </c>
      <c r="M291" s="33" t="n">
        <f>158200</f>
        <v>158200.0</v>
      </c>
      <c r="N291" s="34" t="s">
        <v>61</v>
      </c>
      <c r="O291" s="33" t="n">
        <f>143900</f>
        <v>143900.0</v>
      </c>
      <c r="P291" s="34" t="s">
        <v>62</v>
      </c>
      <c r="Q291" s="33" t="n">
        <f>156000</f>
        <v>156000.0</v>
      </c>
      <c r="R291" s="34" t="s">
        <v>51</v>
      </c>
      <c r="S291" s="35" t="n">
        <f>151280</f>
        <v>151280.0</v>
      </c>
      <c r="T291" s="32" t="n">
        <f>53209</f>
        <v>53209.0</v>
      </c>
      <c r="U291" s="32" t="n">
        <f>7428</f>
        <v>7428.0</v>
      </c>
      <c r="V291" s="32" t="n">
        <f>8035318121</f>
        <v>8.035318121E9</v>
      </c>
      <c r="W291" s="32" t="n">
        <f>1121368421</f>
        <v>1.121368421E9</v>
      </c>
      <c r="X291" s="36" t="n">
        <f>20</f>
        <v>20.0</v>
      </c>
    </row>
    <row r="292">
      <c r="A292" s="27" t="s">
        <v>42</v>
      </c>
      <c r="B292" s="27" t="s">
        <v>926</v>
      </c>
      <c r="C292" s="27" t="s">
        <v>927</v>
      </c>
      <c r="D292" s="27" t="s">
        <v>928</v>
      </c>
      <c r="E292" s="28" t="s">
        <v>46</v>
      </c>
      <c r="F292" s="29" t="s">
        <v>46</v>
      </c>
      <c r="G292" s="30" t="s">
        <v>46</v>
      </c>
      <c r="H292" s="31"/>
      <c r="I292" s="31" t="s">
        <v>629</v>
      </c>
      <c r="J292" s="32" t="n">
        <v>1.0</v>
      </c>
      <c r="K292" s="33" t="n">
        <f>86600</f>
        <v>86600.0</v>
      </c>
      <c r="L292" s="34" t="s">
        <v>48</v>
      </c>
      <c r="M292" s="33" t="n">
        <f>92900</f>
        <v>92900.0</v>
      </c>
      <c r="N292" s="34" t="s">
        <v>49</v>
      </c>
      <c r="O292" s="33" t="n">
        <f>84500</f>
        <v>84500.0</v>
      </c>
      <c r="P292" s="34" t="s">
        <v>97</v>
      </c>
      <c r="Q292" s="33" t="n">
        <f>91800</f>
        <v>91800.0</v>
      </c>
      <c r="R292" s="34" t="s">
        <v>51</v>
      </c>
      <c r="S292" s="35" t="n">
        <f>87700</f>
        <v>87700.0</v>
      </c>
      <c r="T292" s="32" t="n">
        <f>30829</f>
        <v>30829.0</v>
      </c>
      <c r="U292" s="32" t="n">
        <f>2763</f>
        <v>2763.0</v>
      </c>
      <c r="V292" s="32" t="n">
        <f>2696542846</f>
        <v>2.696542846E9</v>
      </c>
      <c r="W292" s="32" t="n">
        <f>240561246</f>
        <v>2.40561246E8</v>
      </c>
      <c r="X292" s="36" t="n">
        <f>20</f>
        <v>20.0</v>
      </c>
    </row>
    <row r="293">
      <c r="A293" s="27" t="s">
        <v>42</v>
      </c>
      <c r="B293" s="27" t="s">
        <v>929</v>
      </c>
      <c r="C293" s="27" t="s">
        <v>930</v>
      </c>
      <c r="D293" s="27" t="s">
        <v>931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85600</f>
        <v>85600.0</v>
      </c>
      <c r="L293" s="34" t="s">
        <v>48</v>
      </c>
      <c r="M293" s="33" t="n">
        <f>89700</f>
        <v>89700.0</v>
      </c>
      <c r="N293" s="34" t="s">
        <v>49</v>
      </c>
      <c r="O293" s="33" t="n">
        <f>82800</f>
        <v>82800.0</v>
      </c>
      <c r="P293" s="34" t="s">
        <v>50</v>
      </c>
      <c r="Q293" s="33" t="n">
        <f>87200</f>
        <v>87200.0</v>
      </c>
      <c r="R293" s="34" t="s">
        <v>51</v>
      </c>
      <c r="S293" s="35" t="n">
        <f>85685</f>
        <v>85685.0</v>
      </c>
      <c r="T293" s="32" t="n">
        <f>63235</f>
        <v>63235.0</v>
      </c>
      <c r="U293" s="32" t="n">
        <f>5779</f>
        <v>5779.0</v>
      </c>
      <c r="V293" s="32" t="n">
        <f>5418432403</f>
        <v>5.418432403E9</v>
      </c>
      <c r="W293" s="32" t="n">
        <f>494630003</f>
        <v>4.94630003E8</v>
      </c>
      <c r="X293" s="36" t="n">
        <f>20</f>
        <v>20.0</v>
      </c>
    </row>
    <row r="294">
      <c r="A294" s="27" t="s">
        <v>42</v>
      </c>
      <c r="B294" s="27" t="s">
        <v>932</v>
      </c>
      <c r="C294" s="27" t="s">
        <v>933</v>
      </c>
      <c r="D294" s="27" t="s">
        <v>934</v>
      </c>
      <c r="E294" s="28" t="s">
        <v>46</v>
      </c>
      <c r="F294" s="29" t="s">
        <v>46</v>
      </c>
      <c r="G294" s="30" t="s">
        <v>46</v>
      </c>
      <c r="H294" s="31"/>
      <c r="I294" s="31" t="s">
        <v>629</v>
      </c>
      <c r="J294" s="32" t="n">
        <v>1.0</v>
      </c>
      <c r="K294" s="33" t="n">
        <f>147800</f>
        <v>147800.0</v>
      </c>
      <c r="L294" s="34" t="s">
        <v>48</v>
      </c>
      <c r="M294" s="33" t="n">
        <f>150200</f>
        <v>150200.0</v>
      </c>
      <c r="N294" s="34" t="s">
        <v>97</v>
      </c>
      <c r="O294" s="33" t="n">
        <f>135900</f>
        <v>135900.0</v>
      </c>
      <c r="P294" s="34" t="s">
        <v>73</v>
      </c>
      <c r="Q294" s="33" t="n">
        <f>147000</f>
        <v>147000.0</v>
      </c>
      <c r="R294" s="34" t="s">
        <v>51</v>
      </c>
      <c r="S294" s="35" t="n">
        <f>143255</f>
        <v>143255.0</v>
      </c>
      <c r="T294" s="32" t="n">
        <f>52387</f>
        <v>52387.0</v>
      </c>
      <c r="U294" s="32" t="n">
        <f>9094</f>
        <v>9094.0</v>
      </c>
      <c r="V294" s="32" t="n">
        <f>7487656186</f>
        <v>7.487656186E9</v>
      </c>
      <c r="W294" s="32" t="n">
        <f>1290798686</f>
        <v>1.290798686E9</v>
      </c>
      <c r="X294" s="36" t="n">
        <f>20</f>
        <v>20.0</v>
      </c>
    </row>
    <row r="295">
      <c r="A295" s="27" t="s">
        <v>42</v>
      </c>
      <c r="B295" s="27" t="s">
        <v>935</v>
      </c>
      <c r="C295" s="27" t="s">
        <v>936</v>
      </c>
      <c r="D295" s="27" t="s">
        <v>937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635000</f>
        <v>635000.0</v>
      </c>
      <c r="L295" s="34" t="s">
        <v>48</v>
      </c>
      <c r="M295" s="33" t="n">
        <f>653000</f>
        <v>653000.0</v>
      </c>
      <c r="N295" s="34" t="s">
        <v>90</v>
      </c>
      <c r="O295" s="33" t="n">
        <f>596000</f>
        <v>596000.0</v>
      </c>
      <c r="P295" s="34" t="s">
        <v>51</v>
      </c>
      <c r="Q295" s="33" t="n">
        <f>596000</f>
        <v>596000.0</v>
      </c>
      <c r="R295" s="34" t="s">
        <v>51</v>
      </c>
      <c r="S295" s="35" t="n">
        <f>623100</f>
        <v>623100.0</v>
      </c>
      <c r="T295" s="32" t="n">
        <f>129508</f>
        <v>129508.0</v>
      </c>
      <c r="U295" s="32" t="n">
        <f>31912</f>
        <v>31912.0</v>
      </c>
      <c r="V295" s="32" t="n">
        <f>80871554699</f>
        <v>8.0871554699E10</v>
      </c>
      <c r="W295" s="32" t="n">
        <f>19886510699</f>
        <v>1.9886510699E10</v>
      </c>
      <c r="X295" s="36" t="n">
        <f>20</f>
        <v>20.0</v>
      </c>
    </row>
    <row r="296">
      <c r="A296" s="27" t="s">
        <v>42</v>
      </c>
      <c r="B296" s="27" t="s">
        <v>938</v>
      </c>
      <c r="C296" s="27" t="s">
        <v>939</v>
      </c>
      <c r="D296" s="27" t="s">
        <v>940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588000</f>
        <v>588000.0</v>
      </c>
      <c r="L296" s="34" t="s">
        <v>48</v>
      </c>
      <c r="M296" s="33" t="n">
        <f>596000</f>
        <v>596000.0</v>
      </c>
      <c r="N296" s="34" t="s">
        <v>184</v>
      </c>
      <c r="O296" s="33" t="n">
        <f>537000</f>
        <v>537000.0</v>
      </c>
      <c r="P296" s="34" t="s">
        <v>51</v>
      </c>
      <c r="Q296" s="33" t="n">
        <f>538000</f>
        <v>538000.0</v>
      </c>
      <c r="R296" s="34" t="s">
        <v>51</v>
      </c>
      <c r="S296" s="35" t="n">
        <f>573700</f>
        <v>573700.0</v>
      </c>
      <c r="T296" s="32" t="n">
        <f>138778</f>
        <v>138778.0</v>
      </c>
      <c r="U296" s="32" t="n">
        <f>34018</f>
        <v>34018.0</v>
      </c>
      <c r="V296" s="32" t="n">
        <f>79313459715</f>
        <v>7.9313459715E10</v>
      </c>
      <c r="W296" s="32" t="n">
        <f>19371186715</f>
        <v>1.9371186715E10</v>
      </c>
      <c r="X296" s="36" t="n">
        <f>20</f>
        <v>20.0</v>
      </c>
    </row>
    <row r="297">
      <c r="A297" s="27" t="s">
        <v>42</v>
      </c>
      <c r="B297" s="27" t="s">
        <v>941</v>
      </c>
      <c r="C297" s="27" t="s">
        <v>942</v>
      </c>
      <c r="D297" s="27" t="s">
        <v>943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157400</f>
        <v>157400.0</v>
      </c>
      <c r="L297" s="34" t="s">
        <v>48</v>
      </c>
      <c r="M297" s="33" t="n">
        <f>167100</f>
        <v>167100.0</v>
      </c>
      <c r="N297" s="34" t="s">
        <v>49</v>
      </c>
      <c r="O297" s="33" t="n">
        <f>149200</f>
        <v>149200.0</v>
      </c>
      <c r="P297" s="34" t="s">
        <v>62</v>
      </c>
      <c r="Q297" s="33" t="n">
        <f>162400</f>
        <v>162400.0</v>
      </c>
      <c r="R297" s="34" t="s">
        <v>51</v>
      </c>
      <c r="S297" s="35" t="n">
        <f>157420</f>
        <v>157420.0</v>
      </c>
      <c r="T297" s="32" t="n">
        <f>482306</f>
        <v>482306.0</v>
      </c>
      <c r="U297" s="32" t="n">
        <f>80414</f>
        <v>80414.0</v>
      </c>
      <c r="V297" s="32" t="n">
        <f>75814429929</f>
        <v>7.5814429929E10</v>
      </c>
      <c r="W297" s="32" t="n">
        <f>12643085229</f>
        <v>1.2643085229E10</v>
      </c>
      <c r="X297" s="36" t="n">
        <f>20</f>
        <v>20.0</v>
      </c>
    </row>
    <row r="298">
      <c r="A298" s="27" t="s">
        <v>42</v>
      </c>
      <c r="B298" s="27" t="s">
        <v>944</v>
      </c>
      <c r="C298" s="27" t="s">
        <v>945</v>
      </c>
      <c r="D298" s="27" t="s">
        <v>946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155100</f>
        <v>155100.0</v>
      </c>
      <c r="L298" s="34" t="s">
        <v>48</v>
      </c>
      <c r="M298" s="33" t="n">
        <f>167800</f>
        <v>167800.0</v>
      </c>
      <c r="N298" s="34" t="s">
        <v>49</v>
      </c>
      <c r="O298" s="33" t="n">
        <f>146900</f>
        <v>146900.0</v>
      </c>
      <c r="P298" s="34" t="s">
        <v>62</v>
      </c>
      <c r="Q298" s="33" t="n">
        <f>161300</f>
        <v>161300.0</v>
      </c>
      <c r="R298" s="34" t="s">
        <v>51</v>
      </c>
      <c r="S298" s="35" t="n">
        <f>156885</f>
        <v>156885.0</v>
      </c>
      <c r="T298" s="32" t="n">
        <f>349583</f>
        <v>349583.0</v>
      </c>
      <c r="U298" s="32" t="n">
        <f>68477</f>
        <v>68477.0</v>
      </c>
      <c r="V298" s="32" t="n">
        <f>54806814975</f>
        <v>5.4806814975E10</v>
      </c>
      <c r="W298" s="32" t="n">
        <f>10737718175</f>
        <v>1.0737718175E10</v>
      </c>
      <c r="X298" s="36" t="n">
        <f>20</f>
        <v>20.0</v>
      </c>
    </row>
    <row r="299">
      <c r="A299" s="27" t="s">
        <v>42</v>
      </c>
      <c r="B299" s="27" t="s">
        <v>947</v>
      </c>
      <c r="C299" s="27" t="s">
        <v>948</v>
      </c>
      <c r="D299" s="27" t="s">
        <v>949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319500</f>
        <v>319500.0</v>
      </c>
      <c r="L299" s="34" t="s">
        <v>48</v>
      </c>
      <c r="M299" s="33" t="n">
        <f>333500</f>
        <v>333500.0</v>
      </c>
      <c r="N299" s="34" t="s">
        <v>86</v>
      </c>
      <c r="O299" s="33" t="n">
        <f>305500</f>
        <v>305500.0</v>
      </c>
      <c r="P299" s="34" t="s">
        <v>266</v>
      </c>
      <c r="Q299" s="33" t="n">
        <f>326500</f>
        <v>326500.0</v>
      </c>
      <c r="R299" s="34" t="s">
        <v>51</v>
      </c>
      <c r="S299" s="35" t="n">
        <f>319050</f>
        <v>319050.0</v>
      </c>
      <c r="T299" s="32" t="n">
        <f>122052</f>
        <v>122052.0</v>
      </c>
      <c r="U299" s="32" t="n">
        <f>26688</f>
        <v>26688.0</v>
      </c>
      <c r="V299" s="32" t="n">
        <f>38954691075</f>
        <v>3.8954691075E10</v>
      </c>
      <c r="W299" s="32" t="n">
        <f>8492043075</f>
        <v>8.492043075E9</v>
      </c>
      <c r="X299" s="36" t="n">
        <f>20</f>
        <v>20.0</v>
      </c>
    </row>
    <row r="300">
      <c r="A300" s="27" t="s">
        <v>42</v>
      </c>
      <c r="B300" s="27" t="s">
        <v>950</v>
      </c>
      <c r="C300" s="27" t="s">
        <v>951</v>
      </c>
      <c r="D300" s="27" t="s">
        <v>952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125200</f>
        <v>125200.0</v>
      </c>
      <c r="L300" s="34" t="s">
        <v>48</v>
      </c>
      <c r="M300" s="33" t="n">
        <f>125200</f>
        <v>125200.0</v>
      </c>
      <c r="N300" s="34" t="s">
        <v>48</v>
      </c>
      <c r="O300" s="33" t="n">
        <f>112200</f>
        <v>112200.0</v>
      </c>
      <c r="P300" s="34" t="s">
        <v>90</v>
      </c>
      <c r="Q300" s="33" t="n">
        <f>122300</f>
        <v>122300.0</v>
      </c>
      <c r="R300" s="34" t="s">
        <v>51</v>
      </c>
      <c r="S300" s="35" t="n">
        <f>118875</f>
        <v>118875.0</v>
      </c>
      <c r="T300" s="32" t="n">
        <f>135635</f>
        <v>135635.0</v>
      </c>
      <c r="U300" s="32" t="n">
        <f>23020</f>
        <v>23020.0</v>
      </c>
      <c r="V300" s="32" t="n">
        <f>16054640875</f>
        <v>1.6054640875E10</v>
      </c>
      <c r="W300" s="32" t="n">
        <f>2721792575</f>
        <v>2.721792575E9</v>
      </c>
      <c r="X300" s="36" t="n">
        <f>20</f>
        <v>20.0</v>
      </c>
    </row>
    <row r="301">
      <c r="A301" s="27" t="s">
        <v>42</v>
      </c>
      <c r="B301" s="27" t="s">
        <v>953</v>
      </c>
      <c r="C301" s="27" t="s">
        <v>954</v>
      </c>
      <c r="D301" s="27" t="s">
        <v>955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143300</f>
        <v>143300.0</v>
      </c>
      <c r="L301" s="34" t="s">
        <v>48</v>
      </c>
      <c r="M301" s="33" t="n">
        <f>150500</f>
        <v>150500.0</v>
      </c>
      <c r="N301" s="34" t="s">
        <v>49</v>
      </c>
      <c r="O301" s="33" t="n">
        <f>135000</f>
        <v>135000.0</v>
      </c>
      <c r="P301" s="34" t="s">
        <v>97</v>
      </c>
      <c r="Q301" s="33" t="n">
        <f>146800</f>
        <v>146800.0</v>
      </c>
      <c r="R301" s="34" t="s">
        <v>51</v>
      </c>
      <c r="S301" s="35" t="n">
        <f>141215</f>
        <v>141215.0</v>
      </c>
      <c r="T301" s="32" t="n">
        <f>98622</f>
        <v>98622.0</v>
      </c>
      <c r="U301" s="32" t="n">
        <f>18904</f>
        <v>18904.0</v>
      </c>
      <c r="V301" s="32" t="n">
        <f>13964616780</f>
        <v>1.396461678E10</v>
      </c>
      <c r="W301" s="32" t="n">
        <f>2673105280</f>
        <v>2.67310528E9</v>
      </c>
      <c r="X301" s="36" t="n">
        <f>20</f>
        <v>20.0</v>
      </c>
    </row>
    <row r="302">
      <c r="A302" s="27" t="s">
        <v>42</v>
      </c>
      <c r="B302" s="27" t="s">
        <v>956</v>
      </c>
      <c r="C302" s="27" t="s">
        <v>957</v>
      </c>
      <c r="D302" s="27" t="s">
        <v>958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105800</f>
        <v>105800.0</v>
      </c>
      <c r="L302" s="34" t="s">
        <v>48</v>
      </c>
      <c r="M302" s="33" t="n">
        <f>106300</f>
        <v>106300.0</v>
      </c>
      <c r="N302" s="34" t="s">
        <v>370</v>
      </c>
      <c r="O302" s="33" t="n">
        <f>100500</f>
        <v>100500.0</v>
      </c>
      <c r="P302" s="34" t="s">
        <v>51</v>
      </c>
      <c r="Q302" s="33" t="n">
        <f>101100</f>
        <v>101100.0</v>
      </c>
      <c r="R302" s="34" t="s">
        <v>51</v>
      </c>
      <c r="S302" s="35" t="n">
        <f>103410</f>
        <v>103410.0</v>
      </c>
      <c r="T302" s="32" t="n">
        <f>108977</f>
        <v>108977.0</v>
      </c>
      <c r="U302" s="32" t="n">
        <f>25639</f>
        <v>25639.0</v>
      </c>
      <c r="V302" s="32" t="n">
        <f>11256555960</f>
        <v>1.125655596E10</v>
      </c>
      <c r="W302" s="32" t="n">
        <f>2646089760</f>
        <v>2.64608976E9</v>
      </c>
      <c r="X302" s="36" t="n">
        <f>20</f>
        <v>20.0</v>
      </c>
    </row>
    <row r="303">
      <c r="A303" s="27" t="s">
        <v>42</v>
      </c>
      <c r="B303" s="27" t="s">
        <v>959</v>
      </c>
      <c r="C303" s="27" t="s">
        <v>960</v>
      </c>
      <c r="D303" s="27" t="s">
        <v>961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115900</f>
        <v>115900.0</v>
      </c>
      <c r="L303" s="34" t="s">
        <v>48</v>
      </c>
      <c r="M303" s="33" t="n">
        <f>121700</f>
        <v>121700.0</v>
      </c>
      <c r="N303" s="34" t="s">
        <v>49</v>
      </c>
      <c r="O303" s="33" t="n">
        <f>108000</f>
        <v>108000.0</v>
      </c>
      <c r="P303" s="34" t="s">
        <v>73</v>
      </c>
      <c r="Q303" s="33" t="n">
        <f>116700</f>
        <v>116700.0</v>
      </c>
      <c r="R303" s="34" t="s">
        <v>51</v>
      </c>
      <c r="S303" s="35" t="n">
        <f>114725</f>
        <v>114725.0</v>
      </c>
      <c r="T303" s="32" t="n">
        <f>392310</f>
        <v>392310.0</v>
      </c>
      <c r="U303" s="32" t="n">
        <f>75539</f>
        <v>75539.0</v>
      </c>
      <c r="V303" s="32" t="n">
        <f>44982269236</f>
        <v>4.4982269236E10</v>
      </c>
      <c r="W303" s="32" t="n">
        <f>8630283136</f>
        <v>8.630283136E9</v>
      </c>
      <c r="X303" s="36" t="n">
        <f>20</f>
        <v>20.0</v>
      </c>
    </row>
    <row r="304">
      <c r="A304" s="27" t="s">
        <v>42</v>
      </c>
      <c r="B304" s="27" t="s">
        <v>962</v>
      </c>
      <c r="C304" s="27" t="s">
        <v>963</v>
      </c>
      <c r="D304" s="27" t="s">
        <v>964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138200</f>
        <v>138200.0</v>
      </c>
      <c r="L304" s="34" t="s">
        <v>48</v>
      </c>
      <c r="M304" s="33" t="n">
        <f>141400</f>
        <v>141400.0</v>
      </c>
      <c r="N304" s="34" t="s">
        <v>86</v>
      </c>
      <c r="O304" s="33" t="n">
        <f>132900</f>
        <v>132900.0</v>
      </c>
      <c r="P304" s="34" t="s">
        <v>176</v>
      </c>
      <c r="Q304" s="33" t="n">
        <f>133000</f>
        <v>133000.0</v>
      </c>
      <c r="R304" s="34" t="s">
        <v>51</v>
      </c>
      <c r="S304" s="35" t="n">
        <f>135945</f>
        <v>135945.0</v>
      </c>
      <c r="T304" s="32" t="n">
        <f>113072</f>
        <v>113072.0</v>
      </c>
      <c r="U304" s="32" t="n">
        <f>20613</f>
        <v>20613.0</v>
      </c>
      <c r="V304" s="32" t="n">
        <f>15370312087</f>
        <v>1.5370312087E10</v>
      </c>
      <c r="W304" s="32" t="n">
        <f>2788877087</f>
        <v>2.788877087E9</v>
      </c>
      <c r="X304" s="36" t="n">
        <f>20</f>
        <v>20.0</v>
      </c>
    </row>
    <row r="305">
      <c r="A305" s="27" t="s">
        <v>42</v>
      </c>
      <c r="B305" s="27" t="s">
        <v>965</v>
      </c>
      <c r="C305" s="27" t="s">
        <v>966</v>
      </c>
      <c r="D305" s="27" t="s">
        <v>967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31700</f>
        <v>31700.0</v>
      </c>
      <c r="L305" s="34" t="s">
        <v>48</v>
      </c>
      <c r="M305" s="33" t="n">
        <f>32450</f>
        <v>32450.0</v>
      </c>
      <c r="N305" s="34" t="s">
        <v>370</v>
      </c>
      <c r="O305" s="33" t="n">
        <f>29700</f>
        <v>29700.0</v>
      </c>
      <c r="P305" s="34" t="s">
        <v>62</v>
      </c>
      <c r="Q305" s="33" t="n">
        <f>31200</f>
        <v>31200.0</v>
      </c>
      <c r="R305" s="34" t="s">
        <v>51</v>
      </c>
      <c r="S305" s="35" t="n">
        <f>30892.5</f>
        <v>30892.5</v>
      </c>
      <c r="T305" s="32" t="n">
        <f>1070696</f>
        <v>1070696.0</v>
      </c>
      <c r="U305" s="32" t="n">
        <f>153590</f>
        <v>153590.0</v>
      </c>
      <c r="V305" s="32" t="n">
        <f>33097944007</f>
        <v>3.3097944007E10</v>
      </c>
      <c r="W305" s="32" t="n">
        <f>4751617817</f>
        <v>4.751617817E9</v>
      </c>
      <c r="X305" s="36" t="n">
        <f>20</f>
        <v>20.0</v>
      </c>
    </row>
    <row r="306">
      <c r="A306" s="27" t="s">
        <v>42</v>
      </c>
      <c r="B306" s="27" t="s">
        <v>968</v>
      </c>
      <c r="C306" s="27" t="s">
        <v>969</v>
      </c>
      <c r="D306" s="27" t="s">
        <v>970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350500</f>
        <v>350500.0</v>
      </c>
      <c r="L306" s="34" t="s">
        <v>48</v>
      </c>
      <c r="M306" s="33" t="n">
        <f>364500</f>
        <v>364500.0</v>
      </c>
      <c r="N306" s="34" t="s">
        <v>49</v>
      </c>
      <c r="O306" s="33" t="n">
        <f>339000</f>
        <v>339000.0</v>
      </c>
      <c r="P306" s="34" t="s">
        <v>97</v>
      </c>
      <c r="Q306" s="33" t="n">
        <f>358000</f>
        <v>358000.0</v>
      </c>
      <c r="R306" s="34" t="s">
        <v>51</v>
      </c>
      <c r="S306" s="35" t="n">
        <f>350000</f>
        <v>350000.0</v>
      </c>
      <c r="T306" s="32" t="n">
        <f>58265</f>
        <v>58265.0</v>
      </c>
      <c r="U306" s="32" t="n">
        <f>8810</f>
        <v>8810.0</v>
      </c>
      <c r="V306" s="32" t="n">
        <f>20386971401</f>
        <v>2.0386971401E10</v>
      </c>
      <c r="W306" s="32" t="n">
        <f>3072900401</f>
        <v>3.072900401E9</v>
      </c>
      <c r="X306" s="36" t="n">
        <f>20</f>
        <v>20.0</v>
      </c>
    </row>
    <row r="307">
      <c r="A307" s="27" t="s">
        <v>42</v>
      </c>
      <c r="B307" s="27" t="s">
        <v>971</v>
      </c>
      <c r="C307" s="27" t="s">
        <v>972</v>
      </c>
      <c r="D307" s="27" t="s">
        <v>973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119600</f>
        <v>119600.0</v>
      </c>
      <c r="L307" s="34" t="s">
        <v>48</v>
      </c>
      <c r="M307" s="33" t="n">
        <f>121100</f>
        <v>121100.0</v>
      </c>
      <c r="N307" s="34" t="s">
        <v>370</v>
      </c>
      <c r="O307" s="33" t="n">
        <f>109200</f>
        <v>109200.0</v>
      </c>
      <c r="P307" s="34" t="s">
        <v>98</v>
      </c>
      <c r="Q307" s="33" t="n">
        <f>116300</f>
        <v>116300.0</v>
      </c>
      <c r="R307" s="34" t="s">
        <v>51</v>
      </c>
      <c r="S307" s="35" t="n">
        <f>115445</f>
        <v>115445.0</v>
      </c>
      <c r="T307" s="32" t="n">
        <f>106613</f>
        <v>106613.0</v>
      </c>
      <c r="U307" s="32" t="n">
        <f>18964</f>
        <v>18964.0</v>
      </c>
      <c r="V307" s="32" t="n">
        <f>12258426645</f>
        <v>1.2258426645E10</v>
      </c>
      <c r="W307" s="32" t="n">
        <f>2178330045</f>
        <v>2.178330045E9</v>
      </c>
      <c r="X307" s="36" t="n">
        <f>20</f>
        <v>20.0</v>
      </c>
    </row>
    <row r="308">
      <c r="A308" s="27" t="s">
        <v>42</v>
      </c>
      <c r="B308" s="27" t="s">
        <v>974</v>
      </c>
      <c r="C308" s="27" t="s">
        <v>975</v>
      </c>
      <c r="D308" s="27" t="s">
        <v>976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285300</f>
        <v>285300.0</v>
      </c>
      <c r="L308" s="34" t="s">
        <v>48</v>
      </c>
      <c r="M308" s="33" t="n">
        <f>313000</f>
        <v>313000.0</v>
      </c>
      <c r="N308" s="34" t="s">
        <v>90</v>
      </c>
      <c r="O308" s="33" t="n">
        <f>277200</f>
        <v>277200.0</v>
      </c>
      <c r="P308" s="34" t="s">
        <v>50</v>
      </c>
      <c r="Q308" s="33" t="n">
        <f>301500</f>
        <v>301500.0</v>
      </c>
      <c r="R308" s="34" t="s">
        <v>51</v>
      </c>
      <c r="S308" s="35" t="n">
        <f>292790</f>
        <v>292790.0</v>
      </c>
      <c r="T308" s="32" t="n">
        <f>97092</f>
        <v>97092.0</v>
      </c>
      <c r="U308" s="32" t="n">
        <f>20098</f>
        <v>20098.0</v>
      </c>
      <c r="V308" s="32" t="n">
        <f>28545592382</f>
        <v>2.8545592382E10</v>
      </c>
      <c r="W308" s="32" t="n">
        <f>5907224582</f>
        <v>5.907224582E9</v>
      </c>
      <c r="X308" s="36" t="n">
        <f>20</f>
        <v>20.0</v>
      </c>
    </row>
    <row r="309">
      <c r="A309" s="27" t="s">
        <v>42</v>
      </c>
      <c r="B309" s="27" t="s">
        <v>977</v>
      </c>
      <c r="C309" s="27" t="s">
        <v>978</v>
      </c>
      <c r="D309" s="27" t="s">
        <v>979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135200</f>
        <v>135200.0</v>
      </c>
      <c r="L309" s="34" t="s">
        <v>48</v>
      </c>
      <c r="M309" s="33" t="n">
        <f>138300</f>
        <v>138300.0</v>
      </c>
      <c r="N309" s="34" t="s">
        <v>86</v>
      </c>
      <c r="O309" s="33" t="n">
        <f>126100</f>
        <v>126100.0</v>
      </c>
      <c r="P309" s="34" t="s">
        <v>97</v>
      </c>
      <c r="Q309" s="33" t="n">
        <f>136200</f>
        <v>136200.0</v>
      </c>
      <c r="R309" s="34" t="s">
        <v>51</v>
      </c>
      <c r="S309" s="35" t="n">
        <f>133135</f>
        <v>133135.0</v>
      </c>
      <c r="T309" s="32" t="n">
        <f>72407</f>
        <v>72407.0</v>
      </c>
      <c r="U309" s="32" t="n">
        <f>12533</f>
        <v>12533.0</v>
      </c>
      <c r="V309" s="32" t="n">
        <f>9634762518</f>
        <v>9.634762518E9</v>
      </c>
      <c r="W309" s="32" t="n">
        <f>1662039218</f>
        <v>1.662039218E9</v>
      </c>
      <c r="X309" s="36" t="n">
        <f>20</f>
        <v>20.0</v>
      </c>
    </row>
    <row r="310">
      <c r="A310" s="27" t="s">
        <v>42</v>
      </c>
      <c r="B310" s="27" t="s">
        <v>980</v>
      </c>
      <c r="C310" s="27" t="s">
        <v>981</v>
      </c>
      <c r="D310" s="27" t="s">
        <v>982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630000</f>
        <v>630000.0</v>
      </c>
      <c r="L310" s="34" t="s">
        <v>48</v>
      </c>
      <c r="M310" s="33" t="n">
        <f>646000</f>
        <v>646000.0</v>
      </c>
      <c r="N310" s="34" t="s">
        <v>49</v>
      </c>
      <c r="O310" s="33" t="n">
        <f>593000</f>
        <v>593000.0</v>
      </c>
      <c r="P310" s="34" t="s">
        <v>98</v>
      </c>
      <c r="Q310" s="33" t="n">
        <f>629000</f>
        <v>629000.0</v>
      </c>
      <c r="R310" s="34" t="s">
        <v>51</v>
      </c>
      <c r="S310" s="35" t="n">
        <f>614600</f>
        <v>614600.0</v>
      </c>
      <c r="T310" s="32" t="n">
        <f>45582</f>
        <v>45582.0</v>
      </c>
      <c r="U310" s="32" t="n">
        <f>8324</f>
        <v>8324.0</v>
      </c>
      <c r="V310" s="32" t="n">
        <f>28005636373</f>
        <v>2.8005636373E10</v>
      </c>
      <c r="W310" s="32" t="n">
        <f>5101964373</f>
        <v>5.101964373E9</v>
      </c>
      <c r="X310" s="36" t="n">
        <f>20</f>
        <v>20.0</v>
      </c>
    </row>
    <row r="311">
      <c r="A311" s="27" t="s">
        <v>42</v>
      </c>
      <c r="B311" s="27" t="s">
        <v>983</v>
      </c>
      <c r="C311" s="27" t="s">
        <v>984</v>
      </c>
      <c r="D311" s="27" t="s">
        <v>985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74900</f>
        <v>74900.0</v>
      </c>
      <c r="L311" s="34" t="s">
        <v>48</v>
      </c>
      <c r="M311" s="33" t="n">
        <f>77600</f>
        <v>77600.0</v>
      </c>
      <c r="N311" s="34" t="s">
        <v>90</v>
      </c>
      <c r="O311" s="33" t="n">
        <f>73000</f>
        <v>73000.0</v>
      </c>
      <c r="P311" s="34" t="s">
        <v>97</v>
      </c>
      <c r="Q311" s="33" t="n">
        <f>76300</f>
        <v>76300.0</v>
      </c>
      <c r="R311" s="34" t="s">
        <v>51</v>
      </c>
      <c r="S311" s="35" t="n">
        <f>74750</f>
        <v>74750.0</v>
      </c>
      <c r="T311" s="32" t="n">
        <f>125172</f>
        <v>125172.0</v>
      </c>
      <c r="U311" s="32" t="n">
        <f>20242</f>
        <v>20242.0</v>
      </c>
      <c r="V311" s="32" t="n">
        <f>9372741796</f>
        <v>9.372741796E9</v>
      </c>
      <c r="W311" s="32" t="n">
        <f>1512741996</f>
        <v>1.512741996E9</v>
      </c>
      <c r="X311" s="36" t="n">
        <f>20</f>
        <v>20.0</v>
      </c>
    </row>
    <row r="312">
      <c r="A312" s="27" t="s">
        <v>42</v>
      </c>
      <c r="B312" s="27" t="s">
        <v>986</v>
      </c>
      <c r="C312" s="27" t="s">
        <v>987</v>
      </c>
      <c r="D312" s="27" t="s">
        <v>988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611000</f>
        <v>611000.0</v>
      </c>
      <c r="L312" s="34" t="s">
        <v>48</v>
      </c>
      <c r="M312" s="33" t="n">
        <f>617000</f>
        <v>617000.0</v>
      </c>
      <c r="N312" s="34" t="s">
        <v>49</v>
      </c>
      <c r="O312" s="33" t="n">
        <f>566000</f>
        <v>566000.0</v>
      </c>
      <c r="P312" s="34" t="s">
        <v>98</v>
      </c>
      <c r="Q312" s="33" t="n">
        <f>604000</f>
        <v>604000.0</v>
      </c>
      <c r="R312" s="34" t="s">
        <v>51</v>
      </c>
      <c r="S312" s="35" t="n">
        <f>591300</f>
        <v>591300.0</v>
      </c>
      <c r="T312" s="32" t="n">
        <f>37588</f>
        <v>37588.0</v>
      </c>
      <c r="U312" s="32" t="n">
        <f>5727</f>
        <v>5727.0</v>
      </c>
      <c r="V312" s="32" t="n">
        <f>22169073987</f>
        <v>2.2169073987E10</v>
      </c>
      <c r="W312" s="32" t="n">
        <f>3370431987</f>
        <v>3.370431987E9</v>
      </c>
      <c r="X312" s="36" t="n">
        <f>20</f>
        <v>20.0</v>
      </c>
    </row>
    <row r="313">
      <c r="A313" s="27" t="s">
        <v>42</v>
      </c>
      <c r="B313" s="27" t="s">
        <v>989</v>
      </c>
      <c r="C313" s="27" t="s">
        <v>990</v>
      </c>
      <c r="D313" s="27" t="s">
        <v>991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119200</f>
        <v>119200.0</v>
      </c>
      <c r="L313" s="34" t="s">
        <v>48</v>
      </c>
      <c r="M313" s="33" t="n">
        <f>124300</f>
        <v>124300.0</v>
      </c>
      <c r="N313" s="34" t="s">
        <v>49</v>
      </c>
      <c r="O313" s="33" t="n">
        <f>114100</f>
        <v>114100.0</v>
      </c>
      <c r="P313" s="34" t="s">
        <v>97</v>
      </c>
      <c r="Q313" s="33" t="n">
        <f>122200</f>
        <v>122200.0</v>
      </c>
      <c r="R313" s="34" t="s">
        <v>51</v>
      </c>
      <c r="S313" s="35" t="n">
        <f>118625</f>
        <v>118625.0</v>
      </c>
      <c r="T313" s="32" t="n">
        <f>62386</f>
        <v>62386.0</v>
      </c>
      <c r="U313" s="32" t="n">
        <f>9581</f>
        <v>9581.0</v>
      </c>
      <c r="V313" s="32" t="n">
        <f>7383308075</f>
        <v>7.383308075E9</v>
      </c>
      <c r="W313" s="32" t="n">
        <f>1129397275</f>
        <v>1.129397275E9</v>
      </c>
      <c r="X313" s="36" t="n">
        <f>20</f>
        <v>20.0</v>
      </c>
    </row>
    <row r="314">
      <c r="A314" s="27" t="s">
        <v>42</v>
      </c>
      <c r="B314" s="27" t="s">
        <v>992</v>
      </c>
      <c r="C314" s="27" t="s">
        <v>993</v>
      </c>
      <c r="D314" s="27" t="s">
        <v>994</v>
      </c>
      <c r="E314" s="28" t="s">
        <v>46</v>
      </c>
      <c r="F314" s="29" t="s">
        <v>46</v>
      </c>
      <c r="G314" s="30" t="s">
        <v>46</v>
      </c>
      <c r="H314" s="31"/>
      <c r="I314" s="31" t="s">
        <v>629</v>
      </c>
      <c r="J314" s="32" t="n">
        <v>1.0</v>
      </c>
      <c r="K314" s="33" t="n">
        <f>202100</f>
        <v>202100.0</v>
      </c>
      <c r="L314" s="34" t="s">
        <v>48</v>
      </c>
      <c r="M314" s="33" t="n">
        <f>208600</f>
        <v>208600.0</v>
      </c>
      <c r="N314" s="34" t="s">
        <v>51</v>
      </c>
      <c r="O314" s="33" t="n">
        <f>194900</f>
        <v>194900.0</v>
      </c>
      <c r="P314" s="34" t="s">
        <v>90</v>
      </c>
      <c r="Q314" s="33" t="n">
        <f>206600</f>
        <v>206600.0</v>
      </c>
      <c r="R314" s="34" t="s">
        <v>51</v>
      </c>
      <c r="S314" s="35" t="n">
        <f>200815</f>
        <v>200815.0</v>
      </c>
      <c r="T314" s="32" t="n">
        <f>18974</f>
        <v>18974.0</v>
      </c>
      <c r="U314" s="32" t="n">
        <f>3267</f>
        <v>3267.0</v>
      </c>
      <c r="V314" s="32" t="n">
        <f>3811339387</f>
        <v>3.811339387E9</v>
      </c>
      <c r="W314" s="32" t="n">
        <f>653153187</f>
        <v>6.53153187E8</v>
      </c>
      <c r="X314" s="36" t="n">
        <f>20</f>
        <v>20.0</v>
      </c>
    </row>
    <row r="315">
      <c r="A315" s="27" t="s">
        <v>42</v>
      </c>
      <c r="B315" s="27" t="s">
        <v>995</v>
      </c>
      <c r="C315" s="27" t="s">
        <v>996</v>
      </c>
      <c r="D315" s="27" t="s">
        <v>997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277000</f>
        <v>277000.0</v>
      </c>
      <c r="L315" s="34" t="s">
        <v>48</v>
      </c>
      <c r="M315" s="33" t="n">
        <f>277700</f>
        <v>277700.0</v>
      </c>
      <c r="N315" s="34" t="s">
        <v>48</v>
      </c>
      <c r="O315" s="33" t="n">
        <f>261000</f>
        <v>261000.0</v>
      </c>
      <c r="P315" s="34" t="s">
        <v>50</v>
      </c>
      <c r="Q315" s="33" t="n">
        <f>269000</f>
        <v>269000.0</v>
      </c>
      <c r="R315" s="34" t="s">
        <v>51</v>
      </c>
      <c r="S315" s="35" t="n">
        <f>268240</f>
        <v>268240.0</v>
      </c>
      <c r="T315" s="32" t="n">
        <f>189279</f>
        <v>189279.0</v>
      </c>
      <c r="U315" s="32" t="n">
        <f>38548</f>
        <v>38548.0</v>
      </c>
      <c r="V315" s="32" t="n">
        <f>50804735946</f>
        <v>5.0804735946E10</v>
      </c>
      <c r="W315" s="32" t="n">
        <f>10346316746</f>
        <v>1.0346316746E10</v>
      </c>
      <c r="X315" s="36" t="n">
        <f>20</f>
        <v>20.0</v>
      </c>
    </row>
    <row r="316">
      <c r="A316" s="27" t="s">
        <v>42</v>
      </c>
      <c r="B316" s="27" t="s">
        <v>998</v>
      </c>
      <c r="C316" s="27" t="s">
        <v>999</v>
      </c>
      <c r="D316" s="27" t="s">
        <v>1000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48250</f>
        <v>48250.0</v>
      </c>
      <c r="L316" s="34" t="s">
        <v>48</v>
      </c>
      <c r="M316" s="33" t="n">
        <f>52900</f>
        <v>52900.0</v>
      </c>
      <c r="N316" s="34" t="s">
        <v>51</v>
      </c>
      <c r="O316" s="33" t="n">
        <f>45900</f>
        <v>45900.0</v>
      </c>
      <c r="P316" s="34" t="s">
        <v>97</v>
      </c>
      <c r="Q316" s="33" t="n">
        <f>51700</f>
        <v>51700.0</v>
      </c>
      <c r="R316" s="34" t="s">
        <v>51</v>
      </c>
      <c r="S316" s="35" t="n">
        <f>48760</f>
        <v>48760.0</v>
      </c>
      <c r="T316" s="32" t="n">
        <f>861127</f>
        <v>861127.0</v>
      </c>
      <c r="U316" s="32" t="n">
        <f>111123</f>
        <v>111123.0</v>
      </c>
      <c r="V316" s="32" t="n">
        <f>42124429846</f>
        <v>4.2124429846E10</v>
      </c>
      <c r="W316" s="32" t="n">
        <f>5443453146</f>
        <v>5.443453146E9</v>
      </c>
      <c r="X316" s="36" t="n">
        <f>20</f>
        <v>20.0</v>
      </c>
    </row>
    <row r="317">
      <c r="A317" s="27" t="s">
        <v>42</v>
      </c>
      <c r="B317" s="27" t="s">
        <v>1001</v>
      </c>
      <c r="C317" s="27" t="s">
        <v>1002</v>
      </c>
      <c r="D317" s="27" t="s">
        <v>1003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106900</f>
        <v>106900.0</v>
      </c>
      <c r="L317" s="34" t="s">
        <v>48</v>
      </c>
      <c r="M317" s="33" t="n">
        <f>112300</f>
        <v>112300.0</v>
      </c>
      <c r="N317" s="34" t="s">
        <v>168</v>
      </c>
      <c r="O317" s="33" t="n">
        <f>103800</f>
        <v>103800.0</v>
      </c>
      <c r="P317" s="34" t="s">
        <v>48</v>
      </c>
      <c r="Q317" s="33" t="n">
        <f>108800</f>
        <v>108800.0</v>
      </c>
      <c r="R317" s="34" t="s">
        <v>51</v>
      </c>
      <c r="S317" s="35" t="n">
        <f>107465</f>
        <v>107465.0</v>
      </c>
      <c r="T317" s="32" t="n">
        <f>211765</f>
        <v>211765.0</v>
      </c>
      <c r="U317" s="32" t="n">
        <f>44913</f>
        <v>44913.0</v>
      </c>
      <c r="V317" s="32" t="n">
        <f>22793867912</f>
        <v>2.2793867912E10</v>
      </c>
      <c r="W317" s="32" t="n">
        <f>4809313412</f>
        <v>4.809313412E9</v>
      </c>
      <c r="X317" s="36" t="n">
        <f>20</f>
        <v>20.0</v>
      </c>
    </row>
    <row r="318">
      <c r="A318" s="27" t="s">
        <v>42</v>
      </c>
      <c r="B318" s="27" t="s">
        <v>1004</v>
      </c>
      <c r="C318" s="27" t="s">
        <v>1005</v>
      </c>
      <c r="D318" s="27" t="s">
        <v>1006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125600</f>
        <v>125600.0</v>
      </c>
      <c r="L318" s="34" t="s">
        <v>48</v>
      </c>
      <c r="M318" s="33" t="n">
        <f>125600</f>
        <v>125600.0</v>
      </c>
      <c r="N318" s="34" t="s">
        <v>48</v>
      </c>
      <c r="O318" s="33" t="n">
        <f>116000</f>
        <v>116000.0</v>
      </c>
      <c r="P318" s="34" t="s">
        <v>98</v>
      </c>
      <c r="Q318" s="33" t="n">
        <f>122900</f>
        <v>122900.0</v>
      </c>
      <c r="R318" s="34" t="s">
        <v>51</v>
      </c>
      <c r="S318" s="35" t="n">
        <f>121555</f>
        <v>121555.0</v>
      </c>
      <c r="T318" s="32" t="n">
        <f>119708</f>
        <v>119708.0</v>
      </c>
      <c r="U318" s="32" t="n">
        <f>23648</f>
        <v>23648.0</v>
      </c>
      <c r="V318" s="32" t="n">
        <f>14515567022</f>
        <v>1.4515567022E10</v>
      </c>
      <c r="W318" s="32" t="n">
        <f>2864889622</f>
        <v>2.864889622E9</v>
      </c>
      <c r="X318" s="36" t="n">
        <f>20</f>
        <v>20.0</v>
      </c>
    </row>
    <row r="319">
      <c r="A319" s="27" t="s">
        <v>42</v>
      </c>
      <c r="B319" s="27" t="s">
        <v>1007</v>
      </c>
      <c r="C319" s="27" t="s">
        <v>1008</v>
      </c>
      <c r="D319" s="27" t="s">
        <v>1009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115200</f>
        <v>115200.0</v>
      </c>
      <c r="L319" s="34" t="s">
        <v>48</v>
      </c>
      <c r="M319" s="33" t="n">
        <f>118300</f>
        <v>118300.0</v>
      </c>
      <c r="N319" s="34" t="s">
        <v>51</v>
      </c>
      <c r="O319" s="33" t="n">
        <f>113800</f>
        <v>113800.0</v>
      </c>
      <c r="P319" s="34" t="s">
        <v>69</v>
      </c>
      <c r="Q319" s="33" t="n">
        <f>118300</f>
        <v>118300.0</v>
      </c>
      <c r="R319" s="34" t="s">
        <v>51</v>
      </c>
      <c r="S319" s="35" t="n">
        <f>115520</f>
        <v>115520.0</v>
      </c>
      <c r="T319" s="32" t="n">
        <f>7957</f>
        <v>7957.0</v>
      </c>
      <c r="U319" s="32" t="n">
        <f>1093</f>
        <v>1093.0</v>
      </c>
      <c r="V319" s="32" t="n">
        <f>919271443</f>
        <v>9.19271443E8</v>
      </c>
      <c r="W319" s="32" t="n">
        <f>125065743</f>
        <v>1.25065743E8</v>
      </c>
      <c r="X319" s="36" t="n">
        <f>20</f>
        <v>20.0</v>
      </c>
    </row>
    <row r="320">
      <c r="A320" s="27" t="s">
        <v>42</v>
      </c>
      <c r="B320" s="27" t="s">
        <v>1010</v>
      </c>
      <c r="C320" s="27" t="s">
        <v>1011</v>
      </c>
      <c r="D320" s="27" t="s">
        <v>1012</v>
      </c>
      <c r="E320" s="28" t="s">
        <v>46</v>
      </c>
      <c r="F320" s="29" t="s">
        <v>46</v>
      </c>
      <c r="G320" s="30" t="s">
        <v>46</v>
      </c>
      <c r="H320" s="31"/>
      <c r="I320" s="31" t="s">
        <v>629</v>
      </c>
      <c r="J320" s="32" t="n">
        <v>1.0</v>
      </c>
      <c r="K320" s="33" t="n">
        <f>56500</f>
        <v>56500.0</v>
      </c>
      <c r="L320" s="34" t="s">
        <v>48</v>
      </c>
      <c r="M320" s="33" t="n">
        <f>56600</f>
        <v>56600.0</v>
      </c>
      <c r="N320" s="34" t="s">
        <v>279</v>
      </c>
      <c r="O320" s="33" t="n">
        <f>55600</f>
        <v>55600.0</v>
      </c>
      <c r="P320" s="34" t="s">
        <v>61</v>
      </c>
      <c r="Q320" s="33" t="n">
        <f>55600</f>
        <v>55600.0</v>
      </c>
      <c r="R320" s="34" t="s">
        <v>51</v>
      </c>
      <c r="S320" s="35" t="n">
        <f>55860</f>
        <v>55860.0</v>
      </c>
      <c r="T320" s="32" t="n">
        <f>8998</f>
        <v>8998.0</v>
      </c>
      <c r="U320" s="32" t="n">
        <f>1105</f>
        <v>1105.0</v>
      </c>
      <c r="V320" s="32" t="n">
        <f>502964600</f>
        <v>5.029646E8</v>
      </c>
      <c r="W320" s="32" t="n">
        <f>62090800</f>
        <v>6.20908E7</v>
      </c>
      <c r="X320" s="36" t="n">
        <f>20</f>
        <v>20.0</v>
      </c>
    </row>
    <row r="321">
      <c r="A321" s="27" t="s">
        <v>42</v>
      </c>
      <c r="B321" s="27" t="s">
        <v>1013</v>
      </c>
      <c r="C321" s="27" t="s">
        <v>1014</v>
      </c>
      <c r="D321" s="27" t="s">
        <v>1015</v>
      </c>
      <c r="E321" s="28" t="s">
        <v>46</v>
      </c>
      <c r="F321" s="29" t="s">
        <v>46</v>
      </c>
      <c r="G321" s="30" t="s">
        <v>46</v>
      </c>
      <c r="H321" s="31"/>
      <c r="I321" s="31" t="s">
        <v>629</v>
      </c>
      <c r="J321" s="32" t="n">
        <v>1.0</v>
      </c>
      <c r="K321" s="33" t="n">
        <f>99200</f>
        <v>99200.0</v>
      </c>
      <c r="L321" s="34" t="s">
        <v>48</v>
      </c>
      <c r="M321" s="33" t="n">
        <f>101300</f>
        <v>101300.0</v>
      </c>
      <c r="N321" s="34" t="s">
        <v>86</v>
      </c>
      <c r="O321" s="33" t="n">
        <f>98100</f>
        <v>98100.0</v>
      </c>
      <c r="P321" s="34" t="s">
        <v>50</v>
      </c>
      <c r="Q321" s="33" t="n">
        <f>100400</f>
        <v>100400.0</v>
      </c>
      <c r="R321" s="34" t="s">
        <v>51</v>
      </c>
      <c r="S321" s="35" t="n">
        <f>99305</f>
        <v>99305.0</v>
      </c>
      <c r="T321" s="32" t="n">
        <f>4346</f>
        <v>4346.0</v>
      </c>
      <c r="U321" s="32" t="n">
        <f>860</f>
        <v>860.0</v>
      </c>
      <c r="V321" s="32" t="n">
        <f>432870098</f>
        <v>4.32870098E8</v>
      </c>
      <c r="W321" s="32" t="n">
        <f>85751298</f>
        <v>8.5751298E7</v>
      </c>
      <c r="X321" s="36" t="n">
        <f>20</f>
        <v>20.0</v>
      </c>
    </row>
    <row r="322">
      <c r="A322" s="27" t="s">
        <v>42</v>
      </c>
      <c r="B322" s="27" t="s">
        <v>1016</v>
      </c>
      <c r="C322" s="27" t="s">
        <v>1017</v>
      </c>
      <c r="D322" s="27" t="s">
        <v>1018</v>
      </c>
      <c r="E322" s="28" t="s">
        <v>46</v>
      </c>
      <c r="F322" s="29" t="s">
        <v>46</v>
      </c>
      <c r="G322" s="30" t="s">
        <v>46</v>
      </c>
      <c r="H322" s="31"/>
      <c r="I322" s="31" t="s">
        <v>629</v>
      </c>
      <c r="J322" s="32" t="n">
        <v>1.0</v>
      </c>
      <c r="K322" s="33" t="n">
        <f>119500</f>
        <v>119500.0</v>
      </c>
      <c r="L322" s="34" t="s">
        <v>48</v>
      </c>
      <c r="M322" s="33" t="n">
        <f>121500</f>
        <v>121500.0</v>
      </c>
      <c r="N322" s="34" t="s">
        <v>86</v>
      </c>
      <c r="O322" s="33" t="n">
        <f>116800</f>
        <v>116800.0</v>
      </c>
      <c r="P322" s="34" t="s">
        <v>69</v>
      </c>
      <c r="Q322" s="33" t="n">
        <f>120100</f>
        <v>120100.0</v>
      </c>
      <c r="R322" s="34" t="s">
        <v>51</v>
      </c>
      <c r="S322" s="35" t="n">
        <f>118990</f>
        <v>118990.0</v>
      </c>
      <c r="T322" s="32" t="n">
        <f>5738</f>
        <v>5738.0</v>
      </c>
      <c r="U322" s="32" t="n">
        <f>290</f>
        <v>290.0</v>
      </c>
      <c r="V322" s="32" t="n">
        <f>684703600</f>
        <v>6.847036E8</v>
      </c>
      <c r="W322" s="32" t="n">
        <f>34960600</f>
        <v>3.49606E7</v>
      </c>
      <c r="X322" s="36" t="n">
        <f>20</f>
        <v>20.0</v>
      </c>
    </row>
    <row r="323">
      <c r="A323" s="27" t="s">
        <v>42</v>
      </c>
      <c r="B323" s="27" t="s">
        <v>1019</v>
      </c>
      <c r="C323" s="27" t="s">
        <v>1020</v>
      </c>
      <c r="D323" s="27" t="s">
        <v>1021</v>
      </c>
      <c r="E323" s="28" t="s">
        <v>46</v>
      </c>
      <c r="F323" s="29" t="s">
        <v>46</v>
      </c>
      <c r="G323" s="30" t="s">
        <v>46</v>
      </c>
      <c r="H323" s="31"/>
      <c r="I323" s="31" t="s">
        <v>629</v>
      </c>
      <c r="J323" s="32" t="n">
        <v>1.0</v>
      </c>
      <c r="K323" s="33" t="n">
        <f>91500</f>
        <v>91500.0</v>
      </c>
      <c r="L323" s="34" t="s">
        <v>48</v>
      </c>
      <c r="M323" s="33" t="n">
        <f>92100</f>
        <v>92100.0</v>
      </c>
      <c r="N323" s="34" t="s">
        <v>48</v>
      </c>
      <c r="O323" s="33" t="n">
        <f>89500</f>
        <v>89500.0</v>
      </c>
      <c r="P323" s="34" t="s">
        <v>266</v>
      </c>
      <c r="Q323" s="33" t="n">
        <f>90100</f>
        <v>90100.0</v>
      </c>
      <c r="R323" s="34" t="s">
        <v>51</v>
      </c>
      <c r="S323" s="35" t="n">
        <f>90335</f>
        <v>90335.0</v>
      </c>
      <c r="T323" s="32" t="n">
        <f>14129</f>
        <v>14129.0</v>
      </c>
      <c r="U323" s="32" t="str">
        <f>"－"</f>
        <v>－</v>
      </c>
      <c r="V323" s="32" t="n">
        <f>1276899100</f>
        <v>1.2768991E9</v>
      </c>
      <c r="W323" s="32" t="str">
        <f>"－"</f>
        <v>－</v>
      </c>
      <c r="X323" s="36" t="n">
        <f>20</f>
        <v>20.0</v>
      </c>
    </row>
    <row r="324">
      <c r="A324" s="27" t="s">
        <v>42</v>
      </c>
      <c r="B324" s="27" t="s">
        <v>1022</v>
      </c>
      <c r="C324" s="27" t="s">
        <v>1023</v>
      </c>
      <c r="D324" s="27" t="s">
        <v>1024</v>
      </c>
      <c r="E324" s="28" t="s">
        <v>46</v>
      </c>
      <c r="F324" s="29" t="s">
        <v>46</v>
      </c>
      <c r="G324" s="30" t="s">
        <v>46</v>
      </c>
      <c r="H324" s="31"/>
      <c r="I324" s="31" t="s">
        <v>629</v>
      </c>
      <c r="J324" s="32" t="n">
        <v>1.0</v>
      </c>
      <c r="K324" s="33" t="n">
        <f>95500</f>
        <v>95500.0</v>
      </c>
      <c r="L324" s="34" t="s">
        <v>48</v>
      </c>
      <c r="M324" s="33" t="n">
        <f>101800</f>
        <v>101800.0</v>
      </c>
      <c r="N324" s="34" t="s">
        <v>51</v>
      </c>
      <c r="O324" s="33" t="n">
        <f>94500</f>
        <v>94500.0</v>
      </c>
      <c r="P324" s="34" t="s">
        <v>69</v>
      </c>
      <c r="Q324" s="33" t="n">
        <f>101700</f>
        <v>101700.0</v>
      </c>
      <c r="R324" s="34" t="s">
        <v>51</v>
      </c>
      <c r="S324" s="35" t="n">
        <f>97045</f>
        <v>97045.0</v>
      </c>
      <c r="T324" s="32" t="n">
        <f>4805</f>
        <v>4805.0</v>
      </c>
      <c r="U324" s="32" t="n">
        <f>100</f>
        <v>100.0</v>
      </c>
      <c r="V324" s="32" t="n">
        <f>468868889</f>
        <v>4.68868889E8</v>
      </c>
      <c r="W324" s="32" t="n">
        <f>9863089</f>
        <v>9863089.0</v>
      </c>
      <c r="X324" s="36" t="n">
        <f>20</f>
        <v>20.0</v>
      </c>
    </row>
    <row r="325">
      <c r="A325" s="27" t="s">
        <v>42</v>
      </c>
      <c r="B325" s="27" t="s">
        <v>1025</v>
      </c>
      <c r="C325" s="27" t="s">
        <v>1026</v>
      </c>
      <c r="D325" s="27" t="s">
        <v>1027</v>
      </c>
      <c r="E325" s="28" t="s">
        <v>46</v>
      </c>
      <c r="F325" s="29" t="s">
        <v>46</v>
      </c>
      <c r="G325" s="30" t="s">
        <v>46</v>
      </c>
      <c r="H325" s="31"/>
      <c r="I325" s="31" t="s">
        <v>629</v>
      </c>
      <c r="J325" s="32" t="n">
        <v>1.0</v>
      </c>
      <c r="K325" s="33" t="n">
        <f>95000</f>
        <v>95000.0</v>
      </c>
      <c r="L325" s="34" t="s">
        <v>48</v>
      </c>
      <c r="M325" s="33" t="n">
        <f>95900</f>
        <v>95900.0</v>
      </c>
      <c r="N325" s="34" t="s">
        <v>51</v>
      </c>
      <c r="O325" s="33" t="n">
        <f>93300</f>
        <v>93300.0</v>
      </c>
      <c r="P325" s="34" t="s">
        <v>61</v>
      </c>
      <c r="Q325" s="33" t="n">
        <f>95900</f>
        <v>95900.0</v>
      </c>
      <c r="R325" s="34" t="s">
        <v>51</v>
      </c>
      <c r="S325" s="35" t="n">
        <f>94335</f>
        <v>94335.0</v>
      </c>
      <c r="T325" s="32" t="n">
        <f>4570</f>
        <v>4570.0</v>
      </c>
      <c r="U325" s="32" t="n">
        <f>10</f>
        <v>10.0</v>
      </c>
      <c r="V325" s="32" t="n">
        <f>430635700</f>
        <v>4.306357E8</v>
      </c>
      <c r="W325" s="32" t="n">
        <f>938900</f>
        <v>938900.0</v>
      </c>
      <c r="X325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