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<sst xmlns="http://schemas.openxmlformats.org/spreadsheetml/2006/main" count="3929" uniqueCount="1039">
  <si>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</si>
  <si>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</si>
  <si>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</si>
  <si>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</si>
  <si>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</si>
  <si>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</si>
  <si>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</si>
  <si>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</si>
  <si>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</si>
  <si>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</si>
  <si>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</si>
  <si>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</si>
  <si>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</si>
  <si>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</si>
  <si>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</si>
  <si>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</si>
  <si>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</si>
  <si>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</si>
  <si>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</si>
  <si>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</si>
  <si>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</si>
  <si>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</si>
  <si>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</si>
  <si>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</si>
  <si>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</si>
  <si>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</si>
  <si>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</si>
  <si>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</si>
  <si>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</si>
  <si>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</si>
  <si>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</si>
  <si>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</si>
  <si>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</si>
  <si>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</si>
  <si>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</si>
  <si>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</si>
  <si>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</si>
  <si>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</si>
  <si>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</si>
  <si>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</si>
  <si>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</si>
  <si>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</si>
  <si>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2020/10</t>
  </si>
  <si>
    <t>1305</t>
  </si>
  <si>
    <t>ダイワ上場投信－トピックス　受益証券</t>
  </si>
  <si>
    <t>Daiwa ETF-TOPIX</t>
  </si>
  <si>
    <t/>
  </si>
  <si>
    <t>貸借</t>
  </si>
  <si>
    <t>2</t>
  </si>
  <si>
    <t>8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</si>
  <si>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</si>
  <si>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</si>
  <si>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</si>
  <si>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</si>
  <si>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</si>
  <si>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</si>
  <si>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</si>
  <si>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</si>
  <si>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</si>
  <si>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</si>
  <si>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19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</si>
  <si>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</si>
  <si>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</si>
  <si>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</si>
  <si>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</si>
  <si>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</si>
  <si>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</si>
  <si>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9</t>
  </si>
  <si>
    <t>29</t>
  </si>
  <si>
    <t>1313</t>
  </si>
  <si>
    <t>サムスンＫＯＤＥＸ２００証券上場指数投資信託[株式]　受益証券</t>
  </si>
  <si>
    <t>SAMSUNG KODEX200 SECURITIES EXCHANGE TRADED FUND [STOCK]</t>
  </si>
  <si>
    <t>5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</si>
  <si>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</si>
  <si>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</si>
  <si>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</si>
  <si>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</si>
  <si>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</si>
  <si>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</si>
  <si>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</si>
  <si>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</si>
  <si>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</si>
  <si>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</si>
  <si>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</si>
  <si>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</si>
  <si>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27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</si>
  <si>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</si>
  <si>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</si>
  <si>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</si>
  <si>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1324</t>
  </si>
  <si>
    <t>ＮＥＸＴ　ＦＵＮＤＳ　ロシア株式指数・ＲＴＳ連動型上場投信　受益証券</t>
  </si>
  <si>
    <t>NEXT FUNDS Russia RTS Linked Exchange Traded Fund</t>
  </si>
  <si>
    <t>12</t>
  </si>
  <si>
    <t>1325</t>
  </si>
  <si>
    <t>ＮＥＸＴ　ＦＵＮＤＳ　ブラジル株式指数・ボベスパ連動型上場投信　受益証券</t>
  </si>
  <si>
    <t>NEXT FUNDS Ibovespa Linked Exchange Traded Fund</t>
  </si>
  <si>
    <t>6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</si>
  <si>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</si>
  <si>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</si>
  <si>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</si>
  <si>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</si>
  <si>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</si>
  <si>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</si>
  <si>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26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</si>
  <si>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</si>
  <si>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</si>
  <si>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</si>
  <si>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</si>
  <si>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</si>
  <si>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</si>
  <si>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</si>
  <si>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</si>
  <si>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</si>
  <si>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</si>
  <si>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</si>
  <si>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</si>
  <si>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7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</si>
  <si>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</si>
  <si>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</si>
  <si>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</si>
  <si>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</si>
  <si>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</si>
  <si>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</si>
  <si>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</si>
  <si>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</si>
  <si>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</si>
  <si>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</si>
  <si>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</si>
  <si>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</si>
  <si>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</si>
  <si>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</si>
  <si>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</si>
  <si>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21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</si>
  <si>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</si>
  <si>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</si>
  <si>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</si>
  <si>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</si>
  <si>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</si>
  <si>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</si>
  <si>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</si>
  <si>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</si>
  <si>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</si>
  <si>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</si>
  <si>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</si>
  <si>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</si>
  <si>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</si>
  <si>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</si>
  <si>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</si>
  <si>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</si>
  <si>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</si>
  <si>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</si>
  <si>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</si>
  <si>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</si>
  <si>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</si>
  <si>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</si>
  <si>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</si>
  <si>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</si>
  <si>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</si>
  <si>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</si>
  <si>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</si>
  <si>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</si>
  <si>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</si>
  <si>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</si>
  <si>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</si>
  <si>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</si>
  <si>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</si>
  <si>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</si>
  <si>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</si>
  <si>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</si>
  <si>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</si>
  <si>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</si>
  <si>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</si>
  <si>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</si>
  <si>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16</t>
  </si>
  <si>
    <t>1388</t>
  </si>
  <si>
    <t>ＵＢＳ　ＥＴＦ　ユーロ圏小型株（ＭＳＣＩ　ＥＭＵ小型株）　受益証券</t>
  </si>
  <si>
    <t>UBS ETF MSCI EMU Small Cap UCITS ETF-JDR</t>
  </si>
  <si>
    <t>28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</si>
  <si>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</si>
  <si>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</si>
  <si>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</si>
  <si>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</si>
  <si>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</si>
  <si>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</si>
  <si>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</si>
  <si>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</si>
  <si>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</si>
  <si>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</si>
  <si>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</si>
  <si>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</si>
  <si>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</si>
  <si>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</si>
  <si>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</si>
  <si>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</si>
  <si>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</si>
  <si>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</si>
  <si>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</si>
  <si>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</si>
  <si>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</si>
  <si>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</si>
  <si>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</si>
  <si>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</si>
  <si>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</si>
  <si>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</si>
  <si>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</si>
  <si>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</si>
  <si>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</si>
  <si>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</si>
  <si>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</si>
  <si>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</si>
  <si>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</si>
  <si>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</si>
  <si>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</si>
  <si>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</si>
  <si>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</si>
  <si>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</si>
  <si>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</si>
  <si>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</si>
  <si>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</si>
  <si>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</si>
  <si>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</si>
  <si>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</si>
  <si>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</si>
  <si>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</si>
  <si>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</si>
  <si>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</si>
  <si>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</si>
  <si>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</si>
  <si>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</si>
  <si>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</si>
  <si>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</si>
  <si>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</si>
  <si>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</si>
  <si>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</si>
  <si>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</si>
  <si>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</si>
  <si>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</si>
  <si>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</si>
  <si>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</si>
  <si>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</si>
  <si>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</si>
  <si>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</si>
  <si>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</si>
  <si>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</si>
  <si>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</si>
  <si>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</si>
  <si>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</si>
  <si>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</si>
  <si>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</si>
  <si>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</si>
  <si>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</si>
  <si>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</si>
  <si>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</si>
  <si>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</si>
  <si>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</si>
  <si>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</si>
  <si>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</si>
  <si>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</si>
  <si>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</si>
  <si>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</si>
  <si>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</si>
  <si>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</si>
  <si>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</si>
  <si>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</si>
  <si>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</si>
  <si>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</si>
  <si>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</si>
  <si>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</si>
  <si>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</si>
  <si>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</si>
  <si>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</si>
  <si>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</si>
  <si>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</si>
  <si>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</si>
  <si>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</si>
  <si>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</si>
  <si>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</si>
  <si>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</si>
  <si>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23</t>
  </si>
  <si>
    <t>1483</t>
  </si>
  <si>
    <t>ｉシェアーズ　ＪＰＸ／Ｓ＆Ｐ設備・人材投資　ＥＴＦ　受益証券</t>
  </si>
  <si>
    <t>iShares JPX/S&amp;P CAPEX &amp; Human Capital ETF</t>
  </si>
  <si>
    <t>20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</si>
  <si>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</si>
  <si>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</si>
  <si>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</si>
  <si>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</si>
  <si>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</si>
  <si>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</si>
  <si>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</si>
  <si>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</si>
  <si>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</si>
  <si>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</si>
  <si>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</si>
  <si>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</si>
  <si>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</si>
  <si>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</si>
  <si>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</si>
  <si>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</si>
  <si>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</si>
  <si>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</si>
  <si>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</si>
  <si>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</si>
  <si>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</si>
  <si>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</si>
  <si>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</si>
  <si>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</si>
  <si>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22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</si>
  <si>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</si>
  <si>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</si>
  <si>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</si>
  <si>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</si>
  <si>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</si>
  <si>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</si>
  <si>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</si>
  <si>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</si>
  <si>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</si>
  <si>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</si>
  <si>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</si>
  <si>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</si>
  <si>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</si>
  <si>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</si>
  <si>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</si>
  <si>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</si>
  <si>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</si>
  <si>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</si>
  <si>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</si>
  <si>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</si>
  <si>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</si>
  <si>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</si>
  <si>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</si>
  <si>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</si>
  <si>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</si>
  <si>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</si>
  <si>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</si>
  <si>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</si>
  <si>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</si>
  <si>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</si>
  <si>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</si>
  <si>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</si>
  <si>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</si>
  <si>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</si>
  <si>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</si>
  <si>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</si>
  <si>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</si>
  <si>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</si>
  <si>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</si>
  <si>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</si>
  <si>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</si>
  <si>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</si>
  <si>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</si>
  <si>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</si>
  <si>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</si>
  <si>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</si>
  <si>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</si>
  <si>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</si>
  <si>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</si>
  <si>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</si>
  <si>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</si>
  <si>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</si>
  <si>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</si>
  <si>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</si>
  <si>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</si>
  <si>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</si>
  <si>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</si>
  <si>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</si>
  <si>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</si>
  <si>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</si>
  <si>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</si>
  <si>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</si>
  <si>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</si>
  <si>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</si>
  <si>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</si>
  <si>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</si>
  <si>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</si>
  <si>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</si>
  <si>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</si>
  <si>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</si>
  <si>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</si>
  <si>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</si>
  <si>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</si>
  <si>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</si>
  <si>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</si>
  <si>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</si>
  <si>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</si>
  <si>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</si>
  <si>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</si>
  <si>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</si>
  <si>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</si>
  <si>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</si>
  <si>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</si>
  <si>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</si>
  <si>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</si>
  <si>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</si>
  <si>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</si>
  <si>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</si>
  <si>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</si>
  <si>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</si>
  <si>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</si>
  <si>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</si>
  <si>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</si>
  <si>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</si>
  <si>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</si>
  <si>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</si>
  <si>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</si>
  <si>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</si>
  <si>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</si>
  <si>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</si>
  <si>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</si>
  <si>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</si>
  <si>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</si>
  <si>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</si>
  <si>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</si>
  <si>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</si>
  <si>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</si>
  <si>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</si>
  <si>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</si>
  <si>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</si>
  <si>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</si>
  <si>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</si>
  <si>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</si>
  <si>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</si>
  <si>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</si>
  <si>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</si>
  <si>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</si>
  <si>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</si>
  <si>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</si>
  <si>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</si>
  <si>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</si>
  <si>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</si>
  <si>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</si>
  <si>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</si>
  <si>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</si>
  <si>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</si>
  <si>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</si>
  <si>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</si>
  <si>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</si>
  <si>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</si>
  <si>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</si>
  <si>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</si>
  <si>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</si>
  <si>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</si>
  <si>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</si>
  <si>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</si>
  <si>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</si>
  <si>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</si>
  <si>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</si>
  <si>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</si>
  <si>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</si>
  <si>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</si>
  <si>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</si>
  <si>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</si>
  <si>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</si>
  <si>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</si>
  <si>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</si>
  <si>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</si>
  <si>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</si>
  <si>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</si>
  <si>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</si>
  <si>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</si>
  <si>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</si>
  <si>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</si>
  <si>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</si>
  <si>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</si>
  <si>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</si>
  <si>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</si>
  <si>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</si>
  <si>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</si>
  <si>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</si>
  <si>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</si>
  <si>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</si>
  <si>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</si>
  <si>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</si>
  <si>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</si>
  <si>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</si>
  <si>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</si>
  <si>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</si>
  <si>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</si>
  <si>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</si>
  <si>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</si>
  <si>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</si>
  <si>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</si>
  <si>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</si>
  <si>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</si>
  <si>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</si>
  <si>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</si>
  <si>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</si>
  <si>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</si>
  <si>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</si>
  <si>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</si>
  <si>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</si>
  <si>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</si>
  <si>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</si>
  <si>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</si>
  <si>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</si>
  <si>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</si>
  <si>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</si>
  <si>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</si>
  <si>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</si>
  <si>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</si>
  <si>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</si>
  <si>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</si>
  <si>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</si>
  <si>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</si>
  <si>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</si>
  <si>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</si>
  <si>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</si>
  <si>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</si>
  <si>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</si>
  <si>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</si>
  <si>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</si>
  <si>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</si>
  <si>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</si>
  <si>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</si>
  <si>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</si>
  <si>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</si>
  <si>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</si>
  <si>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</si>
  <si>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</si>
  <si>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</si>
  <si>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</si>
  <si>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</si>
  <si>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</si>
  <si>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</si>
  <si>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</si>
  <si>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</si>
  <si>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</si>
  <si>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</si>
  <si>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</si>
  <si>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</si>
  <si>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</si>
  <si>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</si>
  <si>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</si>
  <si>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</si>
  <si>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</si>
  <si>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</si>
  <si>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</si>
  <si>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</si>
  <si>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</si>
  <si>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</si>
  <si>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</si>
  <si>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</si>
  <si>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</si>
  <si>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</si>
  <si>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</si>
  <si>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</si>
  <si>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</si>
  <si>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</si>
  <si>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</si>
  <si>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</si>
  <si>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</si>
  <si>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</si>
  <si>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</si>
  <si>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</si>
  <si>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</si>
  <si>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</si>
  <si>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</si>
  <si>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</si>
  <si>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</si>
  <si>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</si>
  <si>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</si>
  <si>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</si>
  <si>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</si>
  <si>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</si>
  <si>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</si>
  <si>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</si>
  <si>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</si>
  <si>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</si>
  <si>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</si>
  <si>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</si>
  <si>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</si>
  <si>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</si>
  <si>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</si>
  <si>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</si>
  <si>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</si>
  <si>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</si>
  <si>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</si>
  <si>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</si>
  <si>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</si>
  <si>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</si>
  <si>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</si>
  <si>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</si>
  <si>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</si>
  <si>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</si>
  <si>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</si>
  <si>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</si>
  <si>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</si>
  <si>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</si>
  <si>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</si>
  <si>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</si>
  <si>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</si>
  <si>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</si>
  <si>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</si>
  <si>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</si>
  <si>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</si>
  <si>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</si>
  <si>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</si>
  <si>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</si>
  <si>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</si>
  <si>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</si>
  <si>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</si>
  <si>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</si>
  <si>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</si>
  <si>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</si>
  <si>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</si>
  <si>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</si>
  <si>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</si>
  <si>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</si>
  <si>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</si>
  <si>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</si>
  <si>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</si>
  <si>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</si>
  <si>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</si>
  <si>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</si>
  <si>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</si>
  <si>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</si>
  <si>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</si>
  <si>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</si>
  <si>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</si>
  <si>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</si>
  <si>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</si>
  <si>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</si>
  <si>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</si>
  <si>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</si>
  <si>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</si>
  <si>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</si>
  <si>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</si>
  <si>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</si>
  <si>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</si>
  <si>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</si>
  <si>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</si>
  <si>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</si>
  <si>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</si>
  <si>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</si>
  <si>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</si>
  <si>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</si>
  <si>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</si>
  <si>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</si>
  <si>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</si>
  <si>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</si>
  <si>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</si>
  <si>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</si>
  <si>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</si>
  <si>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</si>
  <si>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</si>
  <si>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</si>
  <si>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</si>
  <si>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</si>
  <si>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</si>
  <si>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</si>
  <si>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</si>
  <si>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</si>
  <si>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</si>
  <si>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</si>
  <si>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</si>
  <si>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</si>
  <si>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</si>
  <si>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</si>
  <si>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</si>
  <si>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</si>
  <si>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</si>
  <si>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</si>
  <si>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</si>
  <si>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</si>
  <si>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</si>
  <si>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</si>
  <si>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</si>
  <si>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</si>
  <si>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</si>
  <si>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</si>
  <si>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</si>
  <si>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</si>
  <si>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</si>
  <si>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</si>
  <si>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</si>
  <si>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</si>
  <si>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</si>
  <si>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</si>
  <si>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</si>
  <si>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</si>
  <si>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</si>
  <si>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</si>
  <si>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</si>
  <si>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</si>
  <si>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</si>
  <si>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</si>
  <si>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</si>
  <si>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</si>
  <si>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</si>
  <si>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</si>
  <si>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</si>
  <si>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</si>
  <si>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</si>
  <si>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</si>
  <si>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</si>
  <si>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</si>
  <si>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</si>
  <si>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</si>
  <si>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</si>
  <si>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</si>
  <si>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</si>
  <si>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</si>
  <si>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</si>
  <si>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</si>
  <si>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</si>
  <si>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</si>
  <si>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</si>
  <si>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</si>
  <si>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</si>
  <si>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</si>
  <si>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</si>
  <si>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</si>
  <si>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</si>
  <si>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</si>
  <si>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</si>
  <si>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</si>
  <si>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</si>
  <si>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</si>
  <si>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</si>
  <si>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</si>
  <si>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</si>
  <si>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</si>
  <si>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</si>
  <si>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</si>
  <si>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</si>
  <si>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</si>
  <si>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</si>
  <si>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</si>
  <si>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</si>
  <si>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</si>
  <si>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</si>
  <si>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</si>
  <si>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</si>
  <si>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</si>
  <si>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</si>
  <si>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</si>
  <si>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</si>
  <si>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</si>
  <si>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</si>
  <si>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</si>
  <si>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</si>
  <si>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</si>
  <si>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</si>
  <si>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</si>
  <si>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</si>
  <si>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</si>
  <si>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</si>
  <si>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</si>
  <si>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</si>
  <si>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</si>
  <si>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</si>
  <si>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</si>
  <si>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</si>
  <si>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</si>
  <si>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</si>
  <si>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</si>
  <si>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</si>
  <si>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</si>
  <si>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</si>
  <si>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</si>
  <si>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</si>
  <si>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</si>
  <si>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</si>
  <si>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</si>
  <si>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</si>
  <si>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</si>
  <si>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</si>
  <si>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</si>
  <si>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</si>
  <si>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</si>
  <si>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</si>
  <si>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</si>
  <si>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</si>
  <si>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</si>
  <si>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</si>
  <si>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</si>
  <si>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</si>
  <si>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</si>
  <si>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</si>
  <si>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</si>
  <si>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</si>
  <si>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</si>
  <si>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</si>
  <si>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</si>
  <si>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</si>
  <si>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</si>
  <si>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</si>
  <si>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</si>
  <si>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</si>
  <si>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</si>
  <si>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</si>
  <si>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</si>
  <si>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</si>
  <si>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</si>
  <si>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</si>
  <si>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</si>
  <si>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</si>
  <si>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</si>
  <si>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</si>
  <si>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</si>
  <si>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</si>
  <si>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</si>
  <si>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</si>
  <si>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</si>
  <si>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</si>
  <si>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</si>
  <si>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</si>
  <si>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</si>
  <si>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</si>
  <si>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</si>
  <si>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</si>
  <si>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</si>
  <si>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</si>
  <si>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</si>
  <si>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</si>
  <si>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</si>
  <si>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</si>
  <si>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</si>
  <si>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</si>
  <si>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</si>
  <si>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 xml:space="preserve">新規上場  </t>
  </si>
  <si>
    <t xml:space="preserve">New Listing  </t>
  </si>
  <si>
    <t xml:space="preserve">2020/10/15  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</si>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</sst>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29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1717</f>
        <v>1717.0</v>
      </c>
      <c r="L7" s="34" t="s">
        <v>48</v>
      </c>
      <c r="M7" s="33" t="n">
        <f>1745</f>
        <v>1745.0</v>
      </c>
      <c r="N7" s="34" t="s">
        <v>49</v>
      </c>
      <c r="O7" s="33" t="n">
        <f>1657</f>
        <v>1657.0</v>
      </c>
      <c r="P7" s="34" t="s">
        <v>50</v>
      </c>
      <c r="Q7" s="33" t="n">
        <f>1657</f>
        <v>1657.0</v>
      </c>
      <c r="R7" s="34" t="s">
        <v>50</v>
      </c>
      <c r="S7" s="35" t="n">
        <f>1710.43</f>
        <v>1710.43</v>
      </c>
      <c r="T7" s="32" t="n">
        <f>8951390</f>
        <v>8951390.0</v>
      </c>
      <c r="U7" s="32" t="n">
        <f>2000360</f>
        <v>2000360.0</v>
      </c>
      <c r="V7" s="32" t="n">
        <f>15345727375</f>
        <v>1.5345727375E10</v>
      </c>
      <c r="W7" s="32" t="n">
        <f>3428101465</f>
        <v>3.428101465E9</v>
      </c>
      <c r="X7" s="36" t="n">
        <f>21</f>
        <v>21.0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1697</f>
        <v>1697.0</v>
      </c>
      <c r="L8" s="34" t="s">
        <v>48</v>
      </c>
      <c r="M8" s="33" t="n">
        <f>1724</f>
        <v>1724.0</v>
      </c>
      <c r="N8" s="34" t="s">
        <v>49</v>
      </c>
      <c r="O8" s="33" t="n">
        <f>1637</f>
        <v>1637.0</v>
      </c>
      <c r="P8" s="34" t="s">
        <v>50</v>
      </c>
      <c r="Q8" s="33" t="n">
        <f>1641</f>
        <v>1641.0</v>
      </c>
      <c r="R8" s="34" t="s">
        <v>50</v>
      </c>
      <c r="S8" s="35" t="n">
        <f>1690.81</f>
        <v>1690.81</v>
      </c>
      <c r="T8" s="32" t="n">
        <f>44713180</f>
        <v>4.471318E7</v>
      </c>
      <c r="U8" s="32" t="n">
        <f>5763650</f>
        <v>5763650.0</v>
      </c>
      <c r="V8" s="32" t="n">
        <f>75527137344</f>
        <v>7.5527137344E10</v>
      </c>
      <c r="W8" s="32" t="n">
        <f>9788035464</f>
        <v>9.788035464E9</v>
      </c>
      <c r="X8" s="36" t="n">
        <f>21</f>
        <v>21.0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1679</f>
        <v>1679.0</v>
      </c>
      <c r="L9" s="34" t="s">
        <v>48</v>
      </c>
      <c r="M9" s="33" t="n">
        <f>1705</f>
        <v>1705.0</v>
      </c>
      <c r="N9" s="34" t="s">
        <v>49</v>
      </c>
      <c r="O9" s="33" t="n">
        <f>1620</f>
        <v>1620.0</v>
      </c>
      <c r="P9" s="34" t="s">
        <v>50</v>
      </c>
      <c r="Q9" s="33" t="n">
        <f>1624</f>
        <v>1624.0</v>
      </c>
      <c r="R9" s="34" t="s">
        <v>50</v>
      </c>
      <c r="S9" s="35" t="n">
        <f>1673</f>
        <v>1673.0</v>
      </c>
      <c r="T9" s="32" t="n">
        <f>6165100</f>
        <v>6165100.0</v>
      </c>
      <c r="U9" s="32" t="n">
        <f>100600</f>
        <v>100600.0</v>
      </c>
      <c r="V9" s="32" t="n">
        <f>10300572723</f>
        <v>1.0300572723E10</v>
      </c>
      <c r="W9" s="32" t="n">
        <f>166437723</f>
        <v>1.66437723E8</v>
      </c>
      <c r="X9" s="36" t="n">
        <f>21</f>
        <v>21.0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37900</f>
        <v>37900.0</v>
      </c>
      <c r="L10" s="34" t="s">
        <v>48</v>
      </c>
      <c r="M10" s="33" t="n">
        <f>40900</f>
        <v>40900.0</v>
      </c>
      <c r="N10" s="34" t="s">
        <v>60</v>
      </c>
      <c r="O10" s="33" t="n">
        <f>37850</f>
        <v>37850.0</v>
      </c>
      <c r="P10" s="34" t="s">
        <v>48</v>
      </c>
      <c r="Q10" s="33" t="n">
        <f>38800</f>
        <v>38800.0</v>
      </c>
      <c r="R10" s="34" t="s">
        <v>50</v>
      </c>
      <c r="S10" s="35" t="n">
        <f>39571.43</f>
        <v>39571.43</v>
      </c>
      <c r="T10" s="32" t="n">
        <f>7784</f>
        <v>7784.0</v>
      </c>
      <c r="U10" s="32" t="str">
        <f>"－"</f>
        <v>－</v>
      </c>
      <c r="V10" s="32" t="n">
        <f>309130300</f>
        <v>3.091303E8</v>
      </c>
      <c r="W10" s="32" t="str">
        <f>"－"</f>
        <v>－</v>
      </c>
      <c r="X10" s="36" t="n">
        <f>21</f>
        <v>21.0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738</f>
        <v>738.0</v>
      </c>
      <c r="L11" s="34" t="s">
        <v>48</v>
      </c>
      <c r="M11" s="33" t="n">
        <f>747</f>
        <v>747.0</v>
      </c>
      <c r="N11" s="34" t="s">
        <v>49</v>
      </c>
      <c r="O11" s="33" t="n">
        <f>718</f>
        <v>718.0</v>
      </c>
      <c r="P11" s="34" t="s">
        <v>50</v>
      </c>
      <c r="Q11" s="33" t="n">
        <f>720</f>
        <v>720.0</v>
      </c>
      <c r="R11" s="34" t="s">
        <v>50</v>
      </c>
      <c r="S11" s="35" t="n">
        <f>735.05</f>
        <v>735.05</v>
      </c>
      <c r="T11" s="32" t="n">
        <f>76910</f>
        <v>76910.0</v>
      </c>
      <c r="U11" s="32" t="n">
        <f>20</f>
        <v>20.0</v>
      </c>
      <c r="V11" s="32" t="n">
        <f>56392680</f>
        <v>5.639268E7</v>
      </c>
      <c r="W11" s="32" t="n">
        <f>14720</f>
        <v>14720.0</v>
      </c>
      <c r="X11" s="36" t="n">
        <f>21</f>
        <v>21.0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19520</f>
        <v>19520.0</v>
      </c>
      <c r="L12" s="34" t="s">
        <v>48</v>
      </c>
      <c r="M12" s="33" t="n">
        <f>19660</f>
        <v>19660.0</v>
      </c>
      <c r="N12" s="34" t="s">
        <v>67</v>
      </c>
      <c r="O12" s="33" t="n">
        <f>18760</f>
        <v>18760.0</v>
      </c>
      <c r="P12" s="34" t="s">
        <v>68</v>
      </c>
      <c r="Q12" s="33" t="n">
        <f>19160</f>
        <v>19160.0</v>
      </c>
      <c r="R12" s="34" t="s">
        <v>50</v>
      </c>
      <c r="S12" s="35" t="n">
        <f>19304.12</f>
        <v>19304.12</v>
      </c>
      <c r="T12" s="32" t="n">
        <f>481</f>
        <v>481.0</v>
      </c>
      <c r="U12" s="32" t="str">
        <f>"－"</f>
        <v>－</v>
      </c>
      <c r="V12" s="32" t="n">
        <f>9367000</f>
        <v>9367000.0</v>
      </c>
      <c r="W12" s="32" t="str">
        <f>"－"</f>
        <v>－</v>
      </c>
      <c r="X12" s="36" t="n">
        <f>17</f>
        <v>17.0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2825</f>
        <v>2825.0</v>
      </c>
      <c r="L13" s="34" t="s">
        <v>48</v>
      </c>
      <c r="M13" s="33" t="n">
        <f>3000</f>
        <v>3000.0</v>
      </c>
      <c r="N13" s="34" t="s">
        <v>67</v>
      </c>
      <c r="O13" s="33" t="n">
        <f>2762</f>
        <v>2762.0</v>
      </c>
      <c r="P13" s="34" t="s">
        <v>72</v>
      </c>
      <c r="Q13" s="33" t="n">
        <f>2879</f>
        <v>2879.0</v>
      </c>
      <c r="R13" s="34" t="s">
        <v>50</v>
      </c>
      <c r="S13" s="35" t="n">
        <f>2900.39</f>
        <v>2900.39</v>
      </c>
      <c r="T13" s="32" t="n">
        <f>3030</f>
        <v>3030.0</v>
      </c>
      <c r="U13" s="32" t="str">
        <f>"－"</f>
        <v>－</v>
      </c>
      <c r="V13" s="32" t="n">
        <f>8760170</f>
        <v>8760170.0</v>
      </c>
      <c r="W13" s="32" t="str">
        <f>"－"</f>
        <v>－</v>
      </c>
      <c r="X13" s="36" t="n">
        <f>18</f>
        <v>18.0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324</f>
        <v>324.0</v>
      </c>
      <c r="L14" s="34" t="s">
        <v>48</v>
      </c>
      <c r="M14" s="33" t="n">
        <f>324</f>
        <v>324.0</v>
      </c>
      <c r="N14" s="34" t="s">
        <v>48</v>
      </c>
      <c r="O14" s="33" t="n">
        <f>305</f>
        <v>305.0</v>
      </c>
      <c r="P14" s="34" t="s">
        <v>50</v>
      </c>
      <c r="Q14" s="33" t="n">
        <f>305</f>
        <v>305.0</v>
      </c>
      <c r="R14" s="34" t="s">
        <v>50</v>
      </c>
      <c r="S14" s="35" t="n">
        <f>315.56</f>
        <v>315.56</v>
      </c>
      <c r="T14" s="32" t="n">
        <f>406000</f>
        <v>406000.0</v>
      </c>
      <c r="U14" s="32" t="str">
        <f>"－"</f>
        <v>－</v>
      </c>
      <c r="V14" s="32" t="n">
        <f>127209000</f>
        <v>1.27209E8</v>
      </c>
      <c r="W14" s="32" t="str">
        <f>"－"</f>
        <v>－</v>
      </c>
      <c r="X14" s="36" t="n">
        <f>18</f>
        <v>18.0</v>
      </c>
    </row>
    <row r="15">
      <c r="A15" s="27" t="s">
        <v>42</v>
      </c>
      <c r="B15" s="27" t="s">
        <v>76</v>
      </c>
      <c r="C15" s="27" t="s">
        <v>77</v>
      </c>
      <c r="D15" s="27" t="s">
        <v>78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23970</f>
        <v>23970.0</v>
      </c>
      <c r="L15" s="34" t="s">
        <v>48</v>
      </c>
      <c r="M15" s="33" t="n">
        <f>24380</f>
        <v>24380.0</v>
      </c>
      <c r="N15" s="34" t="s">
        <v>67</v>
      </c>
      <c r="O15" s="33" t="n">
        <f>23590</f>
        <v>23590.0</v>
      </c>
      <c r="P15" s="34" t="s">
        <v>50</v>
      </c>
      <c r="Q15" s="33" t="n">
        <f>23630</f>
        <v>23630.0</v>
      </c>
      <c r="R15" s="34" t="s">
        <v>50</v>
      </c>
      <c r="S15" s="35" t="n">
        <f>24110.48</f>
        <v>24110.48</v>
      </c>
      <c r="T15" s="32" t="n">
        <f>842835</f>
        <v>842835.0</v>
      </c>
      <c r="U15" s="32" t="n">
        <f>260544</f>
        <v>260544.0</v>
      </c>
      <c r="V15" s="32" t="n">
        <f>20293719329</f>
        <v>2.0293719329E10</v>
      </c>
      <c r="W15" s="32" t="n">
        <f>6280495809</f>
        <v>6.280495809E9</v>
      </c>
      <c r="X15" s="36" t="n">
        <f>21</f>
        <v>21.0</v>
      </c>
    </row>
    <row r="16">
      <c r="A16" s="27" t="s">
        <v>42</v>
      </c>
      <c r="B16" s="27" t="s">
        <v>79</v>
      </c>
      <c r="C16" s="27" t="s">
        <v>80</v>
      </c>
      <c r="D16" s="27" t="s">
        <v>81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24010</f>
        <v>24010.0</v>
      </c>
      <c r="L16" s="34" t="s">
        <v>48</v>
      </c>
      <c r="M16" s="33" t="n">
        <f>24440</f>
        <v>24440.0</v>
      </c>
      <c r="N16" s="34" t="s">
        <v>67</v>
      </c>
      <c r="O16" s="33" t="n">
        <f>23640</f>
        <v>23640.0</v>
      </c>
      <c r="P16" s="34" t="s">
        <v>50</v>
      </c>
      <c r="Q16" s="33" t="n">
        <f>23680</f>
        <v>23680.0</v>
      </c>
      <c r="R16" s="34" t="s">
        <v>50</v>
      </c>
      <c r="S16" s="35" t="n">
        <f>24165.24</f>
        <v>24165.24</v>
      </c>
      <c r="T16" s="32" t="n">
        <f>4306128</f>
        <v>4306128.0</v>
      </c>
      <c r="U16" s="32" t="n">
        <f>482668</f>
        <v>482668.0</v>
      </c>
      <c r="V16" s="32" t="n">
        <f>103928686780</f>
        <v>1.0392868678E11</v>
      </c>
      <c r="W16" s="32" t="n">
        <f>11676018310</f>
        <v>1.167601831E10</v>
      </c>
      <c r="X16" s="36" t="n">
        <f>21</f>
        <v>21.0</v>
      </c>
    </row>
    <row r="17">
      <c r="A17" s="27" t="s">
        <v>42</v>
      </c>
      <c r="B17" s="27" t="s">
        <v>82</v>
      </c>
      <c r="C17" s="27" t="s">
        <v>83</v>
      </c>
      <c r="D17" s="27" t="s">
        <v>84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6940</f>
        <v>6940.0</v>
      </c>
      <c r="L17" s="34" t="s">
        <v>48</v>
      </c>
      <c r="M17" s="33" t="n">
        <f>7490</f>
        <v>7490.0</v>
      </c>
      <c r="N17" s="34" t="s">
        <v>85</v>
      </c>
      <c r="O17" s="33" t="n">
        <f>6780</f>
        <v>6780.0</v>
      </c>
      <c r="P17" s="34" t="s">
        <v>48</v>
      </c>
      <c r="Q17" s="33" t="n">
        <f>7070</f>
        <v>7070.0</v>
      </c>
      <c r="R17" s="34" t="s">
        <v>50</v>
      </c>
      <c r="S17" s="35" t="n">
        <f>7164.29</f>
        <v>7164.29</v>
      </c>
      <c r="T17" s="32" t="n">
        <f>16010</f>
        <v>16010.0</v>
      </c>
      <c r="U17" s="32" t="str">
        <f>"－"</f>
        <v>－</v>
      </c>
      <c r="V17" s="32" t="n">
        <f>115564600</f>
        <v>1.155646E8</v>
      </c>
      <c r="W17" s="32" t="str">
        <f>"－"</f>
        <v>－</v>
      </c>
      <c r="X17" s="36" t="n">
        <f>21</f>
        <v>21.0</v>
      </c>
    </row>
    <row r="18">
      <c r="A18" s="27" t="s">
        <v>42</v>
      </c>
      <c r="B18" s="27" t="s">
        <v>86</v>
      </c>
      <c r="C18" s="27" t="s">
        <v>87</v>
      </c>
      <c r="D18" s="27" t="s">
        <v>88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323</f>
        <v>323.0</v>
      </c>
      <c r="L18" s="34" t="s">
        <v>48</v>
      </c>
      <c r="M18" s="33" t="n">
        <f>323</f>
        <v>323.0</v>
      </c>
      <c r="N18" s="34" t="s">
        <v>48</v>
      </c>
      <c r="O18" s="33" t="n">
        <f>310</f>
        <v>310.0</v>
      </c>
      <c r="P18" s="34" t="s">
        <v>68</v>
      </c>
      <c r="Q18" s="33" t="n">
        <f>311</f>
        <v>311.0</v>
      </c>
      <c r="R18" s="34" t="s">
        <v>50</v>
      </c>
      <c r="S18" s="35" t="n">
        <f>316.35</f>
        <v>316.35</v>
      </c>
      <c r="T18" s="32" t="n">
        <f>18700</f>
        <v>18700.0</v>
      </c>
      <c r="U18" s="32" t="n">
        <f>100</f>
        <v>100.0</v>
      </c>
      <c r="V18" s="32" t="n">
        <f>5921200</f>
        <v>5921200.0</v>
      </c>
      <c r="W18" s="32" t="n">
        <f>31500</f>
        <v>31500.0</v>
      </c>
      <c r="X18" s="36" t="n">
        <f>20</f>
        <v>20.0</v>
      </c>
    </row>
    <row r="19">
      <c r="A19" s="27" t="s">
        <v>42</v>
      </c>
      <c r="B19" s="27" t="s">
        <v>89</v>
      </c>
      <c r="C19" s="27" t="s">
        <v>90</v>
      </c>
      <c r="D19" s="27" t="s">
        <v>91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130</f>
        <v>130.0</v>
      </c>
      <c r="L19" s="34" t="s">
        <v>48</v>
      </c>
      <c r="M19" s="33" t="n">
        <f>132</f>
        <v>132.0</v>
      </c>
      <c r="N19" s="34" t="s">
        <v>92</v>
      </c>
      <c r="O19" s="33" t="n">
        <f>127</f>
        <v>127.0</v>
      </c>
      <c r="P19" s="34" t="s">
        <v>50</v>
      </c>
      <c r="Q19" s="33" t="n">
        <f>128</f>
        <v>128.0</v>
      </c>
      <c r="R19" s="34" t="s">
        <v>50</v>
      </c>
      <c r="S19" s="35" t="n">
        <f>129.19</f>
        <v>129.19</v>
      </c>
      <c r="T19" s="32" t="n">
        <f>284000</f>
        <v>284000.0</v>
      </c>
      <c r="U19" s="32" t="n">
        <f>4400</f>
        <v>4400.0</v>
      </c>
      <c r="V19" s="32" t="n">
        <f>36682100</f>
        <v>3.66821E7</v>
      </c>
      <c r="W19" s="32" t="n">
        <f>563200</f>
        <v>563200.0</v>
      </c>
      <c r="X19" s="36" t="n">
        <f>21</f>
        <v>21.0</v>
      </c>
    </row>
    <row r="20">
      <c r="A20" s="27" t="s">
        <v>42</v>
      </c>
      <c r="B20" s="27" t="s">
        <v>93</v>
      </c>
      <c r="C20" s="27" t="s">
        <v>94</v>
      </c>
      <c r="D20" s="27" t="s">
        <v>95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150</f>
        <v>150.0</v>
      </c>
      <c r="L20" s="34" t="s">
        <v>48</v>
      </c>
      <c r="M20" s="33" t="n">
        <f>153</f>
        <v>153.0</v>
      </c>
      <c r="N20" s="34" t="s">
        <v>96</v>
      </c>
      <c r="O20" s="33" t="n">
        <f>142</f>
        <v>142.0</v>
      </c>
      <c r="P20" s="34" t="s">
        <v>68</v>
      </c>
      <c r="Q20" s="33" t="n">
        <f>143</f>
        <v>143.0</v>
      </c>
      <c r="R20" s="34" t="s">
        <v>50</v>
      </c>
      <c r="S20" s="35" t="n">
        <f>149.1</f>
        <v>149.1</v>
      </c>
      <c r="T20" s="32" t="n">
        <f>328300</f>
        <v>328300.0</v>
      </c>
      <c r="U20" s="32" t="n">
        <f>200</f>
        <v>200.0</v>
      </c>
      <c r="V20" s="32" t="n">
        <f>48830900</f>
        <v>4.88309E7</v>
      </c>
      <c r="W20" s="32" t="n">
        <f>29800</f>
        <v>29800.0</v>
      </c>
      <c r="X20" s="36" t="n">
        <f>21</f>
        <v>21.0</v>
      </c>
    </row>
    <row r="21">
      <c r="A21" s="27" t="s">
        <v>42</v>
      </c>
      <c r="B21" s="27" t="s">
        <v>97</v>
      </c>
      <c r="C21" s="27" t="s">
        <v>98</v>
      </c>
      <c r="D21" s="27" t="s">
        <v>99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18880</f>
        <v>18880.0</v>
      </c>
      <c r="L21" s="34" t="s">
        <v>48</v>
      </c>
      <c r="M21" s="33" t="n">
        <f>19150</f>
        <v>19150.0</v>
      </c>
      <c r="N21" s="34" t="s">
        <v>92</v>
      </c>
      <c r="O21" s="33" t="n">
        <f>18270</f>
        <v>18270.0</v>
      </c>
      <c r="P21" s="34" t="s">
        <v>50</v>
      </c>
      <c r="Q21" s="33" t="n">
        <f>18280</f>
        <v>18280.0</v>
      </c>
      <c r="R21" s="34" t="s">
        <v>50</v>
      </c>
      <c r="S21" s="35" t="n">
        <f>18790.95</f>
        <v>18790.95</v>
      </c>
      <c r="T21" s="32" t="n">
        <f>278549</f>
        <v>278549.0</v>
      </c>
      <c r="U21" s="32" t="str">
        <f>"－"</f>
        <v>－</v>
      </c>
      <c r="V21" s="32" t="n">
        <f>5211631680</f>
        <v>5.21163168E9</v>
      </c>
      <c r="W21" s="32" t="str">
        <f>"－"</f>
        <v>－</v>
      </c>
      <c r="X21" s="36" t="n">
        <f>21</f>
        <v>21.0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2796</f>
        <v>2796.0</v>
      </c>
      <c r="L22" s="34" t="s">
        <v>48</v>
      </c>
      <c r="M22" s="33" t="n">
        <f>2798</f>
        <v>2798.0</v>
      </c>
      <c r="N22" s="34" t="s">
        <v>72</v>
      </c>
      <c r="O22" s="33" t="n">
        <f>2531</f>
        <v>2531.0</v>
      </c>
      <c r="P22" s="34" t="s">
        <v>103</v>
      </c>
      <c r="Q22" s="33" t="n">
        <f>2608</f>
        <v>2608.0</v>
      </c>
      <c r="R22" s="34" t="s">
        <v>50</v>
      </c>
      <c r="S22" s="35" t="n">
        <f>2713.67</f>
        <v>2713.67</v>
      </c>
      <c r="T22" s="32" t="n">
        <f>2569</f>
        <v>2569.0</v>
      </c>
      <c r="U22" s="32" t="str">
        <f>"－"</f>
        <v>－</v>
      </c>
      <c r="V22" s="32" t="n">
        <f>6888237</f>
        <v>6888237.0</v>
      </c>
      <c r="W22" s="32" t="str">
        <f>"－"</f>
        <v>－</v>
      </c>
      <c r="X22" s="36" t="n">
        <f>21</f>
        <v>21.0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5170</f>
        <v>5170.0</v>
      </c>
      <c r="L23" s="34" t="s">
        <v>48</v>
      </c>
      <c r="M23" s="33" t="n">
        <f>5270</f>
        <v>5270.0</v>
      </c>
      <c r="N23" s="34" t="s">
        <v>92</v>
      </c>
      <c r="O23" s="33" t="n">
        <f>4995</f>
        <v>4995.0</v>
      </c>
      <c r="P23" s="34" t="s">
        <v>50</v>
      </c>
      <c r="Q23" s="33" t="n">
        <f>5000</f>
        <v>5000.0</v>
      </c>
      <c r="R23" s="34" t="s">
        <v>50</v>
      </c>
      <c r="S23" s="35" t="n">
        <f>5144.29</f>
        <v>5144.29</v>
      </c>
      <c r="T23" s="32" t="n">
        <f>181500</f>
        <v>181500.0</v>
      </c>
      <c r="U23" s="32" t="n">
        <f>10</f>
        <v>10.0</v>
      </c>
      <c r="V23" s="32" t="n">
        <f>932768150</f>
        <v>9.3276815E8</v>
      </c>
      <c r="W23" s="32" t="n">
        <f>51500</f>
        <v>51500.0</v>
      </c>
      <c r="X23" s="36" t="n">
        <f>21</f>
        <v>21.0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24120</f>
        <v>24120.0</v>
      </c>
      <c r="L24" s="34" t="s">
        <v>48</v>
      </c>
      <c r="M24" s="33" t="n">
        <f>24540</f>
        <v>24540.0</v>
      </c>
      <c r="N24" s="34" t="s">
        <v>67</v>
      </c>
      <c r="O24" s="33" t="n">
        <f>23740</f>
        <v>23740.0</v>
      </c>
      <c r="P24" s="34" t="s">
        <v>48</v>
      </c>
      <c r="Q24" s="33" t="n">
        <f>23790</f>
        <v>23790.0</v>
      </c>
      <c r="R24" s="34" t="s">
        <v>50</v>
      </c>
      <c r="S24" s="35" t="n">
        <f>24268.1</f>
        <v>24268.1</v>
      </c>
      <c r="T24" s="32" t="n">
        <f>341782</f>
        <v>341782.0</v>
      </c>
      <c r="U24" s="32" t="n">
        <f>9115</f>
        <v>9115.0</v>
      </c>
      <c r="V24" s="32" t="n">
        <f>8286837874</f>
        <v>8.286837874E9</v>
      </c>
      <c r="W24" s="32" t="n">
        <f>220846554</f>
        <v>2.20846554E8</v>
      </c>
      <c r="X24" s="36" t="n">
        <f>21</f>
        <v>21.0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24070</f>
        <v>24070.0</v>
      </c>
      <c r="L25" s="34" t="s">
        <v>48</v>
      </c>
      <c r="M25" s="33" t="n">
        <f>24480</f>
        <v>24480.0</v>
      </c>
      <c r="N25" s="34" t="s">
        <v>67</v>
      </c>
      <c r="O25" s="33" t="n">
        <f>23680</f>
        <v>23680.0</v>
      </c>
      <c r="P25" s="34" t="s">
        <v>50</v>
      </c>
      <c r="Q25" s="33" t="n">
        <f>23720</f>
        <v>23720.0</v>
      </c>
      <c r="R25" s="34" t="s">
        <v>50</v>
      </c>
      <c r="S25" s="35" t="n">
        <f>24207.62</f>
        <v>24207.62</v>
      </c>
      <c r="T25" s="32" t="n">
        <f>1643160</f>
        <v>1643160.0</v>
      </c>
      <c r="U25" s="32" t="n">
        <f>836540</f>
        <v>836540.0</v>
      </c>
      <c r="V25" s="32" t="n">
        <f>39903729927</f>
        <v>3.9903729927E10</v>
      </c>
      <c r="W25" s="32" t="n">
        <f>20398997427</f>
        <v>2.0398997427E10</v>
      </c>
      <c r="X25" s="36" t="n">
        <f>21</f>
        <v>21.0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1863</f>
        <v>1863.0</v>
      </c>
      <c r="L26" s="34" t="s">
        <v>48</v>
      </c>
      <c r="M26" s="33" t="n">
        <f>1892</f>
        <v>1892.0</v>
      </c>
      <c r="N26" s="34" t="s">
        <v>116</v>
      </c>
      <c r="O26" s="33" t="n">
        <f>1747</f>
        <v>1747.0</v>
      </c>
      <c r="P26" s="34" t="s">
        <v>68</v>
      </c>
      <c r="Q26" s="33" t="n">
        <f>1758</f>
        <v>1758.0</v>
      </c>
      <c r="R26" s="34" t="s">
        <v>50</v>
      </c>
      <c r="S26" s="35" t="n">
        <f>1827.62</f>
        <v>1827.62</v>
      </c>
      <c r="T26" s="32" t="n">
        <f>8928300</f>
        <v>8928300.0</v>
      </c>
      <c r="U26" s="32" t="n">
        <f>1250180</f>
        <v>1250180.0</v>
      </c>
      <c r="V26" s="32" t="n">
        <f>16360613809</f>
        <v>1.6360613809E10</v>
      </c>
      <c r="W26" s="32" t="n">
        <f>2301561909</f>
        <v>2.301561909E9</v>
      </c>
      <c r="X26" s="36" t="n">
        <f>21</f>
        <v>21.0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715</f>
        <v>715.0</v>
      </c>
      <c r="L27" s="34" t="s">
        <v>48</v>
      </c>
      <c r="M27" s="33" t="n">
        <f>727</f>
        <v>727.0</v>
      </c>
      <c r="N27" s="34" t="s">
        <v>92</v>
      </c>
      <c r="O27" s="33" t="n">
        <f>698</f>
        <v>698.0</v>
      </c>
      <c r="P27" s="34" t="s">
        <v>50</v>
      </c>
      <c r="Q27" s="33" t="n">
        <f>698</f>
        <v>698.0</v>
      </c>
      <c r="R27" s="34" t="s">
        <v>50</v>
      </c>
      <c r="S27" s="35" t="n">
        <f>714.57</f>
        <v>714.57</v>
      </c>
      <c r="T27" s="32" t="n">
        <f>20110</f>
        <v>20110.0</v>
      </c>
      <c r="U27" s="32" t="n">
        <f>20</f>
        <v>20.0</v>
      </c>
      <c r="V27" s="32" t="n">
        <f>14335100</f>
        <v>1.43351E7</v>
      </c>
      <c r="W27" s="32" t="n">
        <f>14360</f>
        <v>14360.0</v>
      </c>
      <c r="X27" s="36" t="n">
        <f>21</f>
        <v>21.0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1752</f>
        <v>1752.0</v>
      </c>
      <c r="L28" s="34" t="s">
        <v>48</v>
      </c>
      <c r="M28" s="33" t="n">
        <f>1780</f>
        <v>1780.0</v>
      </c>
      <c r="N28" s="34" t="s">
        <v>116</v>
      </c>
      <c r="O28" s="33" t="n">
        <f>1646</f>
        <v>1646.0</v>
      </c>
      <c r="P28" s="34" t="s">
        <v>68</v>
      </c>
      <c r="Q28" s="33" t="n">
        <f>1653</f>
        <v>1653.0</v>
      </c>
      <c r="R28" s="34" t="s">
        <v>50</v>
      </c>
      <c r="S28" s="35" t="n">
        <f>1719.9</f>
        <v>1719.9</v>
      </c>
      <c r="T28" s="32" t="n">
        <f>1396600</f>
        <v>1396600.0</v>
      </c>
      <c r="U28" s="32" t="n">
        <f>157500</f>
        <v>157500.0</v>
      </c>
      <c r="V28" s="32" t="n">
        <f>2390050200</f>
        <v>2.3900502E9</v>
      </c>
      <c r="W28" s="32" t="n">
        <f>269451500</f>
        <v>2.694515E8</v>
      </c>
      <c r="X28" s="36" t="n">
        <f>21</f>
        <v>21.0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24140</f>
        <v>24140.0</v>
      </c>
      <c r="L29" s="34" t="s">
        <v>48</v>
      </c>
      <c r="M29" s="33" t="n">
        <f>24540</f>
        <v>24540.0</v>
      </c>
      <c r="N29" s="34" t="s">
        <v>67</v>
      </c>
      <c r="O29" s="33" t="n">
        <f>23750</f>
        <v>23750.0</v>
      </c>
      <c r="P29" s="34" t="s">
        <v>48</v>
      </c>
      <c r="Q29" s="33" t="n">
        <f>23810</f>
        <v>23810.0</v>
      </c>
      <c r="R29" s="34" t="s">
        <v>50</v>
      </c>
      <c r="S29" s="35" t="n">
        <f>24275.71</f>
        <v>24275.71</v>
      </c>
      <c r="T29" s="32" t="n">
        <f>541763</f>
        <v>541763.0</v>
      </c>
      <c r="U29" s="32" t="n">
        <f>212200</f>
        <v>212200.0</v>
      </c>
      <c r="V29" s="32" t="n">
        <f>13097653780</f>
        <v>1.309765378E10</v>
      </c>
      <c r="W29" s="32" t="n">
        <f>5099055700</f>
        <v>5.0990557E9</v>
      </c>
      <c r="X29" s="36" t="n">
        <f>21</f>
        <v>21.0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1697</f>
        <v>1697.0</v>
      </c>
      <c r="L30" s="34" t="s">
        <v>48</v>
      </c>
      <c r="M30" s="33" t="n">
        <f>1725</f>
        <v>1725.0</v>
      </c>
      <c r="N30" s="34" t="s">
        <v>49</v>
      </c>
      <c r="O30" s="33" t="n">
        <f>1638</f>
        <v>1638.0</v>
      </c>
      <c r="P30" s="34" t="s">
        <v>50</v>
      </c>
      <c r="Q30" s="33" t="n">
        <f>1642</f>
        <v>1642.0</v>
      </c>
      <c r="R30" s="34" t="s">
        <v>50</v>
      </c>
      <c r="S30" s="35" t="n">
        <f>1691.81</f>
        <v>1691.81</v>
      </c>
      <c r="T30" s="32" t="n">
        <f>1295360</f>
        <v>1295360.0</v>
      </c>
      <c r="U30" s="32" t="str">
        <f>"－"</f>
        <v>－</v>
      </c>
      <c r="V30" s="32" t="n">
        <f>2195060220</f>
        <v>2.19506022E9</v>
      </c>
      <c r="W30" s="32" t="str">
        <f>"－"</f>
        <v>－</v>
      </c>
      <c r="X30" s="36" t="n">
        <f>21</f>
        <v>21.0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12740</f>
        <v>12740.0</v>
      </c>
      <c r="L31" s="34" t="s">
        <v>48</v>
      </c>
      <c r="M31" s="33" t="n">
        <f>12940</f>
        <v>12940.0</v>
      </c>
      <c r="N31" s="34" t="s">
        <v>132</v>
      </c>
      <c r="O31" s="33" t="n">
        <f>12720</f>
        <v>12720.0</v>
      </c>
      <c r="P31" s="34" t="s">
        <v>48</v>
      </c>
      <c r="Q31" s="33" t="n">
        <f>12870</f>
        <v>12870.0</v>
      </c>
      <c r="R31" s="34" t="s">
        <v>50</v>
      </c>
      <c r="S31" s="35" t="n">
        <f>12855</f>
        <v>12855.0</v>
      </c>
      <c r="T31" s="32" t="n">
        <f>473</f>
        <v>473.0</v>
      </c>
      <c r="U31" s="32" t="str">
        <f>"－"</f>
        <v>－</v>
      </c>
      <c r="V31" s="32" t="n">
        <f>6089420</f>
        <v>6089420.0</v>
      </c>
      <c r="W31" s="32" t="str">
        <f>"－"</f>
        <v>－</v>
      </c>
      <c r="X31" s="36" t="n">
        <f>20</f>
        <v>20.0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1776</f>
        <v>1776.0</v>
      </c>
      <c r="L32" s="34" t="s">
        <v>48</v>
      </c>
      <c r="M32" s="33" t="n">
        <f>1899</f>
        <v>1899.0</v>
      </c>
      <c r="N32" s="34" t="s">
        <v>50</v>
      </c>
      <c r="O32" s="33" t="n">
        <f>1718</f>
        <v>1718.0</v>
      </c>
      <c r="P32" s="34" t="s">
        <v>49</v>
      </c>
      <c r="Q32" s="33" t="n">
        <f>1896</f>
        <v>1896.0</v>
      </c>
      <c r="R32" s="34" t="s">
        <v>50</v>
      </c>
      <c r="S32" s="35" t="n">
        <f>1785.1</f>
        <v>1785.1</v>
      </c>
      <c r="T32" s="32" t="n">
        <f>5209190</f>
        <v>5209190.0</v>
      </c>
      <c r="U32" s="32" t="n">
        <f>18260</f>
        <v>18260.0</v>
      </c>
      <c r="V32" s="32" t="n">
        <f>9372878690</f>
        <v>9.37287869E9</v>
      </c>
      <c r="W32" s="32" t="n">
        <f>32984700</f>
        <v>3.29847E7</v>
      </c>
      <c r="X32" s="36" t="n">
        <f>21</f>
        <v>21.0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703</f>
        <v>703.0</v>
      </c>
      <c r="L33" s="34" t="s">
        <v>48</v>
      </c>
      <c r="M33" s="33" t="n">
        <f>726</f>
        <v>726.0</v>
      </c>
      <c r="N33" s="34" t="s">
        <v>48</v>
      </c>
      <c r="O33" s="33" t="n">
        <f>678</f>
        <v>678.0</v>
      </c>
      <c r="P33" s="34" t="s">
        <v>67</v>
      </c>
      <c r="Q33" s="33" t="n">
        <f>720</f>
        <v>720.0</v>
      </c>
      <c r="R33" s="34" t="s">
        <v>50</v>
      </c>
      <c r="S33" s="35" t="n">
        <f>693.29</f>
        <v>693.29</v>
      </c>
      <c r="T33" s="32" t="n">
        <f>769462357</f>
        <v>7.69462357E8</v>
      </c>
      <c r="U33" s="32" t="n">
        <f>1447381</f>
        <v>1447381.0</v>
      </c>
      <c r="V33" s="32" t="n">
        <f>534988751612</f>
        <v>5.34988751612E11</v>
      </c>
      <c r="W33" s="32" t="n">
        <f>1012893070</f>
        <v>1.01289307E9</v>
      </c>
      <c r="X33" s="36" t="n">
        <f>21</f>
        <v>21.0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19560</f>
        <v>19560.0</v>
      </c>
      <c r="L34" s="34" t="s">
        <v>48</v>
      </c>
      <c r="M34" s="33" t="n">
        <f>20220</f>
        <v>20220.0</v>
      </c>
      <c r="N34" s="34" t="s">
        <v>67</v>
      </c>
      <c r="O34" s="33" t="n">
        <f>18910</f>
        <v>18910.0</v>
      </c>
      <c r="P34" s="34" t="s">
        <v>50</v>
      </c>
      <c r="Q34" s="33" t="n">
        <f>19020</f>
        <v>19020.0</v>
      </c>
      <c r="R34" s="34" t="s">
        <v>50</v>
      </c>
      <c r="S34" s="35" t="n">
        <f>19773.81</f>
        <v>19773.81</v>
      </c>
      <c r="T34" s="32" t="n">
        <f>210946</f>
        <v>210946.0</v>
      </c>
      <c r="U34" s="32" t="str">
        <f>"－"</f>
        <v>－</v>
      </c>
      <c r="V34" s="32" t="n">
        <f>4164629880</f>
        <v>4.16462988E9</v>
      </c>
      <c r="W34" s="32" t="str">
        <f>"－"</f>
        <v>－</v>
      </c>
      <c r="X34" s="36" t="n">
        <f>21</f>
        <v>21.0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1711</f>
        <v>1711.0</v>
      </c>
      <c r="L35" s="34" t="s">
        <v>48</v>
      </c>
      <c r="M35" s="33" t="n">
        <f>1764</f>
        <v>1764.0</v>
      </c>
      <c r="N35" s="34" t="s">
        <v>48</v>
      </c>
      <c r="O35" s="33" t="n">
        <f>1652</f>
        <v>1652.0</v>
      </c>
      <c r="P35" s="34" t="s">
        <v>67</v>
      </c>
      <c r="Q35" s="33" t="n">
        <f>1752</f>
        <v>1752.0</v>
      </c>
      <c r="R35" s="34" t="s">
        <v>50</v>
      </c>
      <c r="S35" s="35" t="n">
        <f>1686.9</f>
        <v>1686.9</v>
      </c>
      <c r="T35" s="32" t="n">
        <f>63106620</f>
        <v>6.310662E7</v>
      </c>
      <c r="U35" s="32" t="n">
        <f>2780</f>
        <v>2780.0</v>
      </c>
      <c r="V35" s="32" t="n">
        <f>106395301110</f>
        <v>1.0639530111E11</v>
      </c>
      <c r="W35" s="32" t="n">
        <f>4855540</f>
        <v>4855540.0</v>
      </c>
      <c r="X35" s="36" t="n">
        <f>21</f>
        <v>21.0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15010</f>
        <v>15010.0</v>
      </c>
      <c r="L36" s="34" t="s">
        <v>48</v>
      </c>
      <c r="M36" s="33" t="n">
        <f>15260</f>
        <v>15260.0</v>
      </c>
      <c r="N36" s="34" t="s">
        <v>49</v>
      </c>
      <c r="O36" s="33" t="n">
        <f>14550</f>
        <v>14550.0</v>
      </c>
      <c r="P36" s="34" t="s">
        <v>50</v>
      </c>
      <c r="Q36" s="33" t="n">
        <f>14630</f>
        <v>14630.0</v>
      </c>
      <c r="R36" s="34" t="s">
        <v>50</v>
      </c>
      <c r="S36" s="35" t="n">
        <f>14983.33</f>
        <v>14983.33</v>
      </c>
      <c r="T36" s="32" t="n">
        <f>4723</f>
        <v>4723.0</v>
      </c>
      <c r="U36" s="32" t="n">
        <f>1</f>
        <v>1.0</v>
      </c>
      <c r="V36" s="32" t="n">
        <f>71016030</f>
        <v>7.101603E7</v>
      </c>
      <c r="W36" s="32" t="n">
        <f>15260</f>
        <v>15260.0</v>
      </c>
      <c r="X36" s="36" t="n">
        <f>21</f>
        <v>21.0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16070</f>
        <v>16070.0</v>
      </c>
      <c r="L37" s="34" t="s">
        <v>48</v>
      </c>
      <c r="M37" s="33" t="n">
        <f>16610</f>
        <v>16610.0</v>
      </c>
      <c r="N37" s="34" t="s">
        <v>67</v>
      </c>
      <c r="O37" s="33" t="n">
        <f>15530</f>
        <v>15530.0</v>
      </c>
      <c r="P37" s="34" t="s">
        <v>50</v>
      </c>
      <c r="Q37" s="33" t="n">
        <f>15610</f>
        <v>15610.0</v>
      </c>
      <c r="R37" s="34" t="s">
        <v>50</v>
      </c>
      <c r="S37" s="35" t="n">
        <f>16241.9</f>
        <v>16241.9</v>
      </c>
      <c r="T37" s="32" t="n">
        <f>711701</f>
        <v>711701.0</v>
      </c>
      <c r="U37" s="32" t="str">
        <f>"－"</f>
        <v>－</v>
      </c>
      <c r="V37" s="32" t="n">
        <f>11520270300</f>
        <v>1.15202703E10</v>
      </c>
      <c r="W37" s="32" t="str">
        <f>"－"</f>
        <v>－</v>
      </c>
      <c r="X37" s="36" t="n">
        <f>21</f>
        <v>21.0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1831</f>
        <v>1831.0</v>
      </c>
      <c r="L38" s="34" t="s">
        <v>48</v>
      </c>
      <c r="M38" s="33" t="n">
        <f>1890</f>
        <v>1890.0</v>
      </c>
      <c r="N38" s="34" t="s">
        <v>48</v>
      </c>
      <c r="O38" s="33" t="n">
        <f>1767</f>
        <v>1767.0</v>
      </c>
      <c r="P38" s="34" t="s">
        <v>67</v>
      </c>
      <c r="Q38" s="33" t="n">
        <f>1878</f>
        <v>1878.0</v>
      </c>
      <c r="R38" s="34" t="s">
        <v>50</v>
      </c>
      <c r="S38" s="35" t="n">
        <f>1806.52</f>
        <v>1806.52</v>
      </c>
      <c r="T38" s="32" t="n">
        <f>6876709</f>
        <v>6876709.0</v>
      </c>
      <c r="U38" s="32" t="n">
        <f>202</f>
        <v>202.0</v>
      </c>
      <c r="V38" s="32" t="n">
        <f>12465634849</f>
        <v>1.2465634849E10</v>
      </c>
      <c r="W38" s="32" t="n">
        <f>358062</f>
        <v>358062.0</v>
      </c>
      <c r="X38" s="36" t="n">
        <f>21</f>
        <v>21.0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13130</f>
        <v>13130.0</v>
      </c>
      <c r="L39" s="34" t="s">
        <v>48</v>
      </c>
      <c r="M39" s="33" t="n">
        <f>13530</f>
        <v>13530.0</v>
      </c>
      <c r="N39" s="34" t="s">
        <v>49</v>
      </c>
      <c r="O39" s="33" t="n">
        <f>12170</f>
        <v>12170.0</v>
      </c>
      <c r="P39" s="34" t="s">
        <v>50</v>
      </c>
      <c r="Q39" s="33" t="n">
        <f>12200</f>
        <v>12200.0</v>
      </c>
      <c r="R39" s="34" t="s">
        <v>50</v>
      </c>
      <c r="S39" s="35" t="n">
        <f>13003.81</f>
        <v>13003.81</v>
      </c>
      <c r="T39" s="32" t="n">
        <f>206094</f>
        <v>206094.0</v>
      </c>
      <c r="U39" s="32" t="n">
        <f>12200</f>
        <v>12200.0</v>
      </c>
      <c r="V39" s="32" t="n">
        <f>2665623060</f>
        <v>2.66562306E9</v>
      </c>
      <c r="W39" s="32" t="n">
        <f>154609200</f>
        <v>1.546092E8</v>
      </c>
      <c r="X39" s="36" t="n">
        <f>21</f>
        <v>21.0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2578</f>
        <v>2578.0</v>
      </c>
      <c r="L40" s="34" t="s">
        <v>48</v>
      </c>
      <c r="M40" s="33" t="n">
        <f>2756</f>
        <v>2756.0</v>
      </c>
      <c r="N40" s="34" t="s">
        <v>50</v>
      </c>
      <c r="O40" s="33" t="n">
        <f>2494</f>
        <v>2494.0</v>
      </c>
      <c r="P40" s="34" t="s">
        <v>49</v>
      </c>
      <c r="Q40" s="33" t="n">
        <f>2746</f>
        <v>2746.0</v>
      </c>
      <c r="R40" s="34" t="s">
        <v>50</v>
      </c>
      <c r="S40" s="35" t="n">
        <f>2589.71</f>
        <v>2589.71</v>
      </c>
      <c r="T40" s="32" t="n">
        <f>862104</f>
        <v>862104.0</v>
      </c>
      <c r="U40" s="32" t="n">
        <f>3870</f>
        <v>3870.0</v>
      </c>
      <c r="V40" s="32" t="n">
        <f>2245656590</f>
        <v>2.24565659E9</v>
      </c>
      <c r="W40" s="32" t="n">
        <f>10160780</f>
        <v>1.016078E7</v>
      </c>
      <c r="X40" s="36" t="n">
        <f>21</f>
        <v>21.0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23490</f>
        <v>23490.0</v>
      </c>
      <c r="L41" s="34" t="s">
        <v>48</v>
      </c>
      <c r="M41" s="33" t="n">
        <f>23860</f>
        <v>23860.0</v>
      </c>
      <c r="N41" s="34" t="s">
        <v>67</v>
      </c>
      <c r="O41" s="33" t="n">
        <f>23110</f>
        <v>23110.0</v>
      </c>
      <c r="P41" s="34" t="s">
        <v>50</v>
      </c>
      <c r="Q41" s="33" t="n">
        <f>23120</f>
        <v>23120.0</v>
      </c>
      <c r="R41" s="34" t="s">
        <v>50</v>
      </c>
      <c r="S41" s="35" t="n">
        <f>23602.38</f>
        <v>23602.38</v>
      </c>
      <c r="T41" s="32" t="n">
        <f>25733</f>
        <v>25733.0</v>
      </c>
      <c r="U41" s="32" t="str">
        <f>"－"</f>
        <v>－</v>
      </c>
      <c r="V41" s="32" t="n">
        <f>604425620</f>
        <v>6.0442562E8</v>
      </c>
      <c r="W41" s="32" t="str">
        <f>"－"</f>
        <v>－</v>
      </c>
      <c r="X41" s="36" t="n">
        <f>21</f>
        <v>21.0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4080</f>
        <v>4080.0</v>
      </c>
      <c r="L42" s="34" t="s">
        <v>48</v>
      </c>
      <c r="M42" s="33" t="n">
        <f>4220</f>
        <v>4220.0</v>
      </c>
      <c r="N42" s="34" t="s">
        <v>166</v>
      </c>
      <c r="O42" s="33" t="n">
        <f>3650</f>
        <v>3650.0</v>
      </c>
      <c r="P42" s="34" t="s">
        <v>50</v>
      </c>
      <c r="Q42" s="33" t="n">
        <f>3650</f>
        <v>3650.0</v>
      </c>
      <c r="R42" s="34" t="s">
        <v>50</v>
      </c>
      <c r="S42" s="35" t="n">
        <f>4025.24</f>
        <v>4025.24</v>
      </c>
      <c r="T42" s="32" t="n">
        <f>8384</f>
        <v>8384.0</v>
      </c>
      <c r="U42" s="32" t="str">
        <f>"－"</f>
        <v>－</v>
      </c>
      <c r="V42" s="32" t="n">
        <f>32640070</f>
        <v>3.264007E7</v>
      </c>
      <c r="W42" s="32" t="str">
        <f>"－"</f>
        <v>－</v>
      </c>
      <c r="X42" s="36" t="n">
        <f>21</f>
        <v>21.0</v>
      </c>
    </row>
    <row r="43">
      <c r="A43" s="27" t="s">
        <v>42</v>
      </c>
      <c r="B43" s="27" t="s">
        <v>167</v>
      </c>
      <c r="C43" s="27" t="s">
        <v>168</v>
      </c>
      <c r="D43" s="27" t="s">
        <v>169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7470</f>
        <v>7470.0</v>
      </c>
      <c r="L43" s="34" t="s">
        <v>48</v>
      </c>
      <c r="M43" s="33" t="n">
        <f>7700</f>
        <v>7700.0</v>
      </c>
      <c r="N43" s="34" t="s">
        <v>166</v>
      </c>
      <c r="O43" s="33" t="n">
        <f>6950</f>
        <v>6950.0</v>
      </c>
      <c r="P43" s="34" t="s">
        <v>50</v>
      </c>
      <c r="Q43" s="33" t="n">
        <f>6950</f>
        <v>6950.0</v>
      </c>
      <c r="R43" s="34" t="s">
        <v>50</v>
      </c>
      <c r="S43" s="35" t="n">
        <f>7445.24</f>
        <v>7445.24</v>
      </c>
      <c r="T43" s="32" t="n">
        <f>1714</f>
        <v>1714.0</v>
      </c>
      <c r="U43" s="32" t="str">
        <f>"－"</f>
        <v>－</v>
      </c>
      <c r="V43" s="32" t="n">
        <f>12670190</f>
        <v>1.267019E7</v>
      </c>
      <c r="W43" s="32" t="str">
        <f>"－"</f>
        <v>－</v>
      </c>
      <c r="X43" s="36" t="n">
        <f>21</f>
        <v>21.0</v>
      </c>
    </row>
    <row r="44">
      <c r="A44" s="27" t="s">
        <v>42</v>
      </c>
      <c r="B44" s="27" t="s">
        <v>170</v>
      </c>
      <c r="C44" s="27" t="s">
        <v>171</v>
      </c>
      <c r="D44" s="27" t="s">
        <v>172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14380</f>
        <v>14380.0</v>
      </c>
      <c r="L44" s="34" t="s">
        <v>48</v>
      </c>
      <c r="M44" s="33" t="n">
        <f>14640</f>
        <v>14640.0</v>
      </c>
      <c r="N44" s="34" t="s">
        <v>173</v>
      </c>
      <c r="O44" s="33" t="n">
        <f>13200</f>
        <v>13200.0</v>
      </c>
      <c r="P44" s="34" t="s">
        <v>50</v>
      </c>
      <c r="Q44" s="33" t="n">
        <f>13200</f>
        <v>13200.0</v>
      </c>
      <c r="R44" s="34" t="s">
        <v>50</v>
      </c>
      <c r="S44" s="35" t="n">
        <f>14020</f>
        <v>14020.0</v>
      </c>
      <c r="T44" s="32" t="n">
        <f>266</f>
        <v>266.0</v>
      </c>
      <c r="U44" s="32" t="str">
        <f>"－"</f>
        <v>－</v>
      </c>
      <c r="V44" s="32" t="n">
        <f>3784180</f>
        <v>3784180.0</v>
      </c>
      <c r="W44" s="32" t="str">
        <f>"－"</f>
        <v>－</v>
      </c>
      <c r="X44" s="36" t="n">
        <f>12</f>
        <v>12.0</v>
      </c>
    </row>
    <row r="45">
      <c r="A45" s="27" t="s">
        <v>42</v>
      </c>
      <c r="B45" s="27" t="s">
        <v>174</v>
      </c>
      <c r="C45" s="27" t="s">
        <v>175</v>
      </c>
      <c r="D45" s="27" t="s">
        <v>176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11870</f>
        <v>11870.0</v>
      </c>
      <c r="L45" s="34" t="s">
        <v>48</v>
      </c>
      <c r="M45" s="33" t="n">
        <f>12080</f>
        <v>12080.0</v>
      </c>
      <c r="N45" s="34" t="s">
        <v>49</v>
      </c>
      <c r="O45" s="33" t="n">
        <f>11000</f>
        <v>11000.0</v>
      </c>
      <c r="P45" s="34" t="s">
        <v>177</v>
      </c>
      <c r="Q45" s="33" t="n">
        <f>11000</f>
        <v>11000.0</v>
      </c>
      <c r="R45" s="34" t="s">
        <v>177</v>
      </c>
      <c r="S45" s="35" t="n">
        <f>11652.5</f>
        <v>11652.5</v>
      </c>
      <c r="T45" s="32" t="n">
        <f>112</f>
        <v>112.0</v>
      </c>
      <c r="U45" s="32" t="str">
        <f>"－"</f>
        <v>－</v>
      </c>
      <c r="V45" s="32" t="n">
        <f>1308520</f>
        <v>1308520.0</v>
      </c>
      <c r="W45" s="32" t="str">
        <f>"－"</f>
        <v>－</v>
      </c>
      <c r="X45" s="36" t="n">
        <f>8</f>
        <v>8.0</v>
      </c>
    </row>
    <row r="46">
      <c r="A46" s="27" t="s">
        <v>42</v>
      </c>
      <c r="B46" s="27" t="s">
        <v>178</v>
      </c>
      <c r="C46" s="27" t="s">
        <v>179</v>
      </c>
      <c r="D46" s="27" t="s">
        <v>180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7700</f>
        <v>7700.0</v>
      </c>
      <c r="L46" s="34" t="s">
        <v>48</v>
      </c>
      <c r="M46" s="33" t="n">
        <f>8150</f>
        <v>8150.0</v>
      </c>
      <c r="N46" s="34" t="s">
        <v>92</v>
      </c>
      <c r="O46" s="33" t="n">
        <f>7200</f>
        <v>7200.0</v>
      </c>
      <c r="P46" s="34" t="s">
        <v>50</v>
      </c>
      <c r="Q46" s="33" t="n">
        <f>7440</f>
        <v>7440.0</v>
      </c>
      <c r="R46" s="34" t="s">
        <v>50</v>
      </c>
      <c r="S46" s="35" t="n">
        <f>7732.38</f>
        <v>7732.38</v>
      </c>
      <c r="T46" s="32" t="n">
        <f>4394</f>
        <v>4394.0</v>
      </c>
      <c r="U46" s="32" t="str">
        <f>"－"</f>
        <v>－</v>
      </c>
      <c r="V46" s="32" t="n">
        <f>33960400</f>
        <v>3.39604E7</v>
      </c>
      <c r="W46" s="32" t="str">
        <f>"－"</f>
        <v>－</v>
      </c>
      <c r="X46" s="36" t="n">
        <f>21</f>
        <v>21.0</v>
      </c>
    </row>
    <row r="47">
      <c r="A47" s="27" t="s">
        <v>42</v>
      </c>
      <c r="B47" s="27" t="s">
        <v>181</v>
      </c>
      <c r="C47" s="27" t="s">
        <v>182</v>
      </c>
      <c r="D47" s="27" t="s">
        <v>183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4295</f>
        <v>4295.0</v>
      </c>
      <c r="L47" s="34" t="s">
        <v>48</v>
      </c>
      <c r="M47" s="33" t="n">
        <f>4600</f>
        <v>4600.0</v>
      </c>
      <c r="N47" s="34" t="s">
        <v>173</v>
      </c>
      <c r="O47" s="33" t="n">
        <f>4200</f>
        <v>4200.0</v>
      </c>
      <c r="P47" s="34" t="s">
        <v>116</v>
      </c>
      <c r="Q47" s="33" t="n">
        <f>4210</f>
        <v>4210.0</v>
      </c>
      <c r="R47" s="34" t="s">
        <v>50</v>
      </c>
      <c r="S47" s="35" t="n">
        <f>4361.5</f>
        <v>4361.5</v>
      </c>
      <c r="T47" s="32" t="n">
        <f>1206</f>
        <v>1206.0</v>
      </c>
      <c r="U47" s="32" t="str">
        <f>"－"</f>
        <v>－</v>
      </c>
      <c r="V47" s="32" t="n">
        <f>5313225</f>
        <v>5313225.0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184</v>
      </c>
      <c r="C48" s="27" t="s">
        <v>185</v>
      </c>
      <c r="D48" s="27" t="s">
        <v>186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2316</f>
        <v>2316.0</v>
      </c>
      <c r="L48" s="34" t="s">
        <v>48</v>
      </c>
      <c r="M48" s="33" t="n">
        <f>2340</f>
        <v>2340.0</v>
      </c>
      <c r="N48" s="34" t="s">
        <v>48</v>
      </c>
      <c r="O48" s="33" t="n">
        <f>2120</f>
        <v>2120.0</v>
      </c>
      <c r="P48" s="34" t="s">
        <v>50</v>
      </c>
      <c r="Q48" s="33" t="n">
        <f>2120</f>
        <v>2120.0</v>
      </c>
      <c r="R48" s="34" t="s">
        <v>50</v>
      </c>
      <c r="S48" s="35" t="n">
        <f>2265.33</f>
        <v>2265.33</v>
      </c>
      <c r="T48" s="32" t="n">
        <f>2299</f>
        <v>2299.0</v>
      </c>
      <c r="U48" s="32" t="str">
        <f>"－"</f>
        <v>－</v>
      </c>
      <c r="V48" s="32" t="n">
        <f>5146410</f>
        <v>5146410.0</v>
      </c>
      <c r="W48" s="32" t="str">
        <f>"－"</f>
        <v>－</v>
      </c>
      <c r="X48" s="36" t="n">
        <f>21</f>
        <v>21.0</v>
      </c>
    </row>
    <row r="49">
      <c r="A49" s="27" t="s">
        <v>42</v>
      </c>
      <c r="B49" s="27" t="s">
        <v>187</v>
      </c>
      <c r="C49" s="27" t="s">
        <v>188</v>
      </c>
      <c r="D49" s="27" t="s">
        <v>189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2075</f>
        <v>2075.0</v>
      </c>
      <c r="L49" s="34" t="s">
        <v>48</v>
      </c>
      <c r="M49" s="33" t="n">
        <f>2224</f>
        <v>2224.0</v>
      </c>
      <c r="N49" s="34" t="s">
        <v>96</v>
      </c>
      <c r="O49" s="33" t="n">
        <f>1920</f>
        <v>1920.0</v>
      </c>
      <c r="P49" s="34" t="s">
        <v>50</v>
      </c>
      <c r="Q49" s="33" t="n">
        <f>1928</f>
        <v>1928.0</v>
      </c>
      <c r="R49" s="34" t="s">
        <v>50</v>
      </c>
      <c r="S49" s="35" t="n">
        <f>2053.19</f>
        <v>2053.19</v>
      </c>
      <c r="T49" s="32" t="n">
        <f>10392</f>
        <v>10392.0</v>
      </c>
      <c r="U49" s="32" t="n">
        <f>1</f>
        <v>1.0</v>
      </c>
      <c r="V49" s="32" t="n">
        <f>21516350</f>
        <v>2.151635E7</v>
      </c>
      <c r="W49" s="32" t="n">
        <f>2027</f>
        <v>2027.0</v>
      </c>
      <c r="X49" s="36" t="n">
        <f>21</f>
        <v>21.0</v>
      </c>
    </row>
    <row r="50">
      <c r="A50" s="27" t="s">
        <v>42</v>
      </c>
      <c r="B50" s="27" t="s">
        <v>190</v>
      </c>
      <c r="C50" s="27" t="s">
        <v>191</v>
      </c>
      <c r="D50" s="27" t="s">
        <v>192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34650</f>
        <v>34650.0</v>
      </c>
      <c r="L50" s="34" t="s">
        <v>48</v>
      </c>
      <c r="M50" s="33" t="n">
        <f>36850</f>
        <v>36850.0</v>
      </c>
      <c r="N50" s="34" t="s">
        <v>166</v>
      </c>
      <c r="O50" s="33" t="n">
        <f>33750</f>
        <v>33750.0</v>
      </c>
      <c r="P50" s="34" t="s">
        <v>48</v>
      </c>
      <c r="Q50" s="33" t="n">
        <f>33900</f>
        <v>33900.0</v>
      </c>
      <c r="R50" s="34" t="s">
        <v>50</v>
      </c>
      <c r="S50" s="35" t="n">
        <f>35257.5</f>
        <v>35257.5</v>
      </c>
      <c r="T50" s="32" t="n">
        <f>612</f>
        <v>612.0</v>
      </c>
      <c r="U50" s="32" t="str">
        <f>"－"</f>
        <v>－</v>
      </c>
      <c r="V50" s="32" t="n">
        <f>21633750</f>
        <v>2.163375E7</v>
      </c>
      <c r="W50" s="32" t="str">
        <f>"－"</f>
        <v>－</v>
      </c>
      <c r="X50" s="36" t="n">
        <f>20</f>
        <v>20.0</v>
      </c>
    </row>
    <row r="51">
      <c r="A51" s="27" t="s">
        <v>42</v>
      </c>
      <c r="B51" s="27" t="s">
        <v>193</v>
      </c>
      <c r="C51" s="27" t="s">
        <v>194</v>
      </c>
      <c r="D51" s="27" t="s">
        <v>195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25060</f>
        <v>25060.0</v>
      </c>
      <c r="L51" s="34" t="s">
        <v>48</v>
      </c>
      <c r="M51" s="33" t="n">
        <f>26000</f>
        <v>26000.0</v>
      </c>
      <c r="N51" s="34" t="s">
        <v>166</v>
      </c>
      <c r="O51" s="33" t="n">
        <f>24140</f>
        <v>24140.0</v>
      </c>
      <c r="P51" s="34" t="s">
        <v>50</v>
      </c>
      <c r="Q51" s="33" t="n">
        <f>24140</f>
        <v>24140.0</v>
      </c>
      <c r="R51" s="34" t="s">
        <v>50</v>
      </c>
      <c r="S51" s="35" t="n">
        <f>25501.33</f>
        <v>25501.33</v>
      </c>
      <c r="T51" s="32" t="n">
        <f>404</f>
        <v>404.0</v>
      </c>
      <c r="U51" s="32" t="str">
        <f>"－"</f>
        <v>－</v>
      </c>
      <c r="V51" s="32" t="n">
        <f>10170780</f>
        <v>1.017078E7</v>
      </c>
      <c r="W51" s="32" t="str">
        <f>"－"</f>
        <v>－</v>
      </c>
      <c r="X51" s="36" t="n">
        <f>15</f>
        <v>15.0</v>
      </c>
    </row>
    <row r="52">
      <c r="A52" s="27" t="s">
        <v>42</v>
      </c>
      <c r="B52" s="27" t="s">
        <v>196</v>
      </c>
      <c r="C52" s="27" t="s">
        <v>197</v>
      </c>
      <c r="D52" s="27" t="s">
        <v>198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23630</f>
        <v>23630.0</v>
      </c>
      <c r="L52" s="34" t="s">
        <v>48</v>
      </c>
      <c r="M52" s="33" t="n">
        <f>23900</f>
        <v>23900.0</v>
      </c>
      <c r="N52" s="34" t="s">
        <v>67</v>
      </c>
      <c r="O52" s="33" t="n">
        <f>23140</f>
        <v>23140.0</v>
      </c>
      <c r="P52" s="34" t="s">
        <v>50</v>
      </c>
      <c r="Q52" s="33" t="n">
        <f>23140</f>
        <v>23140.0</v>
      </c>
      <c r="R52" s="34" t="s">
        <v>50</v>
      </c>
      <c r="S52" s="35" t="n">
        <f>23646.67</f>
        <v>23646.67</v>
      </c>
      <c r="T52" s="32" t="n">
        <f>83966</f>
        <v>83966.0</v>
      </c>
      <c r="U52" s="32" t="n">
        <f>72001</f>
        <v>72001.0</v>
      </c>
      <c r="V52" s="32" t="n">
        <f>1978684120</f>
        <v>1.97868412E9</v>
      </c>
      <c r="W52" s="32" t="n">
        <f>1695263740</f>
        <v>1.69526374E9</v>
      </c>
      <c r="X52" s="36" t="n">
        <f>21</f>
        <v>21.0</v>
      </c>
    </row>
    <row r="53">
      <c r="A53" s="27" t="s">
        <v>42</v>
      </c>
      <c r="B53" s="27" t="s">
        <v>199</v>
      </c>
      <c r="C53" s="27" t="s">
        <v>200</v>
      </c>
      <c r="D53" s="27" t="s">
        <v>201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1764</f>
        <v>1764.0</v>
      </c>
      <c r="L53" s="34" t="s">
        <v>48</v>
      </c>
      <c r="M53" s="33" t="n">
        <f>1790</f>
        <v>1790.0</v>
      </c>
      <c r="N53" s="34" t="s">
        <v>116</v>
      </c>
      <c r="O53" s="33" t="n">
        <f>1660</f>
        <v>1660.0</v>
      </c>
      <c r="P53" s="34" t="s">
        <v>68</v>
      </c>
      <c r="Q53" s="33" t="n">
        <f>1670</f>
        <v>1670.0</v>
      </c>
      <c r="R53" s="34" t="s">
        <v>50</v>
      </c>
      <c r="S53" s="35" t="n">
        <f>1730.14</f>
        <v>1730.14</v>
      </c>
      <c r="T53" s="32" t="n">
        <f>24910</f>
        <v>24910.0</v>
      </c>
      <c r="U53" s="32" t="n">
        <f>20000</f>
        <v>20000.0</v>
      </c>
      <c r="V53" s="32" t="n">
        <f>42071220</f>
        <v>4.207122E7</v>
      </c>
      <c r="W53" s="32" t="n">
        <f>33526400</f>
        <v>3.35264E7</v>
      </c>
      <c r="X53" s="36" t="n">
        <f>21</f>
        <v>21.0</v>
      </c>
    </row>
    <row r="54">
      <c r="A54" s="27" t="s">
        <v>42</v>
      </c>
      <c r="B54" s="27" t="s">
        <v>202</v>
      </c>
      <c r="C54" s="27" t="s">
        <v>203</v>
      </c>
      <c r="D54" s="27" t="s">
        <v>204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1350</f>
        <v>1350.0</v>
      </c>
      <c r="L54" s="34" t="s">
        <v>48</v>
      </c>
      <c r="M54" s="33" t="n">
        <f>1374</f>
        <v>1374.0</v>
      </c>
      <c r="N54" s="34" t="s">
        <v>96</v>
      </c>
      <c r="O54" s="33" t="n">
        <f>1287</f>
        <v>1287.0</v>
      </c>
      <c r="P54" s="34" t="s">
        <v>50</v>
      </c>
      <c r="Q54" s="33" t="n">
        <f>1287</f>
        <v>1287.0</v>
      </c>
      <c r="R54" s="34" t="s">
        <v>50</v>
      </c>
      <c r="S54" s="35" t="n">
        <f>1339.33</f>
        <v>1339.33</v>
      </c>
      <c r="T54" s="32" t="n">
        <f>53010</f>
        <v>53010.0</v>
      </c>
      <c r="U54" s="32" t="str">
        <f>"－"</f>
        <v>－</v>
      </c>
      <c r="V54" s="32" t="n">
        <f>70147430</f>
        <v>7.014743E7</v>
      </c>
      <c r="W54" s="32" t="str">
        <f>"－"</f>
        <v>－</v>
      </c>
      <c r="X54" s="36" t="n">
        <f>18</f>
        <v>18.0</v>
      </c>
    </row>
    <row r="55">
      <c r="A55" s="27" t="s">
        <v>42</v>
      </c>
      <c r="B55" s="27" t="s">
        <v>205</v>
      </c>
      <c r="C55" s="27" t="s">
        <v>206</v>
      </c>
      <c r="D55" s="27" t="s">
        <v>207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5610</f>
        <v>5610.0</v>
      </c>
      <c r="L55" s="34" t="s">
        <v>48</v>
      </c>
      <c r="M55" s="33" t="n">
        <f>5700</f>
        <v>5700.0</v>
      </c>
      <c r="N55" s="34" t="s">
        <v>48</v>
      </c>
      <c r="O55" s="33" t="n">
        <f>5510</f>
        <v>5510.0</v>
      </c>
      <c r="P55" s="34" t="s">
        <v>67</v>
      </c>
      <c r="Q55" s="33" t="n">
        <f>5690</f>
        <v>5690.0</v>
      </c>
      <c r="R55" s="34" t="s">
        <v>50</v>
      </c>
      <c r="S55" s="35" t="n">
        <f>5578.1</f>
        <v>5578.1</v>
      </c>
      <c r="T55" s="32" t="n">
        <f>238152</f>
        <v>238152.0</v>
      </c>
      <c r="U55" s="32" t="str">
        <f>"－"</f>
        <v>－</v>
      </c>
      <c r="V55" s="32" t="n">
        <f>1331093420</f>
        <v>1.33109342E9</v>
      </c>
      <c r="W55" s="32" t="str">
        <f>"－"</f>
        <v>－</v>
      </c>
      <c r="X55" s="36" t="n">
        <f>21</f>
        <v>21.0</v>
      </c>
    </row>
    <row r="56">
      <c r="A56" s="27" t="s">
        <v>42</v>
      </c>
      <c r="B56" s="27" t="s">
        <v>208</v>
      </c>
      <c r="C56" s="27" t="s">
        <v>209</v>
      </c>
      <c r="D56" s="27" t="s">
        <v>210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6590</f>
        <v>6590.0</v>
      </c>
      <c r="L56" s="34" t="s">
        <v>48</v>
      </c>
      <c r="M56" s="33" t="n">
        <f>6800</f>
        <v>6800.0</v>
      </c>
      <c r="N56" s="34" t="s">
        <v>50</v>
      </c>
      <c r="O56" s="33" t="n">
        <f>6480</f>
        <v>6480.0</v>
      </c>
      <c r="P56" s="34" t="s">
        <v>49</v>
      </c>
      <c r="Q56" s="33" t="n">
        <f>6790</f>
        <v>6790.0</v>
      </c>
      <c r="R56" s="34" t="s">
        <v>50</v>
      </c>
      <c r="S56" s="35" t="n">
        <f>6599.52</f>
        <v>6599.52</v>
      </c>
      <c r="T56" s="32" t="n">
        <f>110952</f>
        <v>110952.0</v>
      </c>
      <c r="U56" s="32" t="str">
        <f>"－"</f>
        <v>－</v>
      </c>
      <c r="V56" s="32" t="n">
        <f>741103970</f>
        <v>7.4110397E8</v>
      </c>
      <c r="W56" s="32" t="str">
        <f>"－"</f>
        <v>－</v>
      </c>
      <c r="X56" s="36" t="n">
        <f>21</f>
        <v>21.0</v>
      </c>
    </row>
    <row r="57">
      <c r="A57" s="27" t="s">
        <v>42</v>
      </c>
      <c r="B57" s="27" t="s">
        <v>211</v>
      </c>
      <c r="C57" s="27" t="s">
        <v>212</v>
      </c>
      <c r="D57" s="27" t="s">
        <v>213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12170</f>
        <v>12170.0</v>
      </c>
      <c r="L57" s="34" t="s">
        <v>48</v>
      </c>
      <c r="M57" s="33" t="n">
        <f>12600</f>
        <v>12600.0</v>
      </c>
      <c r="N57" s="34" t="s">
        <v>67</v>
      </c>
      <c r="O57" s="33" t="n">
        <f>11770</f>
        <v>11770.0</v>
      </c>
      <c r="P57" s="34" t="s">
        <v>50</v>
      </c>
      <c r="Q57" s="33" t="n">
        <f>11830</f>
        <v>11830.0</v>
      </c>
      <c r="R57" s="34" t="s">
        <v>50</v>
      </c>
      <c r="S57" s="35" t="n">
        <f>12316.19</f>
        <v>12316.19</v>
      </c>
      <c r="T57" s="32" t="n">
        <f>6229102</f>
        <v>6229102.0</v>
      </c>
      <c r="U57" s="32" t="n">
        <f>199</f>
        <v>199.0</v>
      </c>
      <c r="V57" s="32" t="n">
        <f>76409216090</f>
        <v>7.640921609E10</v>
      </c>
      <c r="W57" s="32" t="n">
        <f>2435910</f>
        <v>2435910.0</v>
      </c>
      <c r="X57" s="36" t="n">
        <f>21</f>
        <v>21.0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2798</f>
        <v>2798.0</v>
      </c>
      <c r="L58" s="34" t="s">
        <v>48</v>
      </c>
      <c r="M58" s="33" t="n">
        <f>2884</f>
        <v>2884.0</v>
      </c>
      <c r="N58" s="34" t="s">
        <v>48</v>
      </c>
      <c r="O58" s="33" t="n">
        <f>2699</f>
        <v>2699.0</v>
      </c>
      <c r="P58" s="34" t="s">
        <v>67</v>
      </c>
      <c r="Q58" s="33" t="n">
        <f>2864</f>
        <v>2864.0</v>
      </c>
      <c r="R58" s="34" t="s">
        <v>50</v>
      </c>
      <c r="S58" s="35" t="n">
        <f>2758.52</f>
        <v>2758.52</v>
      </c>
      <c r="T58" s="32" t="n">
        <f>34059617</f>
        <v>3.4059617E7</v>
      </c>
      <c r="U58" s="32" t="n">
        <f>1041</f>
        <v>1041.0</v>
      </c>
      <c r="V58" s="32" t="n">
        <f>93778976390</f>
        <v>9.377897639E10</v>
      </c>
      <c r="W58" s="32" t="n">
        <f>2948449</f>
        <v>2948449.0</v>
      </c>
      <c r="X58" s="36" t="n">
        <f>21</f>
        <v>21.0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20590</f>
        <v>20590.0</v>
      </c>
      <c r="L59" s="34" t="s">
        <v>67</v>
      </c>
      <c r="M59" s="33" t="n">
        <f>21080</f>
        <v>21080.0</v>
      </c>
      <c r="N59" s="34" t="s">
        <v>220</v>
      </c>
      <c r="O59" s="33" t="n">
        <f>20590</f>
        <v>20590.0</v>
      </c>
      <c r="P59" s="34" t="s">
        <v>67</v>
      </c>
      <c r="Q59" s="33" t="n">
        <f>20950</f>
        <v>20950.0</v>
      </c>
      <c r="R59" s="34" t="s">
        <v>50</v>
      </c>
      <c r="S59" s="35" t="n">
        <f>20946.67</f>
        <v>20946.67</v>
      </c>
      <c r="T59" s="32" t="n">
        <f>38</f>
        <v>38.0</v>
      </c>
      <c r="U59" s="32" t="str">
        <f>"－"</f>
        <v>－</v>
      </c>
      <c r="V59" s="32" t="n">
        <f>795070</f>
        <v>795070.0</v>
      </c>
      <c r="W59" s="32" t="str">
        <f>"－"</f>
        <v>－</v>
      </c>
      <c r="X59" s="36" t="n">
        <f>9</f>
        <v>9.0</v>
      </c>
    </row>
    <row r="60">
      <c r="A60" s="27" t="s">
        <v>42</v>
      </c>
      <c r="B60" s="27" t="s">
        <v>221</v>
      </c>
      <c r="C60" s="27" t="s">
        <v>222</v>
      </c>
      <c r="D60" s="27" t="s">
        <v>223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10410</f>
        <v>10410.0</v>
      </c>
      <c r="L60" s="34" t="s">
        <v>48</v>
      </c>
      <c r="M60" s="33" t="n">
        <f>10700</f>
        <v>10700.0</v>
      </c>
      <c r="N60" s="34" t="s">
        <v>67</v>
      </c>
      <c r="O60" s="33" t="n">
        <f>9670</f>
        <v>9670.0</v>
      </c>
      <c r="P60" s="34" t="s">
        <v>50</v>
      </c>
      <c r="Q60" s="33" t="n">
        <f>9740</f>
        <v>9740.0</v>
      </c>
      <c r="R60" s="34" t="s">
        <v>50</v>
      </c>
      <c r="S60" s="35" t="n">
        <f>10329.05</f>
        <v>10329.05</v>
      </c>
      <c r="T60" s="32" t="n">
        <f>1244</f>
        <v>1244.0</v>
      </c>
      <c r="U60" s="32" t="str">
        <f>"－"</f>
        <v>－</v>
      </c>
      <c r="V60" s="32" t="n">
        <f>12650220</f>
        <v>1.265022E7</v>
      </c>
      <c r="W60" s="32" t="str">
        <f>"－"</f>
        <v>－</v>
      </c>
      <c r="X60" s="36" t="n">
        <f>21</f>
        <v>21.0</v>
      </c>
    </row>
    <row r="61">
      <c r="A61" s="27" t="s">
        <v>42</v>
      </c>
      <c r="B61" s="27" t="s">
        <v>224</v>
      </c>
      <c r="C61" s="27" t="s">
        <v>225</v>
      </c>
      <c r="D61" s="27" t="s">
        <v>226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6460</f>
        <v>6460.0</v>
      </c>
      <c r="L61" s="34" t="s">
        <v>48</v>
      </c>
      <c r="M61" s="33" t="n">
        <f>6640</f>
        <v>6640.0</v>
      </c>
      <c r="N61" s="34" t="s">
        <v>50</v>
      </c>
      <c r="O61" s="33" t="n">
        <f>6410</f>
        <v>6410.0</v>
      </c>
      <c r="P61" s="34" t="s">
        <v>67</v>
      </c>
      <c r="Q61" s="33" t="n">
        <f>6640</f>
        <v>6640.0</v>
      </c>
      <c r="R61" s="34" t="s">
        <v>50</v>
      </c>
      <c r="S61" s="35" t="n">
        <f>6480.71</f>
        <v>6480.71</v>
      </c>
      <c r="T61" s="32" t="n">
        <f>452</f>
        <v>452.0</v>
      </c>
      <c r="U61" s="32" t="str">
        <f>"－"</f>
        <v>－</v>
      </c>
      <c r="V61" s="32" t="n">
        <f>2941730</f>
        <v>2941730.0</v>
      </c>
      <c r="W61" s="32" t="str">
        <f>"－"</f>
        <v>－</v>
      </c>
      <c r="X61" s="36" t="n">
        <f>14</f>
        <v>14.0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3340</f>
        <v>3340.0</v>
      </c>
      <c r="L62" s="34" t="s">
        <v>48</v>
      </c>
      <c r="M62" s="33" t="n">
        <f>3575</f>
        <v>3575.0</v>
      </c>
      <c r="N62" s="34" t="s">
        <v>50</v>
      </c>
      <c r="O62" s="33" t="n">
        <f>3250</f>
        <v>3250.0</v>
      </c>
      <c r="P62" s="34" t="s">
        <v>49</v>
      </c>
      <c r="Q62" s="33" t="n">
        <f>3565</f>
        <v>3565.0</v>
      </c>
      <c r="R62" s="34" t="s">
        <v>50</v>
      </c>
      <c r="S62" s="35" t="n">
        <f>3369.29</f>
        <v>3369.29</v>
      </c>
      <c r="T62" s="32" t="n">
        <f>10631</f>
        <v>10631.0</v>
      </c>
      <c r="U62" s="32" t="str">
        <f>"－"</f>
        <v>－</v>
      </c>
      <c r="V62" s="32" t="n">
        <f>36194125</f>
        <v>3.6194125E7</v>
      </c>
      <c r="W62" s="32" t="str">
        <f>"－"</f>
        <v>－</v>
      </c>
      <c r="X62" s="36" t="n">
        <f>21</f>
        <v>21.0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10050</f>
        <v>10050.0</v>
      </c>
      <c r="L63" s="34" t="s">
        <v>48</v>
      </c>
      <c r="M63" s="33" t="n">
        <f>10100</f>
        <v>10100.0</v>
      </c>
      <c r="N63" s="34" t="s">
        <v>72</v>
      </c>
      <c r="O63" s="33" t="n">
        <f>9410</f>
        <v>9410.0</v>
      </c>
      <c r="P63" s="34" t="s">
        <v>50</v>
      </c>
      <c r="Q63" s="33" t="n">
        <f>9410</f>
        <v>9410.0</v>
      </c>
      <c r="R63" s="34" t="s">
        <v>50</v>
      </c>
      <c r="S63" s="35" t="n">
        <f>9837.22</f>
        <v>9837.22</v>
      </c>
      <c r="T63" s="32" t="n">
        <f>3960</f>
        <v>3960.0</v>
      </c>
      <c r="U63" s="32" t="str">
        <f>"－"</f>
        <v>－</v>
      </c>
      <c r="V63" s="32" t="n">
        <f>39035400</f>
        <v>3.90354E7</v>
      </c>
      <c r="W63" s="32" t="str">
        <f>"－"</f>
        <v>－</v>
      </c>
      <c r="X63" s="36" t="n">
        <f>18</f>
        <v>18.0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6400</f>
        <v>6400.0</v>
      </c>
      <c r="L64" s="34" t="s">
        <v>48</v>
      </c>
      <c r="M64" s="33" t="n">
        <f>6490</f>
        <v>6490.0</v>
      </c>
      <c r="N64" s="34" t="s">
        <v>50</v>
      </c>
      <c r="O64" s="33" t="n">
        <f>6230</f>
        <v>6230.0</v>
      </c>
      <c r="P64" s="34" t="s">
        <v>166</v>
      </c>
      <c r="Q64" s="33" t="n">
        <f>6490</f>
        <v>6490.0</v>
      </c>
      <c r="R64" s="34" t="s">
        <v>50</v>
      </c>
      <c r="S64" s="35" t="n">
        <f>6328.75</f>
        <v>6328.75</v>
      </c>
      <c r="T64" s="32" t="n">
        <f>450</f>
        <v>450.0</v>
      </c>
      <c r="U64" s="32" t="str">
        <f>"－"</f>
        <v>－</v>
      </c>
      <c r="V64" s="32" t="n">
        <f>2862200</f>
        <v>2862200.0</v>
      </c>
      <c r="W64" s="32" t="str">
        <f>"－"</f>
        <v>－</v>
      </c>
      <c r="X64" s="36" t="n">
        <f>8</f>
        <v>8.0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3360</f>
        <v>3360.0</v>
      </c>
      <c r="L65" s="34" t="s">
        <v>48</v>
      </c>
      <c r="M65" s="33" t="n">
        <f>3560</f>
        <v>3560.0</v>
      </c>
      <c r="N65" s="34" t="s">
        <v>50</v>
      </c>
      <c r="O65" s="33" t="n">
        <f>3260</f>
        <v>3260.0</v>
      </c>
      <c r="P65" s="34" t="s">
        <v>49</v>
      </c>
      <c r="Q65" s="33" t="n">
        <f>3540</f>
        <v>3540.0</v>
      </c>
      <c r="R65" s="34" t="s">
        <v>50</v>
      </c>
      <c r="S65" s="35" t="n">
        <f>3369.05</f>
        <v>3369.05</v>
      </c>
      <c r="T65" s="32" t="n">
        <f>24910</f>
        <v>24910.0</v>
      </c>
      <c r="U65" s="32" t="n">
        <f>20</f>
        <v>20.0</v>
      </c>
      <c r="V65" s="32" t="n">
        <f>84865050</f>
        <v>8.486505E7</v>
      </c>
      <c r="W65" s="32" t="n">
        <f>69800</f>
        <v>69800.0</v>
      </c>
      <c r="X65" s="36" t="n">
        <f>21</f>
        <v>21.0</v>
      </c>
    </row>
    <row r="66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20650</f>
        <v>20650.0</v>
      </c>
      <c r="L66" s="34" t="s">
        <v>48</v>
      </c>
      <c r="M66" s="33" t="n">
        <f>21000</f>
        <v>21000.0</v>
      </c>
      <c r="N66" s="34" t="s">
        <v>49</v>
      </c>
      <c r="O66" s="33" t="n">
        <f>19300</f>
        <v>19300.0</v>
      </c>
      <c r="P66" s="34" t="s">
        <v>48</v>
      </c>
      <c r="Q66" s="33" t="n">
        <f>19630</f>
        <v>19630.0</v>
      </c>
      <c r="R66" s="34" t="s">
        <v>50</v>
      </c>
      <c r="S66" s="35" t="n">
        <f>20532.86</f>
        <v>20532.86</v>
      </c>
      <c r="T66" s="32" t="n">
        <f>2308</f>
        <v>2308.0</v>
      </c>
      <c r="U66" s="32" t="str">
        <f>"－"</f>
        <v>－</v>
      </c>
      <c r="V66" s="32" t="n">
        <f>47121210</f>
        <v>4.712121E7</v>
      </c>
      <c r="W66" s="32" t="str">
        <f>"－"</f>
        <v>－</v>
      </c>
      <c r="X66" s="36" t="n">
        <f>21</f>
        <v>21.0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4150</f>
        <v>4150.0</v>
      </c>
      <c r="L67" s="34" t="s">
        <v>48</v>
      </c>
      <c r="M67" s="33" t="n">
        <f>4425</f>
        <v>4425.0</v>
      </c>
      <c r="N67" s="34" t="s">
        <v>72</v>
      </c>
      <c r="O67" s="33" t="n">
        <f>4075</f>
        <v>4075.0</v>
      </c>
      <c r="P67" s="34" t="s">
        <v>67</v>
      </c>
      <c r="Q67" s="33" t="n">
        <f>4240</f>
        <v>4240.0</v>
      </c>
      <c r="R67" s="34" t="s">
        <v>50</v>
      </c>
      <c r="S67" s="35" t="n">
        <f>4169.05</f>
        <v>4169.05</v>
      </c>
      <c r="T67" s="32" t="n">
        <f>1992</f>
        <v>1992.0</v>
      </c>
      <c r="U67" s="32" t="str">
        <f>"－"</f>
        <v>－</v>
      </c>
      <c r="V67" s="32" t="n">
        <f>8277340</f>
        <v>8277340.0</v>
      </c>
      <c r="W67" s="32" t="str">
        <f>"－"</f>
        <v>－</v>
      </c>
      <c r="X67" s="36" t="n">
        <f>21</f>
        <v>21.0</v>
      </c>
    </row>
    <row r="68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1325</f>
        <v>1325.0</v>
      </c>
      <c r="L68" s="34" t="s">
        <v>48</v>
      </c>
      <c r="M68" s="33" t="n">
        <f>1414</f>
        <v>1414.0</v>
      </c>
      <c r="N68" s="34" t="s">
        <v>50</v>
      </c>
      <c r="O68" s="33" t="n">
        <f>1299</f>
        <v>1299.0</v>
      </c>
      <c r="P68" s="34" t="s">
        <v>49</v>
      </c>
      <c r="Q68" s="33" t="n">
        <f>1395</f>
        <v>1395.0</v>
      </c>
      <c r="R68" s="34" t="s">
        <v>50</v>
      </c>
      <c r="S68" s="35" t="n">
        <f>1340.67</f>
        <v>1340.67</v>
      </c>
      <c r="T68" s="32" t="n">
        <f>53609</f>
        <v>53609.0</v>
      </c>
      <c r="U68" s="32" t="n">
        <f>12</f>
        <v>12.0</v>
      </c>
      <c r="V68" s="32" t="n">
        <f>72946327</f>
        <v>7.2946327E7</v>
      </c>
      <c r="W68" s="32" t="n">
        <f>16164</f>
        <v>16164.0</v>
      </c>
      <c r="X68" s="36" t="n">
        <f>21</f>
        <v>21.0</v>
      </c>
    </row>
    <row r="69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1661</f>
        <v>1661.0</v>
      </c>
      <c r="L69" s="34" t="s">
        <v>48</v>
      </c>
      <c r="M69" s="33" t="n">
        <f>1688</f>
        <v>1688.0</v>
      </c>
      <c r="N69" s="34" t="s">
        <v>49</v>
      </c>
      <c r="O69" s="33" t="n">
        <f>1605</f>
        <v>1605.0</v>
      </c>
      <c r="P69" s="34" t="s">
        <v>50</v>
      </c>
      <c r="Q69" s="33" t="n">
        <f>1605</f>
        <v>1605.0</v>
      </c>
      <c r="R69" s="34" t="s">
        <v>50</v>
      </c>
      <c r="S69" s="35" t="n">
        <f>1656.9</f>
        <v>1656.9</v>
      </c>
      <c r="T69" s="32" t="n">
        <f>813920</f>
        <v>813920.0</v>
      </c>
      <c r="U69" s="32" t="str">
        <f>"－"</f>
        <v>－</v>
      </c>
      <c r="V69" s="32" t="n">
        <f>1353742840</f>
        <v>1.35374284E9</v>
      </c>
      <c r="W69" s="32" t="str">
        <f>"－"</f>
        <v>－</v>
      </c>
      <c r="X69" s="36" t="n">
        <f>21</f>
        <v>21.0</v>
      </c>
    </row>
    <row r="70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14900</f>
        <v>14900.0</v>
      </c>
      <c r="L70" s="34" t="s">
        <v>48</v>
      </c>
      <c r="M70" s="33" t="n">
        <f>15220</f>
        <v>15220.0</v>
      </c>
      <c r="N70" s="34" t="s">
        <v>67</v>
      </c>
      <c r="O70" s="33" t="n">
        <f>14420</f>
        <v>14420.0</v>
      </c>
      <c r="P70" s="34" t="s">
        <v>50</v>
      </c>
      <c r="Q70" s="33" t="n">
        <f>14440</f>
        <v>14440.0</v>
      </c>
      <c r="R70" s="34" t="s">
        <v>50</v>
      </c>
      <c r="S70" s="35" t="n">
        <f>14880.48</f>
        <v>14880.48</v>
      </c>
      <c r="T70" s="32" t="n">
        <f>91772</f>
        <v>91772.0</v>
      </c>
      <c r="U70" s="32" t="n">
        <f>34200</f>
        <v>34200.0</v>
      </c>
      <c r="V70" s="32" t="n">
        <f>1354686530</f>
        <v>1.35468653E9</v>
      </c>
      <c r="W70" s="32" t="n">
        <f>500688000</f>
        <v>5.00688E8</v>
      </c>
      <c r="X70" s="36" t="n">
        <f>21</f>
        <v>21.0</v>
      </c>
    </row>
    <row r="71">
      <c r="A71" s="27" t="s">
        <v>42</v>
      </c>
      <c r="B71" s="27" t="s">
        <v>254</v>
      </c>
      <c r="C71" s="27" t="s">
        <v>255</v>
      </c>
      <c r="D71" s="27" t="s">
        <v>256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1675</f>
        <v>1675.0</v>
      </c>
      <c r="L71" s="34" t="s">
        <v>48</v>
      </c>
      <c r="M71" s="33" t="n">
        <f>1701</f>
        <v>1701.0</v>
      </c>
      <c r="N71" s="34" t="s">
        <v>49</v>
      </c>
      <c r="O71" s="33" t="n">
        <f>1614</f>
        <v>1614.0</v>
      </c>
      <c r="P71" s="34" t="s">
        <v>50</v>
      </c>
      <c r="Q71" s="33" t="n">
        <f>1619</f>
        <v>1619.0</v>
      </c>
      <c r="R71" s="34" t="s">
        <v>50</v>
      </c>
      <c r="S71" s="35" t="n">
        <f>1667.76</f>
        <v>1667.76</v>
      </c>
      <c r="T71" s="32" t="n">
        <f>1708994</f>
        <v>1708994.0</v>
      </c>
      <c r="U71" s="32" t="n">
        <f>29495</f>
        <v>29495.0</v>
      </c>
      <c r="V71" s="32" t="n">
        <f>2849158480</f>
        <v>2.84915848E9</v>
      </c>
      <c r="W71" s="32" t="n">
        <f>49637127</f>
        <v>4.9637127E7</v>
      </c>
      <c r="X71" s="36" t="n">
        <f>21</f>
        <v>21.0</v>
      </c>
    </row>
    <row r="72">
      <c r="A72" s="27" t="s">
        <v>42</v>
      </c>
      <c r="B72" s="27" t="s">
        <v>257</v>
      </c>
      <c r="C72" s="27" t="s">
        <v>258</v>
      </c>
      <c r="D72" s="27" t="s">
        <v>259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1787</f>
        <v>1787.0</v>
      </c>
      <c r="L72" s="34" t="s">
        <v>48</v>
      </c>
      <c r="M72" s="33" t="n">
        <f>1817</f>
        <v>1817.0</v>
      </c>
      <c r="N72" s="34" t="s">
        <v>116</v>
      </c>
      <c r="O72" s="33" t="n">
        <f>1675</f>
        <v>1675.0</v>
      </c>
      <c r="P72" s="34" t="s">
        <v>68</v>
      </c>
      <c r="Q72" s="33" t="n">
        <f>1692</f>
        <v>1692.0</v>
      </c>
      <c r="R72" s="34" t="s">
        <v>50</v>
      </c>
      <c r="S72" s="35" t="n">
        <f>1754.19</f>
        <v>1754.19</v>
      </c>
      <c r="T72" s="32" t="n">
        <f>2472253</f>
        <v>2472253.0</v>
      </c>
      <c r="U72" s="32" t="n">
        <f>898721</f>
        <v>898721.0</v>
      </c>
      <c r="V72" s="32" t="n">
        <f>4306535634</f>
        <v>4.306535634E9</v>
      </c>
      <c r="W72" s="32" t="n">
        <f>1558737232</f>
        <v>1.558737232E9</v>
      </c>
      <c r="X72" s="36" t="n">
        <f>21</f>
        <v>21.0</v>
      </c>
    </row>
    <row r="73">
      <c r="A73" s="27" t="s">
        <v>42</v>
      </c>
      <c r="B73" s="27" t="s">
        <v>260</v>
      </c>
      <c r="C73" s="27" t="s">
        <v>261</v>
      </c>
      <c r="D73" s="27" t="s">
        <v>262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1731</f>
        <v>1731.0</v>
      </c>
      <c r="L73" s="34" t="s">
        <v>48</v>
      </c>
      <c r="M73" s="33" t="n">
        <f>1739</f>
        <v>1739.0</v>
      </c>
      <c r="N73" s="34" t="s">
        <v>49</v>
      </c>
      <c r="O73" s="33" t="n">
        <f>1656</f>
        <v>1656.0</v>
      </c>
      <c r="P73" s="34" t="s">
        <v>50</v>
      </c>
      <c r="Q73" s="33" t="n">
        <f>1659</f>
        <v>1659.0</v>
      </c>
      <c r="R73" s="34" t="s">
        <v>50</v>
      </c>
      <c r="S73" s="35" t="n">
        <f>1709</f>
        <v>1709.0</v>
      </c>
      <c r="T73" s="32" t="n">
        <f>141482</f>
        <v>141482.0</v>
      </c>
      <c r="U73" s="32" t="n">
        <f>131887</f>
        <v>131887.0</v>
      </c>
      <c r="V73" s="32" t="n">
        <f>234710367</f>
        <v>2.34710367E8</v>
      </c>
      <c r="W73" s="32" t="n">
        <f>218290130</f>
        <v>2.1829013E8</v>
      </c>
      <c r="X73" s="36" t="n">
        <f>21</f>
        <v>21.0</v>
      </c>
    </row>
    <row r="74">
      <c r="A74" s="27" t="s">
        <v>42</v>
      </c>
      <c r="B74" s="27" t="s">
        <v>263</v>
      </c>
      <c r="C74" s="27" t="s">
        <v>264</v>
      </c>
      <c r="D74" s="27" t="s">
        <v>265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1717</f>
        <v>1717.0</v>
      </c>
      <c r="L74" s="34" t="s">
        <v>48</v>
      </c>
      <c r="M74" s="33" t="n">
        <f>1777</f>
        <v>1777.0</v>
      </c>
      <c r="N74" s="34" t="s">
        <v>49</v>
      </c>
      <c r="O74" s="33" t="n">
        <f>1699</f>
        <v>1699.0</v>
      </c>
      <c r="P74" s="34" t="s">
        <v>48</v>
      </c>
      <c r="Q74" s="33" t="n">
        <f>1704</f>
        <v>1704.0</v>
      </c>
      <c r="R74" s="34" t="s">
        <v>50</v>
      </c>
      <c r="S74" s="35" t="n">
        <f>1743.38</f>
        <v>1743.38</v>
      </c>
      <c r="T74" s="32" t="n">
        <f>158972</f>
        <v>158972.0</v>
      </c>
      <c r="U74" s="32" t="n">
        <f>8500</f>
        <v>8500.0</v>
      </c>
      <c r="V74" s="32" t="n">
        <f>275938735</f>
        <v>2.75938735E8</v>
      </c>
      <c r="W74" s="32" t="n">
        <f>14964603</f>
        <v>1.4964603E7</v>
      </c>
      <c r="X74" s="36" t="n">
        <f>21</f>
        <v>21.0</v>
      </c>
    </row>
    <row r="75">
      <c r="A75" s="27" t="s">
        <v>42</v>
      </c>
      <c r="B75" s="27" t="s">
        <v>266</v>
      </c>
      <c r="C75" s="27" t="s">
        <v>267</v>
      </c>
      <c r="D75" s="27" t="s">
        <v>268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19980</f>
        <v>19980.0</v>
      </c>
      <c r="L75" s="34" t="s">
        <v>48</v>
      </c>
      <c r="M75" s="33" t="n">
        <f>20200</f>
        <v>20200.0</v>
      </c>
      <c r="N75" s="34" t="s">
        <v>49</v>
      </c>
      <c r="O75" s="33" t="n">
        <f>19330</f>
        <v>19330.0</v>
      </c>
      <c r="P75" s="34" t="s">
        <v>50</v>
      </c>
      <c r="Q75" s="33" t="n">
        <f>19330</f>
        <v>19330.0</v>
      </c>
      <c r="R75" s="34" t="s">
        <v>50</v>
      </c>
      <c r="S75" s="35" t="n">
        <f>19841.11</f>
        <v>19841.11</v>
      </c>
      <c r="T75" s="32" t="n">
        <f>1745</f>
        <v>1745.0</v>
      </c>
      <c r="U75" s="32" t="str">
        <f>"－"</f>
        <v>－</v>
      </c>
      <c r="V75" s="32" t="n">
        <f>34352590</f>
        <v>3.435259E7</v>
      </c>
      <c r="W75" s="32" t="str">
        <f>"－"</f>
        <v>－</v>
      </c>
      <c r="X75" s="36" t="n">
        <f>9</f>
        <v>9.0</v>
      </c>
    </row>
    <row r="76">
      <c r="A76" s="27" t="s">
        <v>42</v>
      </c>
      <c r="B76" s="27" t="s">
        <v>269</v>
      </c>
      <c r="C76" s="27" t="s">
        <v>270</v>
      </c>
      <c r="D76" s="27" t="s">
        <v>271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16850</f>
        <v>16850.0</v>
      </c>
      <c r="L76" s="34" t="s">
        <v>48</v>
      </c>
      <c r="M76" s="33" t="n">
        <f>16850</f>
        <v>16850.0</v>
      </c>
      <c r="N76" s="34" t="s">
        <v>48</v>
      </c>
      <c r="O76" s="33" t="n">
        <f>15780</f>
        <v>15780.0</v>
      </c>
      <c r="P76" s="34" t="s">
        <v>50</v>
      </c>
      <c r="Q76" s="33" t="n">
        <f>15780</f>
        <v>15780.0</v>
      </c>
      <c r="R76" s="34" t="s">
        <v>50</v>
      </c>
      <c r="S76" s="35" t="n">
        <f>16223.85</f>
        <v>16223.85</v>
      </c>
      <c r="T76" s="32" t="n">
        <f>1530</f>
        <v>1530.0</v>
      </c>
      <c r="U76" s="32" t="str">
        <f>"－"</f>
        <v>－</v>
      </c>
      <c r="V76" s="32" t="n">
        <f>24417960</f>
        <v>2.441796E7</v>
      </c>
      <c r="W76" s="32" t="str">
        <f>"－"</f>
        <v>－</v>
      </c>
      <c r="X76" s="36" t="n">
        <f>13</f>
        <v>13.0</v>
      </c>
    </row>
    <row r="77">
      <c r="A77" s="27" t="s">
        <v>42</v>
      </c>
      <c r="B77" s="27" t="s">
        <v>272</v>
      </c>
      <c r="C77" s="27" t="s">
        <v>273</v>
      </c>
      <c r="D77" s="27" t="s">
        <v>274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1643</f>
        <v>1643.0</v>
      </c>
      <c r="L77" s="34" t="s">
        <v>48</v>
      </c>
      <c r="M77" s="33" t="n">
        <f>1651</f>
        <v>1651.0</v>
      </c>
      <c r="N77" s="34" t="s">
        <v>92</v>
      </c>
      <c r="O77" s="33" t="n">
        <f>1571</f>
        <v>1571.0</v>
      </c>
      <c r="P77" s="34" t="s">
        <v>50</v>
      </c>
      <c r="Q77" s="33" t="n">
        <f>1571</f>
        <v>1571.0</v>
      </c>
      <c r="R77" s="34" t="s">
        <v>50</v>
      </c>
      <c r="S77" s="35" t="n">
        <f>1625.32</f>
        <v>1625.32</v>
      </c>
      <c r="T77" s="32" t="n">
        <f>1019</f>
        <v>1019.0</v>
      </c>
      <c r="U77" s="32" t="str">
        <f>"－"</f>
        <v>－</v>
      </c>
      <c r="V77" s="32" t="n">
        <f>1629800</f>
        <v>1629800.0</v>
      </c>
      <c r="W77" s="32" t="str">
        <f>"－"</f>
        <v>－</v>
      </c>
      <c r="X77" s="36" t="n">
        <f>19</f>
        <v>19.0</v>
      </c>
    </row>
    <row r="78">
      <c r="A78" s="27" t="s">
        <v>42</v>
      </c>
      <c r="B78" s="27" t="s">
        <v>275</v>
      </c>
      <c r="C78" s="27" t="s">
        <v>276</v>
      </c>
      <c r="D78" s="27" t="s">
        <v>277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2513</f>
        <v>2513.0</v>
      </c>
      <c r="L78" s="34" t="s">
        <v>48</v>
      </c>
      <c r="M78" s="33" t="n">
        <f>2521</f>
        <v>2521.0</v>
      </c>
      <c r="N78" s="34" t="s">
        <v>48</v>
      </c>
      <c r="O78" s="33" t="n">
        <f>2472</f>
        <v>2472.0</v>
      </c>
      <c r="P78" s="34" t="s">
        <v>278</v>
      </c>
      <c r="Q78" s="33" t="n">
        <f>2482</f>
        <v>2482.0</v>
      </c>
      <c r="R78" s="34" t="s">
        <v>50</v>
      </c>
      <c r="S78" s="35" t="n">
        <f>2492.52</f>
        <v>2492.52</v>
      </c>
      <c r="T78" s="32" t="n">
        <f>2395376</f>
        <v>2395376.0</v>
      </c>
      <c r="U78" s="32" t="n">
        <f>360800</f>
        <v>360800.0</v>
      </c>
      <c r="V78" s="32" t="n">
        <f>5977699335</f>
        <v>5.977699335E9</v>
      </c>
      <c r="W78" s="32" t="n">
        <f>895832028</f>
        <v>8.95832028E8</v>
      </c>
      <c r="X78" s="36" t="n">
        <f>21</f>
        <v>21.0</v>
      </c>
    </row>
    <row r="79">
      <c r="A79" s="27" t="s">
        <v>42</v>
      </c>
      <c r="B79" s="27" t="s">
        <v>279</v>
      </c>
      <c r="C79" s="27" t="s">
        <v>280</v>
      </c>
      <c r="D79" s="27" t="s">
        <v>281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1624</f>
        <v>1624.0</v>
      </c>
      <c r="L79" s="34" t="s">
        <v>48</v>
      </c>
      <c r="M79" s="33" t="n">
        <f>1630</f>
        <v>1630.0</v>
      </c>
      <c r="N79" s="34" t="s">
        <v>282</v>
      </c>
      <c r="O79" s="33" t="n">
        <f>1540</f>
        <v>1540.0</v>
      </c>
      <c r="P79" s="34" t="s">
        <v>68</v>
      </c>
      <c r="Q79" s="33" t="n">
        <f>1552</f>
        <v>1552.0</v>
      </c>
      <c r="R79" s="34" t="s">
        <v>50</v>
      </c>
      <c r="S79" s="35" t="n">
        <f>1597</f>
        <v>1597.0</v>
      </c>
      <c r="T79" s="32" t="n">
        <f>555</f>
        <v>555.0</v>
      </c>
      <c r="U79" s="32" t="str">
        <f>"－"</f>
        <v>－</v>
      </c>
      <c r="V79" s="32" t="n">
        <f>883283</f>
        <v>883283.0</v>
      </c>
      <c r="W79" s="32" t="str">
        <f>"－"</f>
        <v>－</v>
      </c>
      <c r="X79" s="36" t="n">
        <f>21</f>
        <v>21.0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1608</f>
        <v>1608.0</v>
      </c>
      <c r="L80" s="34" t="s">
        <v>48</v>
      </c>
      <c r="M80" s="33" t="n">
        <f>1634</f>
        <v>1634.0</v>
      </c>
      <c r="N80" s="34" t="s">
        <v>49</v>
      </c>
      <c r="O80" s="33" t="n">
        <f>1549</f>
        <v>1549.0</v>
      </c>
      <c r="P80" s="34" t="s">
        <v>50</v>
      </c>
      <c r="Q80" s="33" t="n">
        <f>1549</f>
        <v>1549.0</v>
      </c>
      <c r="R80" s="34" t="s">
        <v>50</v>
      </c>
      <c r="S80" s="35" t="n">
        <f>1605.29</f>
        <v>1605.29</v>
      </c>
      <c r="T80" s="32" t="n">
        <f>14120</f>
        <v>14120.0</v>
      </c>
      <c r="U80" s="32" t="str">
        <f>"－"</f>
        <v>－</v>
      </c>
      <c r="V80" s="32" t="n">
        <f>22280540</f>
        <v>2.228054E7</v>
      </c>
      <c r="W80" s="32" t="str">
        <f>"－"</f>
        <v>－</v>
      </c>
      <c r="X80" s="36" t="n">
        <f>21</f>
        <v>21.0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25800</f>
        <v>25800.0</v>
      </c>
      <c r="L81" s="34" t="s">
        <v>67</v>
      </c>
      <c r="M81" s="33" t="n">
        <f>26310</f>
        <v>26310.0</v>
      </c>
      <c r="N81" s="34" t="s">
        <v>220</v>
      </c>
      <c r="O81" s="33" t="n">
        <f>25800</f>
        <v>25800.0</v>
      </c>
      <c r="P81" s="34" t="s">
        <v>67</v>
      </c>
      <c r="Q81" s="33" t="n">
        <f>26310</f>
        <v>26310.0</v>
      </c>
      <c r="R81" s="34" t="s">
        <v>220</v>
      </c>
      <c r="S81" s="35" t="n">
        <f>26055</f>
        <v>26055.0</v>
      </c>
      <c r="T81" s="32" t="n">
        <f>11</f>
        <v>11.0</v>
      </c>
      <c r="U81" s="32" t="str">
        <f>"－"</f>
        <v>－</v>
      </c>
      <c r="V81" s="32" t="n">
        <f>287310</f>
        <v>287310.0</v>
      </c>
      <c r="W81" s="32" t="str">
        <f>"－"</f>
        <v>－</v>
      </c>
      <c r="X81" s="36" t="n">
        <f>2</f>
        <v>2.0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21970</f>
        <v>21970.0</v>
      </c>
      <c r="L82" s="34" t="s">
        <v>48</v>
      </c>
      <c r="M82" s="33" t="n">
        <f>21970</f>
        <v>21970.0</v>
      </c>
      <c r="N82" s="34" t="s">
        <v>48</v>
      </c>
      <c r="O82" s="33" t="n">
        <f>21460</f>
        <v>21460.0</v>
      </c>
      <c r="P82" s="34" t="s">
        <v>50</v>
      </c>
      <c r="Q82" s="33" t="n">
        <f>21470</f>
        <v>21470.0</v>
      </c>
      <c r="R82" s="34" t="s">
        <v>50</v>
      </c>
      <c r="S82" s="35" t="n">
        <f>21740.95</f>
        <v>21740.95</v>
      </c>
      <c r="T82" s="32" t="n">
        <f>166768</f>
        <v>166768.0</v>
      </c>
      <c r="U82" s="32" t="n">
        <f>137001</f>
        <v>137001.0</v>
      </c>
      <c r="V82" s="32" t="n">
        <f>3638127190</f>
        <v>3.63812719E9</v>
      </c>
      <c r="W82" s="32" t="n">
        <f>2994129380</f>
        <v>2.99412938E9</v>
      </c>
      <c r="X82" s="36" t="n">
        <f>21</f>
        <v>21.0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19690</f>
        <v>19690.0</v>
      </c>
      <c r="L83" s="34" t="s">
        <v>48</v>
      </c>
      <c r="M83" s="33" t="n">
        <f>19720</f>
        <v>19720.0</v>
      </c>
      <c r="N83" s="34" t="s">
        <v>48</v>
      </c>
      <c r="O83" s="33" t="n">
        <f>19430</f>
        <v>19430.0</v>
      </c>
      <c r="P83" s="34" t="s">
        <v>278</v>
      </c>
      <c r="Q83" s="33" t="n">
        <f>19480</f>
        <v>19480.0</v>
      </c>
      <c r="R83" s="34" t="s">
        <v>50</v>
      </c>
      <c r="S83" s="35" t="n">
        <f>19544.5</f>
        <v>19544.5</v>
      </c>
      <c r="T83" s="32" t="n">
        <f>375972</f>
        <v>375972.0</v>
      </c>
      <c r="U83" s="32" t="n">
        <f>164996</f>
        <v>164996.0</v>
      </c>
      <c r="V83" s="32" t="n">
        <f>7345278011</f>
        <v>7.345278011E9</v>
      </c>
      <c r="W83" s="32" t="n">
        <f>3226405231</f>
        <v>3.226405231E9</v>
      </c>
      <c r="X83" s="36" t="n">
        <f>20</f>
        <v>20.0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1779</f>
        <v>1779.0</v>
      </c>
      <c r="L84" s="34" t="s">
        <v>48</v>
      </c>
      <c r="M84" s="33" t="n">
        <f>1811</f>
        <v>1811.0</v>
      </c>
      <c r="N84" s="34" t="s">
        <v>116</v>
      </c>
      <c r="O84" s="33" t="n">
        <f>1672</f>
        <v>1672.0</v>
      </c>
      <c r="P84" s="34" t="s">
        <v>68</v>
      </c>
      <c r="Q84" s="33" t="n">
        <f>1684</f>
        <v>1684.0</v>
      </c>
      <c r="R84" s="34" t="s">
        <v>50</v>
      </c>
      <c r="S84" s="35" t="n">
        <f>1746.62</f>
        <v>1746.62</v>
      </c>
      <c r="T84" s="32" t="n">
        <f>592120</f>
        <v>592120.0</v>
      </c>
      <c r="U84" s="32" t="n">
        <f>50170</f>
        <v>50170.0</v>
      </c>
      <c r="V84" s="32" t="n">
        <f>1029539530</f>
        <v>1.02953953E9</v>
      </c>
      <c r="W84" s="32" t="n">
        <f>88019520</f>
        <v>8.801952E7</v>
      </c>
      <c r="X84" s="36" t="n">
        <f>21</f>
        <v>21.0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28060</f>
        <v>28060.0</v>
      </c>
      <c r="L85" s="34" t="s">
        <v>48</v>
      </c>
      <c r="M85" s="33" t="n">
        <f>28490</f>
        <v>28490.0</v>
      </c>
      <c r="N85" s="34" t="s">
        <v>48</v>
      </c>
      <c r="O85" s="33" t="n">
        <f>26750</f>
        <v>26750.0</v>
      </c>
      <c r="P85" s="34" t="s">
        <v>50</v>
      </c>
      <c r="Q85" s="33" t="n">
        <f>27140</f>
        <v>27140.0</v>
      </c>
      <c r="R85" s="34" t="s">
        <v>50</v>
      </c>
      <c r="S85" s="35" t="n">
        <f>27694.29</f>
        <v>27694.29</v>
      </c>
      <c r="T85" s="32" t="n">
        <f>43890</f>
        <v>43890.0</v>
      </c>
      <c r="U85" s="32" t="n">
        <f>3532</f>
        <v>3532.0</v>
      </c>
      <c r="V85" s="32" t="n">
        <f>1217827443</f>
        <v>1.217827443E9</v>
      </c>
      <c r="W85" s="32" t="n">
        <f>99283453</f>
        <v>9.9283453E7</v>
      </c>
      <c r="X85" s="36" t="n">
        <f>21</f>
        <v>21.0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8040</f>
        <v>8040.0</v>
      </c>
      <c r="L86" s="34" t="s">
        <v>48</v>
      </c>
      <c r="M86" s="33" t="n">
        <f>8100</f>
        <v>8100.0</v>
      </c>
      <c r="N86" s="34" t="s">
        <v>96</v>
      </c>
      <c r="O86" s="33" t="n">
        <f>7900</f>
        <v>7900.0</v>
      </c>
      <c r="P86" s="34" t="s">
        <v>220</v>
      </c>
      <c r="Q86" s="33" t="n">
        <f>7950</f>
        <v>7950.0</v>
      </c>
      <c r="R86" s="34" t="s">
        <v>278</v>
      </c>
      <c r="S86" s="35" t="n">
        <f>7987</f>
        <v>7987.0</v>
      </c>
      <c r="T86" s="32" t="n">
        <f>270</f>
        <v>270.0</v>
      </c>
      <c r="U86" s="32" t="str">
        <f>"－"</f>
        <v>－</v>
      </c>
      <c r="V86" s="32" t="n">
        <f>2155900</f>
        <v>2155900.0</v>
      </c>
      <c r="W86" s="32" t="str">
        <f>"－"</f>
        <v>－</v>
      </c>
      <c r="X86" s="36" t="n">
        <f>10</f>
        <v>10.0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14280</f>
        <v>14280.0</v>
      </c>
      <c r="L87" s="34" t="s">
        <v>48</v>
      </c>
      <c r="M87" s="33" t="n">
        <f>14530</f>
        <v>14530.0</v>
      </c>
      <c r="N87" s="34" t="s">
        <v>307</v>
      </c>
      <c r="O87" s="33" t="n">
        <f>13660</f>
        <v>13660.0</v>
      </c>
      <c r="P87" s="34" t="s">
        <v>50</v>
      </c>
      <c r="Q87" s="33" t="n">
        <f>13660</f>
        <v>13660.0</v>
      </c>
      <c r="R87" s="34" t="s">
        <v>50</v>
      </c>
      <c r="S87" s="35" t="n">
        <f>14232.86</f>
        <v>14232.86</v>
      </c>
      <c r="T87" s="32" t="n">
        <f>855</f>
        <v>855.0</v>
      </c>
      <c r="U87" s="32" t="n">
        <f>1</f>
        <v>1.0</v>
      </c>
      <c r="V87" s="32" t="n">
        <f>12156750</f>
        <v>1.215675E7</v>
      </c>
      <c r="W87" s="32" t="n">
        <f>14470</f>
        <v>14470.0</v>
      </c>
      <c r="X87" s="36" t="n">
        <f>21</f>
        <v>21.0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14280</f>
        <v>14280.0</v>
      </c>
      <c r="L88" s="34" t="s">
        <v>48</v>
      </c>
      <c r="M88" s="33" t="n">
        <f>14690</f>
        <v>14690.0</v>
      </c>
      <c r="N88" s="34" t="s">
        <v>282</v>
      </c>
      <c r="O88" s="33" t="n">
        <f>13610</f>
        <v>13610.0</v>
      </c>
      <c r="P88" s="34" t="s">
        <v>50</v>
      </c>
      <c r="Q88" s="33" t="n">
        <f>13620</f>
        <v>13620.0</v>
      </c>
      <c r="R88" s="34" t="s">
        <v>50</v>
      </c>
      <c r="S88" s="35" t="n">
        <f>14290.48</f>
        <v>14290.48</v>
      </c>
      <c r="T88" s="32" t="n">
        <f>11967</f>
        <v>11967.0</v>
      </c>
      <c r="U88" s="32" t="str">
        <f>"－"</f>
        <v>－</v>
      </c>
      <c r="V88" s="32" t="n">
        <f>169766500</f>
        <v>1.697665E8</v>
      </c>
      <c r="W88" s="32" t="str">
        <f>"－"</f>
        <v>－</v>
      </c>
      <c r="X88" s="36" t="n">
        <f>21</f>
        <v>21.0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16310</f>
        <v>16310.0</v>
      </c>
      <c r="L89" s="34" t="s">
        <v>48</v>
      </c>
      <c r="M89" s="33" t="n">
        <f>16640</f>
        <v>16640.0</v>
      </c>
      <c r="N89" s="34" t="s">
        <v>96</v>
      </c>
      <c r="O89" s="33" t="n">
        <f>15570</f>
        <v>15570.0</v>
      </c>
      <c r="P89" s="34" t="s">
        <v>50</v>
      </c>
      <c r="Q89" s="33" t="n">
        <f>15570</f>
        <v>15570.0</v>
      </c>
      <c r="R89" s="34" t="s">
        <v>50</v>
      </c>
      <c r="S89" s="35" t="n">
        <f>16169.52</f>
        <v>16169.52</v>
      </c>
      <c r="T89" s="32" t="n">
        <f>5045</f>
        <v>5045.0</v>
      </c>
      <c r="U89" s="32" t="str">
        <f>"－"</f>
        <v>－</v>
      </c>
      <c r="V89" s="32" t="n">
        <f>81803040</f>
        <v>8.180304E7</v>
      </c>
      <c r="W89" s="32" t="str">
        <f>"－"</f>
        <v>－</v>
      </c>
      <c r="X89" s="36" t="n">
        <f>21</f>
        <v>21.0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9890</f>
        <v>9890.0</v>
      </c>
      <c r="L90" s="34" t="s">
        <v>48</v>
      </c>
      <c r="M90" s="33" t="n">
        <f>10500</f>
        <v>10500.0</v>
      </c>
      <c r="N90" s="34" t="s">
        <v>173</v>
      </c>
      <c r="O90" s="33" t="n">
        <f>9300</f>
        <v>9300.0</v>
      </c>
      <c r="P90" s="34" t="s">
        <v>85</v>
      </c>
      <c r="Q90" s="33" t="n">
        <f>9360</f>
        <v>9360.0</v>
      </c>
      <c r="R90" s="34" t="s">
        <v>50</v>
      </c>
      <c r="S90" s="35" t="n">
        <f>9827.62</f>
        <v>9827.62</v>
      </c>
      <c r="T90" s="32" t="n">
        <f>22590</f>
        <v>22590.0</v>
      </c>
      <c r="U90" s="32" t="n">
        <f>30</f>
        <v>30.0</v>
      </c>
      <c r="V90" s="32" t="n">
        <f>219724900</f>
        <v>2.197249E8</v>
      </c>
      <c r="W90" s="32" t="n">
        <f>297000</f>
        <v>297000.0</v>
      </c>
      <c r="X90" s="36" t="n">
        <f>21</f>
        <v>21.0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2644</f>
        <v>2644.0</v>
      </c>
      <c r="L91" s="34" t="s">
        <v>48</v>
      </c>
      <c r="M91" s="33" t="n">
        <f>2645</f>
        <v>2645.0</v>
      </c>
      <c r="N91" s="34" t="s">
        <v>72</v>
      </c>
      <c r="O91" s="33" t="n">
        <f>2604</f>
        <v>2604.0</v>
      </c>
      <c r="P91" s="34" t="s">
        <v>278</v>
      </c>
      <c r="Q91" s="33" t="n">
        <f>2609</f>
        <v>2609.0</v>
      </c>
      <c r="R91" s="34" t="s">
        <v>50</v>
      </c>
      <c r="S91" s="35" t="n">
        <f>2623.1</f>
        <v>2623.1</v>
      </c>
      <c r="T91" s="32" t="n">
        <f>288062</f>
        <v>288062.0</v>
      </c>
      <c r="U91" s="32" t="n">
        <f>224842</f>
        <v>224842.0</v>
      </c>
      <c r="V91" s="32" t="n">
        <f>756179520</f>
        <v>7.5617952E8</v>
      </c>
      <c r="W91" s="32" t="n">
        <f>590191256</f>
        <v>5.90191256E8</v>
      </c>
      <c r="X91" s="36" t="n">
        <f>21</f>
        <v>21.0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2297</f>
        <v>2297.0</v>
      </c>
      <c r="L92" s="34" t="s">
        <v>48</v>
      </c>
      <c r="M92" s="33" t="n">
        <f>2307</f>
        <v>2307.0</v>
      </c>
      <c r="N92" s="34" t="s">
        <v>116</v>
      </c>
      <c r="O92" s="33" t="n">
        <f>2246</f>
        <v>2246.0</v>
      </c>
      <c r="P92" s="34" t="s">
        <v>50</v>
      </c>
      <c r="Q92" s="33" t="n">
        <f>2251</f>
        <v>2251.0</v>
      </c>
      <c r="R92" s="34" t="s">
        <v>50</v>
      </c>
      <c r="S92" s="35" t="n">
        <f>2284.86</f>
        <v>2284.86</v>
      </c>
      <c r="T92" s="32" t="n">
        <f>96882</f>
        <v>96882.0</v>
      </c>
      <c r="U92" s="32" t="n">
        <f>57250</f>
        <v>57250.0</v>
      </c>
      <c r="V92" s="32" t="n">
        <f>221268979</f>
        <v>2.21268979E8</v>
      </c>
      <c r="W92" s="32" t="n">
        <f>130636485</f>
        <v>1.30636485E8</v>
      </c>
      <c r="X92" s="36" t="n">
        <f>21</f>
        <v>21.0</v>
      </c>
    </row>
    <row r="93">
      <c r="A93" s="27" t="s">
        <v>42</v>
      </c>
      <c r="B93" s="27" t="s">
        <v>323</v>
      </c>
      <c r="C93" s="27" t="s">
        <v>324</v>
      </c>
      <c r="D93" s="27" t="s">
        <v>325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12160</f>
        <v>12160.0</v>
      </c>
      <c r="L93" s="34" t="s">
        <v>48</v>
      </c>
      <c r="M93" s="33" t="n">
        <f>12300</f>
        <v>12300.0</v>
      </c>
      <c r="N93" s="34" t="s">
        <v>49</v>
      </c>
      <c r="O93" s="33" t="n">
        <f>11800</f>
        <v>11800.0</v>
      </c>
      <c r="P93" s="34" t="s">
        <v>50</v>
      </c>
      <c r="Q93" s="33" t="n">
        <f>11810</f>
        <v>11810.0</v>
      </c>
      <c r="R93" s="34" t="s">
        <v>50</v>
      </c>
      <c r="S93" s="35" t="n">
        <f>12118.57</f>
        <v>12118.57</v>
      </c>
      <c r="T93" s="32" t="n">
        <f>10942</f>
        <v>10942.0</v>
      </c>
      <c r="U93" s="32" t="n">
        <f>1</f>
        <v>1.0</v>
      </c>
      <c r="V93" s="32" t="n">
        <f>131231900</f>
        <v>1.312319E8</v>
      </c>
      <c r="W93" s="32" t="n">
        <f>12190</f>
        <v>12190.0</v>
      </c>
      <c r="X93" s="36" t="n">
        <f>21</f>
        <v>21.0</v>
      </c>
    </row>
    <row r="94">
      <c r="A94" s="27" t="s">
        <v>42</v>
      </c>
      <c r="B94" s="27" t="s">
        <v>326</v>
      </c>
      <c r="C94" s="27" t="s">
        <v>327</v>
      </c>
      <c r="D94" s="27" t="s">
        <v>328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7870</f>
        <v>7870.0</v>
      </c>
      <c r="L94" s="34" t="s">
        <v>48</v>
      </c>
      <c r="M94" s="33" t="n">
        <f>8100</f>
        <v>8100.0</v>
      </c>
      <c r="N94" s="34" t="s">
        <v>85</v>
      </c>
      <c r="O94" s="33" t="n">
        <f>7630</f>
        <v>7630.0</v>
      </c>
      <c r="P94" s="34" t="s">
        <v>49</v>
      </c>
      <c r="Q94" s="33" t="n">
        <f>7690</f>
        <v>7690.0</v>
      </c>
      <c r="R94" s="34" t="s">
        <v>50</v>
      </c>
      <c r="S94" s="35" t="n">
        <f>7822.38</f>
        <v>7822.38</v>
      </c>
      <c r="T94" s="32" t="n">
        <f>692</f>
        <v>692.0</v>
      </c>
      <c r="U94" s="32" t="str">
        <f>"－"</f>
        <v>－</v>
      </c>
      <c r="V94" s="32" t="n">
        <f>5456580</f>
        <v>5456580.0</v>
      </c>
      <c r="W94" s="32" t="str">
        <f>"－"</f>
        <v>－</v>
      </c>
      <c r="X94" s="36" t="n">
        <f>21</f>
        <v>21.0</v>
      </c>
    </row>
    <row r="95">
      <c r="A95" s="27" t="s">
        <v>42</v>
      </c>
      <c r="B95" s="27" t="s">
        <v>329</v>
      </c>
      <c r="C95" s="27" t="s">
        <v>330</v>
      </c>
      <c r="D95" s="27" t="s">
        <v>331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6190</f>
        <v>6190.0</v>
      </c>
      <c r="L95" s="34" t="s">
        <v>48</v>
      </c>
      <c r="M95" s="33" t="n">
        <f>6310</f>
        <v>6310.0</v>
      </c>
      <c r="N95" s="34" t="s">
        <v>92</v>
      </c>
      <c r="O95" s="33" t="n">
        <f>6010</f>
        <v>6010.0</v>
      </c>
      <c r="P95" s="34" t="s">
        <v>50</v>
      </c>
      <c r="Q95" s="33" t="n">
        <f>6010</f>
        <v>6010.0</v>
      </c>
      <c r="R95" s="34" t="s">
        <v>50</v>
      </c>
      <c r="S95" s="35" t="n">
        <f>6177.14</f>
        <v>6177.14</v>
      </c>
      <c r="T95" s="32" t="n">
        <f>2360178</f>
        <v>2360178.0</v>
      </c>
      <c r="U95" s="32" t="n">
        <f>1053</f>
        <v>1053.0</v>
      </c>
      <c r="V95" s="32" t="n">
        <f>14571192740</f>
        <v>1.457119274E10</v>
      </c>
      <c r="W95" s="32" t="n">
        <f>6617260</f>
        <v>6617260.0</v>
      </c>
      <c r="X95" s="36" t="n">
        <f>21</f>
        <v>21.0</v>
      </c>
    </row>
    <row r="96">
      <c r="A96" s="27" t="s">
        <v>42</v>
      </c>
      <c r="B96" s="27" t="s">
        <v>332</v>
      </c>
      <c r="C96" s="27" t="s">
        <v>333</v>
      </c>
      <c r="D96" s="27" t="s">
        <v>334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2926</f>
        <v>2926.0</v>
      </c>
      <c r="L96" s="34" t="s">
        <v>48</v>
      </c>
      <c r="M96" s="33" t="n">
        <f>2927</f>
        <v>2927.0</v>
      </c>
      <c r="N96" s="34" t="s">
        <v>48</v>
      </c>
      <c r="O96" s="33" t="n">
        <f>2712</f>
        <v>2712.0</v>
      </c>
      <c r="P96" s="34" t="s">
        <v>50</v>
      </c>
      <c r="Q96" s="33" t="n">
        <f>2713</f>
        <v>2713.0</v>
      </c>
      <c r="R96" s="34" t="s">
        <v>50</v>
      </c>
      <c r="S96" s="35" t="n">
        <f>2832.57</f>
        <v>2832.57</v>
      </c>
      <c r="T96" s="32" t="n">
        <f>1229622</f>
        <v>1229622.0</v>
      </c>
      <c r="U96" s="32" t="str">
        <f>"－"</f>
        <v>－</v>
      </c>
      <c r="V96" s="32" t="n">
        <f>3495987599</f>
        <v>3.495987599E9</v>
      </c>
      <c r="W96" s="32" t="str">
        <f>"－"</f>
        <v>－</v>
      </c>
      <c r="X96" s="36" t="n">
        <f>21</f>
        <v>21.0</v>
      </c>
    </row>
    <row r="97">
      <c r="A97" s="27" t="s">
        <v>42</v>
      </c>
      <c r="B97" s="27" t="s">
        <v>335</v>
      </c>
      <c r="C97" s="27" t="s">
        <v>336</v>
      </c>
      <c r="D97" s="27" t="s">
        <v>337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7600</f>
        <v>7600.0</v>
      </c>
      <c r="L97" s="34" t="s">
        <v>48</v>
      </c>
      <c r="M97" s="33" t="n">
        <f>8190</f>
        <v>8190.0</v>
      </c>
      <c r="N97" s="34" t="s">
        <v>92</v>
      </c>
      <c r="O97" s="33" t="n">
        <f>7210</f>
        <v>7210.0</v>
      </c>
      <c r="P97" s="34" t="s">
        <v>50</v>
      </c>
      <c r="Q97" s="33" t="n">
        <f>7240</f>
        <v>7240.0</v>
      </c>
      <c r="R97" s="34" t="s">
        <v>50</v>
      </c>
      <c r="S97" s="35" t="n">
        <f>7710</f>
        <v>7710.0</v>
      </c>
      <c r="T97" s="32" t="n">
        <f>329637</f>
        <v>329637.0</v>
      </c>
      <c r="U97" s="32" t="n">
        <f>99</f>
        <v>99.0</v>
      </c>
      <c r="V97" s="32" t="n">
        <f>2541859410</f>
        <v>2.54185941E9</v>
      </c>
      <c r="W97" s="32" t="n">
        <f>750050</f>
        <v>750050.0</v>
      </c>
      <c r="X97" s="36" t="n">
        <f>21</f>
        <v>21.0</v>
      </c>
    </row>
    <row r="98">
      <c r="A98" s="27" t="s">
        <v>42</v>
      </c>
      <c r="B98" s="27" t="s">
        <v>338</v>
      </c>
      <c r="C98" s="27" t="s">
        <v>339</v>
      </c>
      <c r="D98" s="27" t="s">
        <v>340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70200</f>
        <v>70200.0</v>
      </c>
      <c r="L98" s="34" t="s">
        <v>48</v>
      </c>
      <c r="M98" s="33" t="n">
        <f>74200</f>
        <v>74200.0</v>
      </c>
      <c r="N98" s="34" t="s">
        <v>92</v>
      </c>
      <c r="O98" s="33" t="n">
        <f>66500</f>
        <v>66500.0</v>
      </c>
      <c r="P98" s="34" t="s">
        <v>50</v>
      </c>
      <c r="Q98" s="33" t="n">
        <f>66500</f>
        <v>66500.0</v>
      </c>
      <c r="R98" s="34" t="s">
        <v>50</v>
      </c>
      <c r="S98" s="35" t="n">
        <f>71190.48</f>
        <v>71190.48</v>
      </c>
      <c r="T98" s="32" t="n">
        <f>3692</f>
        <v>3692.0</v>
      </c>
      <c r="U98" s="32" t="n">
        <f>1</f>
        <v>1.0</v>
      </c>
      <c r="V98" s="32" t="n">
        <f>261669400</f>
        <v>2.616694E8</v>
      </c>
      <c r="W98" s="32" t="n">
        <f>73100</f>
        <v>73100.0</v>
      </c>
      <c r="X98" s="36" t="n">
        <f>21</f>
        <v>21.0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12410</f>
        <v>12410.0</v>
      </c>
      <c r="L99" s="34" t="s">
        <v>48</v>
      </c>
      <c r="M99" s="33" t="n">
        <f>12990</f>
        <v>12990.0</v>
      </c>
      <c r="N99" s="34" t="s">
        <v>220</v>
      </c>
      <c r="O99" s="33" t="n">
        <f>11690</f>
        <v>11690.0</v>
      </c>
      <c r="P99" s="34" t="s">
        <v>50</v>
      </c>
      <c r="Q99" s="33" t="n">
        <f>11700</f>
        <v>11700.0</v>
      </c>
      <c r="R99" s="34" t="s">
        <v>50</v>
      </c>
      <c r="S99" s="35" t="n">
        <f>12388.1</f>
        <v>12388.1</v>
      </c>
      <c r="T99" s="32" t="n">
        <f>2913315</f>
        <v>2913315.0</v>
      </c>
      <c r="U99" s="32" t="n">
        <f>247870</f>
        <v>247870.0</v>
      </c>
      <c r="V99" s="32" t="n">
        <f>36090362470</f>
        <v>3.609036247E10</v>
      </c>
      <c r="W99" s="32" t="n">
        <f>3037093280</f>
        <v>3.03709328E9</v>
      </c>
      <c r="X99" s="36" t="n">
        <f>21</f>
        <v>21.0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28600</f>
        <v>28600.0</v>
      </c>
      <c r="L100" s="34" t="s">
        <v>48</v>
      </c>
      <c r="M100" s="33" t="n">
        <f>29570</f>
        <v>29570.0</v>
      </c>
      <c r="N100" s="34" t="s">
        <v>166</v>
      </c>
      <c r="O100" s="33" t="n">
        <f>26550</f>
        <v>26550.0</v>
      </c>
      <c r="P100" s="34" t="s">
        <v>50</v>
      </c>
      <c r="Q100" s="33" t="n">
        <f>26610</f>
        <v>26610.0</v>
      </c>
      <c r="R100" s="34" t="s">
        <v>50</v>
      </c>
      <c r="S100" s="35" t="n">
        <f>28700.95</f>
        <v>28700.95</v>
      </c>
      <c r="T100" s="32" t="n">
        <f>511117</f>
        <v>511117.0</v>
      </c>
      <c r="U100" s="32" t="n">
        <f>143401</f>
        <v>143401.0</v>
      </c>
      <c r="V100" s="32" t="n">
        <f>14388140270</f>
        <v>1.438814027E10</v>
      </c>
      <c r="W100" s="32" t="n">
        <f>3949787390</f>
        <v>3.94978739E9</v>
      </c>
      <c r="X100" s="36" t="n">
        <f>21</f>
        <v>21.0</v>
      </c>
    </row>
    <row r="101">
      <c r="A101" s="27" t="s">
        <v>42</v>
      </c>
      <c r="B101" s="27" t="s">
        <v>347</v>
      </c>
      <c r="C101" s="27" t="s">
        <v>348</v>
      </c>
      <c r="D101" s="27" t="s">
        <v>349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3885</f>
        <v>3885.0</v>
      </c>
      <c r="L101" s="34" t="s">
        <v>48</v>
      </c>
      <c r="M101" s="33" t="n">
        <f>4065</f>
        <v>4065.0</v>
      </c>
      <c r="N101" s="34" t="s">
        <v>166</v>
      </c>
      <c r="O101" s="33" t="n">
        <f>3685</f>
        <v>3685.0</v>
      </c>
      <c r="P101" s="34" t="s">
        <v>50</v>
      </c>
      <c r="Q101" s="33" t="n">
        <f>3690</f>
        <v>3690.0</v>
      </c>
      <c r="R101" s="34" t="s">
        <v>50</v>
      </c>
      <c r="S101" s="35" t="n">
        <f>3924.76</f>
        <v>3924.76</v>
      </c>
      <c r="T101" s="32" t="n">
        <f>1552030</f>
        <v>1552030.0</v>
      </c>
      <c r="U101" s="32" t="n">
        <f>211690</f>
        <v>211690.0</v>
      </c>
      <c r="V101" s="32" t="n">
        <f>6021576930</f>
        <v>6.02157693E9</v>
      </c>
      <c r="W101" s="32" t="n">
        <f>805707380</f>
        <v>8.0570738E8</v>
      </c>
      <c r="X101" s="36" t="n">
        <f>21</f>
        <v>21.0</v>
      </c>
    </row>
    <row r="102">
      <c r="A102" s="27" t="s">
        <v>42</v>
      </c>
      <c r="B102" s="27" t="s">
        <v>350</v>
      </c>
      <c r="C102" s="27" t="s">
        <v>351</v>
      </c>
      <c r="D102" s="27" t="s">
        <v>352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2566</f>
        <v>2566.0</v>
      </c>
      <c r="L102" s="34" t="s">
        <v>48</v>
      </c>
      <c r="M102" s="33" t="n">
        <f>2666</f>
        <v>2666.0</v>
      </c>
      <c r="N102" s="34" t="s">
        <v>166</v>
      </c>
      <c r="O102" s="33" t="n">
        <f>2432</f>
        <v>2432.0</v>
      </c>
      <c r="P102" s="34" t="s">
        <v>50</v>
      </c>
      <c r="Q102" s="33" t="n">
        <f>2441</f>
        <v>2441.0</v>
      </c>
      <c r="R102" s="34" t="s">
        <v>50</v>
      </c>
      <c r="S102" s="35" t="n">
        <f>2589.14</f>
        <v>2589.14</v>
      </c>
      <c r="T102" s="32" t="n">
        <f>165310</f>
        <v>165310.0</v>
      </c>
      <c r="U102" s="32" t="n">
        <f>19470</f>
        <v>19470.0</v>
      </c>
      <c r="V102" s="32" t="n">
        <f>424935330</f>
        <v>4.2493533E8</v>
      </c>
      <c r="W102" s="32" t="n">
        <f>49922710</f>
        <v>4.992271E7</v>
      </c>
      <c r="X102" s="36" t="n">
        <f>21</f>
        <v>21.0</v>
      </c>
    </row>
    <row r="103">
      <c r="A103" s="27" t="s">
        <v>42</v>
      </c>
      <c r="B103" s="27" t="s">
        <v>353</v>
      </c>
      <c r="C103" s="27" t="s">
        <v>354</v>
      </c>
      <c r="D103" s="27" t="s">
        <v>355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4785</f>
        <v>4785.0</v>
      </c>
      <c r="L103" s="34" t="s">
        <v>48</v>
      </c>
      <c r="M103" s="33" t="n">
        <f>4940</f>
        <v>4940.0</v>
      </c>
      <c r="N103" s="34" t="s">
        <v>356</v>
      </c>
      <c r="O103" s="33" t="n">
        <f>4630</f>
        <v>4630.0</v>
      </c>
      <c r="P103" s="34" t="s">
        <v>85</v>
      </c>
      <c r="Q103" s="33" t="n">
        <f>4670</f>
        <v>4670.0</v>
      </c>
      <c r="R103" s="34" t="s">
        <v>50</v>
      </c>
      <c r="S103" s="35" t="n">
        <f>4780.71</f>
        <v>4780.71</v>
      </c>
      <c r="T103" s="32" t="n">
        <f>21430</f>
        <v>21430.0</v>
      </c>
      <c r="U103" s="32" t="n">
        <f>10</f>
        <v>10.0</v>
      </c>
      <c r="V103" s="32" t="n">
        <f>102735250</f>
        <v>1.0273525E8</v>
      </c>
      <c r="W103" s="32" t="n">
        <f>47100</f>
        <v>47100.0</v>
      </c>
      <c r="X103" s="36" t="n">
        <f>21</f>
        <v>21.0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8450</f>
        <v>8450.0</v>
      </c>
      <c r="L104" s="34" t="s">
        <v>48</v>
      </c>
      <c r="M104" s="33" t="n">
        <f>9340</f>
        <v>9340.0</v>
      </c>
      <c r="N104" s="34" t="s">
        <v>48</v>
      </c>
      <c r="O104" s="33" t="n">
        <f>7350</f>
        <v>7350.0</v>
      </c>
      <c r="P104" s="34" t="s">
        <v>356</v>
      </c>
      <c r="Q104" s="33" t="n">
        <f>9250</f>
        <v>9250.0</v>
      </c>
      <c r="R104" s="34" t="s">
        <v>50</v>
      </c>
      <c r="S104" s="35" t="n">
        <f>7996.19</f>
        <v>7996.19</v>
      </c>
      <c r="T104" s="32" t="n">
        <f>6389158</f>
        <v>6389158.0</v>
      </c>
      <c r="U104" s="32" t="n">
        <f>72397</f>
        <v>72397.0</v>
      </c>
      <c r="V104" s="32" t="n">
        <f>52627375445</f>
        <v>5.2627375445E10</v>
      </c>
      <c r="W104" s="32" t="n">
        <f>603208995</f>
        <v>6.03208995E8</v>
      </c>
      <c r="X104" s="36" t="n">
        <f>21</f>
        <v>21.0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2224</f>
        <v>2224.0</v>
      </c>
      <c r="L105" s="34" t="s">
        <v>48</v>
      </c>
      <c r="M105" s="33" t="n">
        <f>2324</f>
        <v>2324.0</v>
      </c>
      <c r="N105" s="34" t="s">
        <v>166</v>
      </c>
      <c r="O105" s="33" t="n">
        <f>2122</f>
        <v>2122.0</v>
      </c>
      <c r="P105" s="34" t="s">
        <v>68</v>
      </c>
      <c r="Q105" s="33" t="n">
        <f>2144</f>
        <v>2144.0</v>
      </c>
      <c r="R105" s="34" t="s">
        <v>50</v>
      </c>
      <c r="S105" s="35" t="n">
        <f>2251.33</f>
        <v>2251.33</v>
      </c>
      <c r="T105" s="32" t="n">
        <f>42230</f>
        <v>42230.0</v>
      </c>
      <c r="U105" s="32" t="n">
        <f>20</f>
        <v>20.0</v>
      </c>
      <c r="V105" s="32" t="n">
        <f>94863770</f>
        <v>9.486377E7</v>
      </c>
      <c r="W105" s="32" t="n">
        <f>44300</f>
        <v>44300.0</v>
      </c>
      <c r="X105" s="36" t="n">
        <f>21</f>
        <v>21.0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1328</f>
        <v>1328.0</v>
      </c>
      <c r="L106" s="34" t="s">
        <v>48</v>
      </c>
      <c r="M106" s="33" t="n">
        <f>1381</f>
        <v>1381.0</v>
      </c>
      <c r="N106" s="34" t="s">
        <v>166</v>
      </c>
      <c r="O106" s="33" t="n">
        <f>1267</f>
        <v>1267.0</v>
      </c>
      <c r="P106" s="34" t="s">
        <v>50</v>
      </c>
      <c r="Q106" s="33" t="n">
        <f>1279</f>
        <v>1279.0</v>
      </c>
      <c r="R106" s="34" t="s">
        <v>50</v>
      </c>
      <c r="S106" s="35" t="n">
        <f>1350.38</f>
        <v>1350.38</v>
      </c>
      <c r="T106" s="32" t="n">
        <f>173620</f>
        <v>173620.0</v>
      </c>
      <c r="U106" s="32" t="n">
        <f>10</f>
        <v>10.0</v>
      </c>
      <c r="V106" s="32" t="n">
        <f>231254070</f>
        <v>2.3125407E8</v>
      </c>
      <c r="W106" s="32" t="n">
        <f>13410</f>
        <v>13410.0</v>
      </c>
      <c r="X106" s="36" t="n">
        <f>21</f>
        <v>21.0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35550</f>
        <v>35550.0</v>
      </c>
      <c r="L107" s="34" t="s">
        <v>48</v>
      </c>
      <c r="M107" s="33" t="n">
        <f>37200</f>
        <v>37200.0</v>
      </c>
      <c r="N107" s="34" t="s">
        <v>166</v>
      </c>
      <c r="O107" s="33" t="n">
        <f>33750</f>
        <v>33750.0</v>
      </c>
      <c r="P107" s="34" t="s">
        <v>50</v>
      </c>
      <c r="Q107" s="33" t="n">
        <f>33750</f>
        <v>33750.0</v>
      </c>
      <c r="R107" s="34" t="s">
        <v>50</v>
      </c>
      <c r="S107" s="35" t="n">
        <f>35940.48</f>
        <v>35940.48</v>
      </c>
      <c r="T107" s="32" t="n">
        <f>210953</f>
        <v>210953.0</v>
      </c>
      <c r="U107" s="32" t="n">
        <f>14001</f>
        <v>14001.0</v>
      </c>
      <c r="V107" s="32" t="n">
        <f>7520741150</f>
        <v>7.52074115E9</v>
      </c>
      <c r="W107" s="32" t="n">
        <f>482756500</f>
        <v>4.827565E8</v>
      </c>
      <c r="X107" s="36" t="n">
        <f>21</f>
        <v>21.0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2710</f>
        <v>2710.0</v>
      </c>
      <c r="L108" s="34" t="s">
        <v>48</v>
      </c>
      <c r="M108" s="33" t="n">
        <f>2710</f>
        <v>2710.0</v>
      </c>
      <c r="N108" s="34" t="s">
        <v>48</v>
      </c>
      <c r="O108" s="33" t="n">
        <f>2519</f>
        <v>2519.0</v>
      </c>
      <c r="P108" s="34" t="s">
        <v>116</v>
      </c>
      <c r="Q108" s="33" t="n">
        <f>2634</f>
        <v>2634.0</v>
      </c>
      <c r="R108" s="34" t="s">
        <v>50</v>
      </c>
      <c r="S108" s="35" t="n">
        <f>2616.57</f>
        <v>2616.57</v>
      </c>
      <c r="T108" s="32" t="n">
        <f>12150</f>
        <v>12150.0</v>
      </c>
      <c r="U108" s="32" t="n">
        <f>7</f>
        <v>7.0</v>
      </c>
      <c r="V108" s="32" t="n">
        <f>31737588</f>
        <v>3.1737588E7</v>
      </c>
      <c r="W108" s="32" t="n">
        <f>18192</f>
        <v>18192.0</v>
      </c>
      <c r="X108" s="36" t="n">
        <f>21</f>
        <v>21.0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3750</f>
        <v>3750.0</v>
      </c>
      <c r="L109" s="34" t="s">
        <v>48</v>
      </c>
      <c r="M109" s="33" t="n">
        <f>3820</f>
        <v>3820.0</v>
      </c>
      <c r="N109" s="34" t="s">
        <v>166</v>
      </c>
      <c r="O109" s="33" t="n">
        <f>3620</f>
        <v>3620.0</v>
      </c>
      <c r="P109" s="34" t="s">
        <v>68</v>
      </c>
      <c r="Q109" s="33" t="n">
        <f>3620</f>
        <v>3620.0</v>
      </c>
      <c r="R109" s="34" t="s">
        <v>50</v>
      </c>
      <c r="S109" s="35" t="n">
        <f>3715.48</f>
        <v>3715.48</v>
      </c>
      <c r="T109" s="32" t="n">
        <f>2514</f>
        <v>2514.0</v>
      </c>
      <c r="U109" s="32" t="n">
        <f>1</f>
        <v>1.0</v>
      </c>
      <c r="V109" s="32" t="n">
        <f>9353300</f>
        <v>9353300.0</v>
      </c>
      <c r="W109" s="32" t="n">
        <f>3725</f>
        <v>3725.0</v>
      </c>
      <c r="X109" s="36" t="n">
        <f>21</f>
        <v>21.0</v>
      </c>
    </row>
    <row r="110">
      <c r="A110" s="27" t="s">
        <v>42</v>
      </c>
      <c r="B110" s="27" t="s">
        <v>375</v>
      </c>
      <c r="C110" s="27" t="s">
        <v>376</v>
      </c>
      <c r="D110" s="27" t="s">
        <v>377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3360</f>
        <v>3360.0</v>
      </c>
      <c r="L110" s="34" t="s">
        <v>48</v>
      </c>
      <c r="M110" s="33" t="n">
        <f>3665</f>
        <v>3665.0</v>
      </c>
      <c r="N110" s="34" t="s">
        <v>132</v>
      </c>
      <c r="O110" s="33" t="n">
        <f>3175</f>
        <v>3175.0</v>
      </c>
      <c r="P110" s="34" t="s">
        <v>85</v>
      </c>
      <c r="Q110" s="33" t="n">
        <f>3325</f>
        <v>3325.0</v>
      </c>
      <c r="R110" s="34" t="s">
        <v>50</v>
      </c>
      <c r="S110" s="35" t="n">
        <f>3432.62</f>
        <v>3432.62</v>
      </c>
      <c r="T110" s="32" t="n">
        <f>897933</f>
        <v>897933.0</v>
      </c>
      <c r="U110" s="32" t="n">
        <f>156</f>
        <v>156.0</v>
      </c>
      <c r="V110" s="32" t="n">
        <f>3077428900</f>
        <v>3.0774289E9</v>
      </c>
      <c r="W110" s="32" t="n">
        <f>516665</f>
        <v>516665.0</v>
      </c>
      <c r="X110" s="36" t="n">
        <f>21</f>
        <v>21.0</v>
      </c>
    </row>
    <row r="111">
      <c r="A111" s="27" t="s">
        <v>42</v>
      </c>
      <c r="B111" s="27" t="s">
        <v>378</v>
      </c>
      <c r="C111" s="27" t="s">
        <v>379</v>
      </c>
      <c r="D111" s="27" t="s">
        <v>380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43100</f>
        <v>43100.0</v>
      </c>
      <c r="L111" s="34" t="s">
        <v>48</v>
      </c>
      <c r="M111" s="33" t="n">
        <f>43700</f>
        <v>43700.0</v>
      </c>
      <c r="N111" s="34" t="s">
        <v>67</v>
      </c>
      <c r="O111" s="33" t="n">
        <f>42500</f>
        <v>42500.0</v>
      </c>
      <c r="P111" s="34" t="s">
        <v>72</v>
      </c>
      <c r="Q111" s="33" t="n">
        <f>43000</f>
        <v>43000.0</v>
      </c>
      <c r="R111" s="34" t="s">
        <v>50</v>
      </c>
      <c r="S111" s="35" t="n">
        <f>43285.71</f>
        <v>43285.71</v>
      </c>
      <c r="T111" s="32" t="n">
        <f>9795</f>
        <v>9795.0</v>
      </c>
      <c r="U111" s="32" t="n">
        <f>460</f>
        <v>460.0</v>
      </c>
      <c r="V111" s="32" t="n">
        <f>423407335</f>
        <v>4.23407335E8</v>
      </c>
      <c r="W111" s="32" t="n">
        <f>19825885</f>
        <v>1.9825885E7</v>
      </c>
      <c r="X111" s="36" t="n">
        <f>21</f>
        <v>21.0</v>
      </c>
    </row>
    <row r="112">
      <c r="A112" s="27" t="s">
        <v>42</v>
      </c>
      <c r="B112" s="27" t="s">
        <v>381</v>
      </c>
      <c r="C112" s="27" t="s">
        <v>382</v>
      </c>
      <c r="D112" s="27" t="s">
        <v>383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1130</f>
        <v>1130.0</v>
      </c>
      <c r="L112" s="34" t="s">
        <v>173</v>
      </c>
      <c r="M112" s="33" t="n">
        <f>1130</f>
        <v>1130.0</v>
      </c>
      <c r="N112" s="34" t="s">
        <v>173</v>
      </c>
      <c r="O112" s="33" t="n">
        <f>1130</f>
        <v>1130.0</v>
      </c>
      <c r="P112" s="34" t="s">
        <v>173</v>
      </c>
      <c r="Q112" s="33" t="n">
        <f>1130</f>
        <v>1130.0</v>
      </c>
      <c r="R112" s="34" t="s">
        <v>173</v>
      </c>
      <c r="S112" s="35" t="n">
        <f>1130</f>
        <v>1130.0</v>
      </c>
      <c r="T112" s="32" t="n">
        <f>90</f>
        <v>90.0</v>
      </c>
      <c r="U112" s="32" t="str">
        <f>"－"</f>
        <v>－</v>
      </c>
      <c r="V112" s="32" t="n">
        <f>101700</f>
        <v>101700.0</v>
      </c>
      <c r="W112" s="32" t="str">
        <f>"－"</f>
        <v>－</v>
      </c>
      <c r="X112" s="36" t="n">
        <f>1</f>
        <v>1.0</v>
      </c>
    </row>
    <row r="113">
      <c r="A113" s="27" t="s">
        <v>42</v>
      </c>
      <c r="B113" s="27" t="s">
        <v>384</v>
      </c>
      <c r="C113" s="27" t="s">
        <v>385</v>
      </c>
      <c r="D113" s="27" t="s">
        <v>386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16880</f>
        <v>16880.0</v>
      </c>
      <c r="L113" s="34" t="s">
        <v>48</v>
      </c>
      <c r="M113" s="33" t="n">
        <f>17400</f>
        <v>17400.0</v>
      </c>
      <c r="N113" s="34" t="s">
        <v>49</v>
      </c>
      <c r="O113" s="33" t="n">
        <f>15670</f>
        <v>15670.0</v>
      </c>
      <c r="P113" s="34" t="s">
        <v>50</v>
      </c>
      <c r="Q113" s="33" t="n">
        <f>15730</f>
        <v>15730.0</v>
      </c>
      <c r="R113" s="34" t="s">
        <v>50</v>
      </c>
      <c r="S113" s="35" t="n">
        <f>16727.14</f>
        <v>16727.14</v>
      </c>
      <c r="T113" s="32" t="n">
        <f>2240550</f>
        <v>2240550.0</v>
      </c>
      <c r="U113" s="32" t="n">
        <f>25610</f>
        <v>25610.0</v>
      </c>
      <c r="V113" s="32" t="n">
        <f>37382694700</f>
        <v>3.73826947E10</v>
      </c>
      <c r="W113" s="32" t="n">
        <f>437331400</f>
        <v>4.373314E8</v>
      </c>
      <c r="X113" s="36" t="n">
        <f>21</f>
        <v>21.0</v>
      </c>
    </row>
    <row r="114">
      <c r="A114" s="27" t="s">
        <v>42</v>
      </c>
      <c r="B114" s="27" t="s">
        <v>387</v>
      </c>
      <c r="C114" s="27" t="s">
        <v>388</v>
      </c>
      <c r="D114" s="27" t="s">
        <v>389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2759</f>
        <v>2759.0</v>
      </c>
      <c r="L114" s="34" t="s">
        <v>48</v>
      </c>
      <c r="M114" s="33" t="n">
        <f>2852</f>
        <v>2852.0</v>
      </c>
      <c r="N114" s="34" t="s">
        <v>50</v>
      </c>
      <c r="O114" s="33" t="n">
        <f>2714</f>
        <v>2714.0</v>
      </c>
      <c r="P114" s="34" t="s">
        <v>49</v>
      </c>
      <c r="Q114" s="33" t="n">
        <f>2851</f>
        <v>2851.0</v>
      </c>
      <c r="R114" s="34" t="s">
        <v>50</v>
      </c>
      <c r="S114" s="35" t="n">
        <f>2766.19</f>
        <v>2766.19</v>
      </c>
      <c r="T114" s="32" t="n">
        <f>432810</f>
        <v>432810.0</v>
      </c>
      <c r="U114" s="32" t="n">
        <f>2820</f>
        <v>2820.0</v>
      </c>
      <c r="V114" s="32" t="n">
        <f>1201107770</f>
        <v>1.20110777E9</v>
      </c>
      <c r="W114" s="32" t="n">
        <f>7701180</f>
        <v>7701180.0</v>
      </c>
      <c r="X114" s="36" t="n">
        <f>21</f>
        <v>21.0</v>
      </c>
    </row>
    <row r="115">
      <c r="A115" s="27" t="s">
        <v>42</v>
      </c>
      <c r="B115" s="27" t="s">
        <v>390</v>
      </c>
      <c r="C115" s="27" t="s">
        <v>391</v>
      </c>
      <c r="D115" s="27" t="s">
        <v>392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20950</f>
        <v>20950.0</v>
      </c>
      <c r="L115" s="34" t="s">
        <v>48</v>
      </c>
      <c r="M115" s="33" t="n">
        <f>21650</f>
        <v>21650.0</v>
      </c>
      <c r="N115" s="34" t="s">
        <v>67</v>
      </c>
      <c r="O115" s="33" t="n">
        <f>20230</f>
        <v>20230.0</v>
      </c>
      <c r="P115" s="34" t="s">
        <v>50</v>
      </c>
      <c r="Q115" s="33" t="n">
        <f>20330</f>
        <v>20330.0</v>
      </c>
      <c r="R115" s="34" t="s">
        <v>50</v>
      </c>
      <c r="S115" s="35" t="n">
        <f>21162.38</f>
        <v>21162.38</v>
      </c>
      <c r="T115" s="32" t="n">
        <f>99529612</f>
        <v>9.9529612E7</v>
      </c>
      <c r="U115" s="32" t="n">
        <f>126663</f>
        <v>126663.0</v>
      </c>
      <c r="V115" s="32" t="n">
        <f>2102084513383</f>
        <v>2.102084513383E12</v>
      </c>
      <c r="W115" s="32" t="n">
        <f>2628984613</f>
        <v>2.628984613E9</v>
      </c>
      <c r="X115" s="36" t="n">
        <f>21</f>
        <v>21.0</v>
      </c>
    </row>
    <row r="116">
      <c r="A116" s="27" t="s">
        <v>42</v>
      </c>
      <c r="B116" s="27" t="s">
        <v>393</v>
      </c>
      <c r="C116" s="27" t="s">
        <v>394</v>
      </c>
      <c r="D116" s="27" t="s">
        <v>395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1303</f>
        <v>1303.0</v>
      </c>
      <c r="L116" s="34" t="s">
        <v>48</v>
      </c>
      <c r="M116" s="33" t="n">
        <f>1324</f>
        <v>1324.0</v>
      </c>
      <c r="N116" s="34" t="s">
        <v>48</v>
      </c>
      <c r="O116" s="33" t="n">
        <f>1281</f>
        <v>1281.0</v>
      </c>
      <c r="P116" s="34" t="s">
        <v>67</v>
      </c>
      <c r="Q116" s="33" t="n">
        <f>1319</f>
        <v>1319.0</v>
      </c>
      <c r="R116" s="34" t="s">
        <v>50</v>
      </c>
      <c r="S116" s="35" t="n">
        <f>1293.95</f>
        <v>1293.95</v>
      </c>
      <c r="T116" s="32" t="n">
        <f>6897361</f>
        <v>6897361.0</v>
      </c>
      <c r="U116" s="32" t="n">
        <f>104</f>
        <v>104.0</v>
      </c>
      <c r="V116" s="32" t="n">
        <f>8951131908</f>
        <v>8.951131908E9</v>
      </c>
      <c r="W116" s="32" t="n">
        <f>137089</f>
        <v>137089.0</v>
      </c>
      <c r="X116" s="36" t="n">
        <f>21</f>
        <v>21.0</v>
      </c>
    </row>
    <row r="117">
      <c r="A117" s="27" t="s">
        <v>42</v>
      </c>
      <c r="B117" s="27" t="s">
        <v>396</v>
      </c>
      <c r="C117" s="27" t="s">
        <v>397</v>
      </c>
      <c r="D117" s="27" t="s">
        <v>398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8910</f>
        <v>8910.0</v>
      </c>
      <c r="L117" s="34" t="s">
        <v>48</v>
      </c>
      <c r="M117" s="33" t="n">
        <f>9790</f>
        <v>9790.0</v>
      </c>
      <c r="N117" s="34" t="s">
        <v>166</v>
      </c>
      <c r="O117" s="33" t="n">
        <f>8500</f>
        <v>8500.0</v>
      </c>
      <c r="P117" s="34" t="s">
        <v>72</v>
      </c>
      <c r="Q117" s="33" t="n">
        <f>9150</f>
        <v>9150.0</v>
      </c>
      <c r="R117" s="34" t="s">
        <v>50</v>
      </c>
      <c r="S117" s="35" t="n">
        <f>9350.48</f>
        <v>9350.48</v>
      </c>
      <c r="T117" s="32" t="n">
        <f>8950</f>
        <v>8950.0</v>
      </c>
      <c r="U117" s="32" t="str">
        <f>"－"</f>
        <v>－</v>
      </c>
      <c r="V117" s="32" t="n">
        <f>84572600</f>
        <v>8.45726E7</v>
      </c>
      <c r="W117" s="32" t="str">
        <f>"－"</f>
        <v>－</v>
      </c>
      <c r="X117" s="36" t="n">
        <f>21</f>
        <v>21.0</v>
      </c>
    </row>
    <row r="118">
      <c r="A118" s="27" t="s">
        <v>42</v>
      </c>
      <c r="B118" s="27" t="s">
        <v>399</v>
      </c>
      <c r="C118" s="27" t="s">
        <v>400</v>
      </c>
      <c r="D118" s="27" t="s">
        <v>401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7500</f>
        <v>7500.0</v>
      </c>
      <c r="L118" s="34" t="s">
        <v>48</v>
      </c>
      <c r="M118" s="33" t="n">
        <f>7630</f>
        <v>7630.0</v>
      </c>
      <c r="N118" s="34" t="s">
        <v>72</v>
      </c>
      <c r="O118" s="33" t="n">
        <f>7040</f>
        <v>7040.0</v>
      </c>
      <c r="P118" s="34" t="s">
        <v>278</v>
      </c>
      <c r="Q118" s="33" t="n">
        <f>7260</f>
        <v>7260.0</v>
      </c>
      <c r="R118" s="34" t="s">
        <v>50</v>
      </c>
      <c r="S118" s="35" t="n">
        <f>7306.67</f>
        <v>7306.67</v>
      </c>
      <c r="T118" s="32" t="n">
        <f>3480</f>
        <v>3480.0</v>
      </c>
      <c r="U118" s="32" t="str">
        <f>"－"</f>
        <v>－</v>
      </c>
      <c r="V118" s="32" t="n">
        <f>25476800</f>
        <v>2.54768E7</v>
      </c>
      <c r="W118" s="32" t="str">
        <f>"－"</f>
        <v>－</v>
      </c>
      <c r="X118" s="36" t="n">
        <f>21</f>
        <v>21.0</v>
      </c>
    </row>
    <row r="119">
      <c r="A119" s="27" t="s">
        <v>42</v>
      </c>
      <c r="B119" s="27" t="s">
        <v>402</v>
      </c>
      <c r="C119" s="27" t="s">
        <v>403</v>
      </c>
      <c r="D119" s="27" t="s">
        <v>404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1462</f>
        <v>1462.0</v>
      </c>
      <c r="L119" s="34" t="s">
        <v>116</v>
      </c>
      <c r="M119" s="33" t="n">
        <f>1462</f>
        <v>1462.0</v>
      </c>
      <c r="N119" s="34" t="s">
        <v>116</v>
      </c>
      <c r="O119" s="33" t="n">
        <f>1462</f>
        <v>1462.0</v>
      </c>
      <c r="P119" s="34" t="s">
        <v>116</v>
      </c>
      <c r="Q119" s="33" t="n">
        <f>1462</f>
        <v>1462.0</v>
      </c>
      <c r="R119" s="34" t="s">
        <v>116</v>
      </c>
      <c r="S119" s="35" t="n">
        <f>1462</f>
        <v>1462.0</v>
      </c>
      <c r="T119" s="32" t="n">
        <f>10</f>
        <v>10.0</v>
      </c>
      <c r="U119" s="32" t="str">
        <f>"－"</f>
        <v>－</v>
      </c>
      <c r="V119" s="32" t="n">
        <f>14620</f>
        <v>14620.0</v>
      </c>
      <c r="W119" s="32" t="str">
        <f>"－"</f>
        <v>－</v>
      </c>
      <c r="X119" s="36" t="n">
        <f>1</f>
        <v>1.0</v>
      </c>
    </row>
    <row r="120">
      <c r="A120" s="27" t="s">
        <v>42</v>
      </c>
      <c r="B120" s="27" t="s">
        <v>405</v>
      </c>
      <c r="C120" s="27" t="s">
        <v>406</v>
      </c>
      <c r="D120" s="27" t="s">
        <v>407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696</f>
        <v>696.0</v>
      </c>
      <c r="L120" s="34" t="s">
        <v>48</v>
      </c>
      <c r="M120" s="33" t="n">
        <f>730</f>
        <v>730.0</v>
      </c>
      <c r="N120" s="34" t="s">
        <v>60</v>
      </c>
      <c r="O120" s="33" t="n">
        <f>656</f>
        <v>656.0</v>
      </c>
      <c r="P120" s="34" t="s">
        <v>278</v>
      </c>
      <c r="Q120" s="33" t="n">
        <f>694</f>
        <v>694.0</v>
      </c>
      <c r="R120" s="34" t="s">
        <v>50</v>
      </c>
      <c r="S120" s="35" t="n">
        <f>704.9</f>
        <v>704.9</v>
      </c>
      <c r="T120" s="32" t="n">
        <f>7050</f>
        <v>7050.0</v>
      </c>
      <c r="U120" s="32" t="str">
        <f>"－"</f>
        <v>－</v>
      </c>
      <c r="V120" s="32" t="n">
        <f>4986420</f>
        <v>4986420.0</v>
      </c>
      <c r="W120" s="32" t="str">
        <f>"－"</f>
        <v>－</v>
      </c>
      <c r="X120" s="36" t="n">
        <f>21</f>
        <v>21.0</v>
      </c>
    </row>
    <row r="121">
      <c r="A121" s="27" t="s">
        <v>42</v>
      </c>
      <c r="B121" s="27" t="s">
        <v>408</v>
      </c>
      <c r="C121" s="27" t="s">
        <v>409</v>
      </c>
      <c r="D121" s="27" t="s">
        <v>410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661</f>
        <v>661.0</v>
      </c>
      <c r="L121" s="34" t="s">
        <v>72</v>
      </c>
      <c r="M121" s="33" t="n">
        <f>752</f>
        <v>752.0</v>
      </c>
      <c r="N121" s="34" t="s">
        <v>132</v>
      </c>
      <c r="O121" s="33" t="n">
        <f>661</f>
        <v>661.0</v>
      </c>
      <c r="P121" s="34" t="s">
        <v>72</v>
      </c>
      <c r="Q121" s="33" t="n">
        <f>704</f>
        <v>704.0</v>
      </c>
      <c r="R121" s="34" t="s">
        <v>68</v>
      </c>
      <c r="S121" s="35" t="n">
        <f>709.44</f>
        <v>709.44</v>
      </c>
      <c r="T121" s="32" t="n">
        <f>9660</f>
        <v>9660.0</v>
      </c>
      <c r="U121" s="32" t="str">
        <f>"－"</f>
        <v>－</v>
      </c>
      <c r="V121" s="32" t="n">
        <f>6824230</f>
        <v>6824230.0</v>
      </c>
      <c r="W121" s="32" t="str">
        <f>"－"</f>
        <v>－</v>
      </c>
      <c r="X121" s="36" t="n">
        <f>18</f>
        <v>18.0</v>
      </c>
    </row>
    <row r="122">
      <c r="A122" s="27" t="s">
        <v>42</v>
      </c>
      <c r="B122" s="27" t="s">
        <v>411</v>
      </c>
      <c r="C122" s="27" t="s">
        <v>412</v>
      </c>
      <c r="D122" s="27" t="s">
        <v>413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18650</f>
        <v>18650.0</v>
      </c>
      <c r="L122" s="34" t="s">
        <v>48</v>
      </c>
      <c r="M122" s="33" t="n">
        <f>18940</f>
        <v>18940.0</v>
      </c>
      <c r="N122" s="34" t="s">
        <v>48</v>
      </c>
      <c r="O122" s="33" t="n">
        <f>17590</f>
        <v>17590.0</v>
      </c>
      <c r="P122" s="34" t="s">
        <v>50</v>
      </c>
      <c r="Q122" s="33" t="n">
        <f>17650</f>
        <v>17650.0</v>
      </c>
      <c r="R122" s="34" t="s">
        <v>50</v>
      </c>
      <c r="S122" s="35" t="n">
        <f>18413.33</f>
        <v>18413.33</v>
      </c>
      <c r="T122" s="32" t="n">
        <f>52180</f>
        <v>52180.0</v>
      </c>
      <c r="U122" s="32" t="n">
        <f>5301</f>
        <v>5301.0</v>
      </c>
      <c r="V122" s="32" t="n">
        <f>961566994</f>
        <v>9.61566994E8</v>
      </c>
      <c r="W122" s="32" t="n">
        <f>98843014</f>
        <v>9.8843014E7</v>
      </c>
      <c r="X122" s="36" t="n">
        <f>21</f>
        <v>21.0</v>
      </c>
    </row>
    <row r="123">
      <c r="A123" s="27" t="s">
        <v>42</v>
      </c>
      <c r="B123" s="27" t="s">
        <v>414</v>
      </c>
      <c r="C123" s="27" t="s">
        <v>415</v>
      </c>
      <c r="D123" s="27" t="s">
        <v>416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1866</f>
        <v>1866.0</v>
      </c>
      <c r="L123" s="34" t="s">
        <v>48</v>
      </c>
      <c r="M123" s="33" t="n">
        <f>1900</f>
        <v>1900.0</v>
      </c>
      <c r="N123" s="34" t="s">
        <v>67</v>
      </c>
      <c r="O123" s="33" t="n">
        <f>1838</f>
        <v>1838.0</v>
      </c>
      <c r="P123" s="34" t="s">
        <v>50</v>
      </c>
      <c r="Q123" s="33" t="n">
        <f>1840</f>
        <v>1840.0</v>
      </c>
      <c r="R123" s="34" t="s">
        <v>50</v>
      </c>
      <c r="S123" s="35" t="n">
        <f>1878.9</f>
        <v>1878.9</v>
      </c>
      <c r="T123" s="32" t="n">
        <f>59121</f>
        <v>59121.0</v>
      </c>
      <c r="U123" s="32" t="n">
        <f>2</f>
        <v>2.0</v>
      </c>
      <c r="V123" s="32" t="n">
        <f>111311149</f>
        <v>1.11311149E8</v>
      </c>
      <c r="W123" s="32" t="n">
        <f>3773</f>
        <v>3773.0</v>
      </c>
      <c r="X123" s="36" t="n">
        <f>21</f>
        <v>21.0</v>
      </c>
    </row>
    <row r="124">
      <c r="A124" s="27" t="s">
        <v>42</v>
      </c>
      <c r="B124" s="27" t="s">
        <v>417</v>
      </c>
      <c r="C124" s="27" t="s">
        <v>418</v>
      </c>
      <c r="D124" s="27" t="s">
        <v>419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22290</f>
        <v>22290.0</v>
      </c>
      <c r="L124" s="34" t="s">
        <v>48</v>
      </c>
      <c r="M124" s="33" t="n">
        <f>23050</f>
        <v>23050.0</v>
      </c>
      <c r="N124" s="34" t="s">
        <v>67</v>
      </c>
      <c r="O124" s="33" t="n">
        <f>21540</f>
        <v>21540.0</v>
      </c>
      <c r="P124" s="34" t="s">
        <v>50</v>
      </c>
      <c r="Q124" s="33" t="n">
        <f>21620</f>
        <v>21620.0</v>
      </c>
      <c r="R124" s="34" t="s">
        <v>50</v>
      </c>
      <c r="S124" s="35" t="n">
        <f>22533.81</f>
        <v>22533.81</v>
      </c>
      <c r="T124" s="32" t="n">
        <f>9288820</f>
        <v>9288820.0</v>
      </c>
      <c r="U124" s="32" t="n">
        <f>640</f>
        <v>640.0</v>
      </c>
      <c r="V124" s="32" t="n">
        <f>208821649930</f>
        <v>2.0882164993E11</v>
      </c>
      <c r="W124" s="32" t="n">
        <f>14166230</f>
        <v>1.416623E7</v>
      </c>
      <c r="X124" s="36" t="n">
        <f>21</f>
        <v>21.0</v>
      </c>
    </row>
    <row r="125">
      <c r="A125" s="27" t="s">
        <v>42</v>
      </c>
      <c r="B125" s="27" t="s">
        <v>420</v>
      </c>
      <c r="C125" s="27" t="s">
        <v>421</v>
      </c>
      <c r="D125" s="27" t="s">
        <v>422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3475</f>
        <v>3475.0</v>
      </c>
      <c r="L125" s="34" t="s">
        <v>48</v>
      </c>
      <c r="M125" s="33" t="n">
        <f>3530</f>
        <v>3530.0</v>
      </c>
      <c r="N125" s="34" t="s">
        <v>48</v>
      </c>
      <c r="O125" s="33" t="n">
        <f>3410</f>
        <v>3410.0</v>
      </c>
      <c r="P125" s="34" t="s">
        <v>67</v>
      </c>
      <c r="Q125" s="33" t="n">
        <f>3515</f>
        <v>3515.0</v>
      </c>
      <c r="R125" s="34" t="s">
        <v>50</v>
      </c>
      <c r="S125" s="35" t="n">
        <f>3450.24</f>
        <v>3450.24</v>
      </c>
      <c r="T125" s="32" t="n">
        <f>344590</f>
        <v>344590.0</v>
      </c>
      <c r="U125" s="32" t="n">
        <f>28250</f>
        <v>28250.0</v>
      </c>
      <c r="V125" s="32" t="n">
        <f>1189731247</f>
        <v>1.189731247E9</v>
      </c>
      <c r="W125" s="32" t="n">
        <f>97843447</f>
        <v>9.7843447E7</v>
      </c>
      <c r="X125" s="36" t="n">
        <f>21</f>
        <v>21.0</v>
      </c>
    </row>
    <row r="126">
      <c r="A126" s="27" t="s">
        <v>42</v>
      </c>
      <c r="B126" s="27" t="s">
        <v>423</v>
      </c>
      <c r="C126" s="27" t="s">
        <v>424</v>
      </c>
      <c r="D126" s="27" t="s">
        <v>425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700</f>
        <v>700.0</v>
      </c>
      <c r="L126" s="34" t="s">
        <v>49</v>
      </c>
      <c r="M126" s="33" t="n">
        <f>710</f>
        <v>710.0</v>
      </c>
      <c r="N126" s="34" t="s">
        <v>103</v>
      </c>
      <c r="O126" s="33" t="n">
        <f>690</f>
        <v>690.0</v>
      </c>
      <c r="P126" s="34" t="s">
        <v>50</v>
      </c>
      <c r="Q126" s="33" t="n">
        <f>690</f>
        <v>690.0</v>
      </c>
      <c r="R126" s="34" t="s">
        <v>50</v>
      </c>
      <c r="S126" s="35" t="n">
        <f>700.5</f>
        <v>700.5</v>
      </c>
      <c r="T126" s="32" t="n">
        <f>260</f>
        <v>260.0</v>
      </c>
      <c r="U126" s="32" t="str">
        <f>"－"</f>
        <v>－</v>
      </c>
      <c r="V126" s="32" t="n">
        <f>181480</f>
        <v>181480.0</v>
      </c>
      <c r="W126" s="32" t="str">
        <f>"－"</f>
        <v>－</v>
      </c>
      <c r="X126" s="36" t="n">
        <f>4</f>
        <v>4.0</v>
      </c>
    </row>
    <row r="127">
      <c r="A127" s="27" t="s">
        <v>42</v>
      </c>
      <c r="B127" s="27" t="s">
        <v>426</v>
      </c>
      <c r="C127" s="27" t="s">
        <v>427</v>
      </c>
      <c r="D127" s="27" t="s">
        <v>428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1299</f>
        <v>1299.0</v>
      </c>
      <c r="L127" s="34" t="s">
        <v>48</v>
      </c>
      <c r="M127" s="33" t="n">
        <f>1314</f>
        <v>1314.0</v>
      </c>
      <c r="N127" s="34" t="s">
        <v>92</v>
      </c>
      <c r="O127" s="33" t="n">
        <f>1255</f>
        <v>1255.0</v>
      </c>
      <c r="P127" s="34" t="s">
        <v>50</v>
      </c>
      <c r="Q127" s="33" t="n">
        <f>1255</f>
        <v>1255.0</v>
      </c>
      <c r="R127" s="34" t="s">
        <v>50</v>
      </c>
      <c r="S127" s="35" t="n">
        <f>1293</f>
        <v>1293.0</v>
      </c>
      <c r="T127" s="32" t="n">
        <f>1670</f>
        <v>1670.0</v>
      </c>
      <c r="U127" s="32" t="n">
        <f>10</f>
        <v>10.0</v>
      </c>
      <c r="V127" s="32" t="n">
        <f>2165340</f>
        <v>2165340.0</v>
      </c>
      <c r="W127" s="32" t="n">
        <f>12990</f>
        <v>12990.0</v>
      </c>
      <c r="X127" s="36" t="n">
        <f>10</f>
        <v>10.0</v>
      </c>
    </row>
    <row r="128">
      <c r="A128" s="27" t="s">
        <v>42</v>
      </c>
      <c r="B128" s="27" t="s">
        <v>429</v>
      </c>
      <c r="C128" s="27" t="s">
        <v>430</v>
      </c>
      <c r="D128" s="27" t="s">
        <v>431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1510</f>
        <v>1510.0</v>
      </c>
      <c r="L128" s="34" t="s">
        <v>48</v>
      </c>
      <c r="M128" s="33" t="n">
        <f>1531</f>
        <v>1531.0</v>
      </c>
      <c r="N128" s="34" t="s">
        <v>48</v>
      </c>
      <c r="O128" s="33" t="n">
        <f>1423</f>
        <v>1423.0</v>
      </c>
      <c r="P128" s="34" t="s">
        <v>50</v>
      </c>
      <c r="Q128" s="33" t="n">
        <f>1423</f>
        <v>1423.0</v>
      </c>
      <c r="R128" s="34" t="s">
        <v>50</v>
      </c>
      <c r="S128" s="35" t="n">
        <f>1462.44</f>
        <v>1462.44</v>
      </c>
      <c r="T128" s="32" t="n">
        <f>1899</f>
        <v>1899.0</v>
      </c>
      <c r="U128" s="32" t="n">
        <f>1</f>
        <v>1.0</v>
      </c>
      <c r="V128" s="32" t="n">
        <f>2825070</f>
        <v>2825070.0</v>
      </c>
      <c r="W128" s="32" t="n">
        <f>1477</f>
        <v>1477.0</v>
      </c>
      <c r="X128" s="36" t="n">
        <f>18</f>
        <v>18.0</v>
      </c>
    </row>
    <row r="129">
      <c r="A129" s="27" t="s">
        <v>42</v>
      </c>
      <c r="B129" s="27" t="s">
        <v>432</v>
      </c>
      <c r="C129" s="27" t="s">
        <v>433</v>
      </c>
      <c r="D129" s="27" t="s">
        <v>434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14880</f>
        <v>14880.0</v>
      </c>
      <c r="L129" s="34" t="s">
        <v>48</v>
      </c>
      <c r="M129" s="33" t="n">
        <f>14960</f>
        <v>14960.0</v>
      </c>
      <c r="N129" s="34" t="s">
        <v>49</v>
      </c>
      <c r="O129" s="33" t="n">
        <f>14240</f>
        <v>14240.0</v>
      </c>
      <c r="P129" s="34" t="s">
        <v>50</v>
      </c>
      <c r="Q129" s="33" t="n">
        <f>14280</f>
        <v>14280.0</v>
      </c>
      <c r="R129" s="34" t="s">
        <v>50</v>
      </c>
      <c r="S129" s="35" t="n">
        <f>14699.52</f>
        <v>14699.52</v>
      </c>
      <c r="T129" s="32" t="n">
        <f>203833</f>
        <v>203833.0</v>
      </c>
      <c r="U129" s="32" t="n">
        <f>75</f>
        <v>75.0</v>
      </c>
      <c r="V129" s="32" t="n">
        <f>2994172590</f>
        <v>2.99417259E9</v>
      </c>
      <c r="W129" s="32" t="n">
        <f>1097010</f>
        <v>1097010.0</v>
      </c>
      <c r="X129" s="36" t="n">
        <f>21</f>
        <v>21.0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1355</f>
        <v>1355.0</v>
      </c>
      <c r="L130" s="34" t="s">
        <v>48</v>
      </c>
      <c r="M130" s="33" t="n">
        <f>1375</f>
        <v>1375.0</v>
      </c>
      <c r="N130" s="34" t="s">
        <v>49</v>
      </c>
      <c r="O130" s="33" t="n">
        <f>1308</f>
        <v>1308.0</v>
      </c>
      <c r="P130" s="34" t="s">
        <v>50</v>
      </c>
      <c r="Q130" s="33" t="n">
        <f>1311</f>
        <v>1311.0</v>
      </c>
      <c r="R130" s="34" t="s">
        <v>50</v>
      </c>
      <c r="S130" s="35" t="n">
        <f>1350.48</f>
        <v>1350.48</v>
      </c>
      <c r="T130" s="32" t="n">
        <f>246686</f>
        <v>246686.0</v>
      </c>
      <c r="U130" s="32" t="n">
        <f>2</f>
        <v>2.0</v>
      </c>
      <c r="V130" s="32" t="n">
        <f>336244989</f>
        <v>3.36244989E8</v>
      </c>
      <c r="W130" s="32" t="n">
        <f>2674</f>
        <v>2674.0</v>
      </c>
      <c r="X130" s="36" t="n">
        <f>21</f>
        <v>21.0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15100</f>
        <v>15100.0</v>
      </c>
      <c r="L131" s="34" t="s">
        <v>48</v>
      </c>
      <c r="M131" s="33" t="n">
        <f>15350</f>
        <v>15350.0</v>
      </c>
      <c r="N131" s="34" t="s">
        <v>49</v>
      </c>
      <c r="O131" s="33" t="n">
        <f>14630</f>
        <v>14630.0</v>
      </c>
      <c r="P131" s="34" t="s">
        <v>50</v>
      </c>
      <c r="Q131" s="33" t="n">
        <f>14660</f>
        <v>14660.0</v>
      </c>
      <c r="R131" s="34" t="s">
        <v>50</v>
      </c>
      <c r="S131" s="35" t="n">
        <f>15093.81</f>
        <v>15093.81</v>
      </c>
      <c r="T131" s="32" t="n">
        <f>14668</f>
        <v>14668.0</v>
      </c>
      <c r="U131" s="32" t="n">
        <f>28</f>
        <v>28.0</v>
      </c>
      <c r="V131" s="32" t="n">
        <f>220735834</f>
        <v>2.20735834E8</v>
      </c>
      <c r="W131" s="32" t="n">
        <f>425164</f>
        <v>425164.0</v>
      </c>
      <c r="X131" s="36" t="n">
        <f>21</f>
        <v>21.0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1776</f>
        <v>1776.0</v>
      </c>
      <c r="L132" s="34" t="s">
        <v>48</v>
      </c>
      <c r="M132" s="33" t="n">
        <f>1806</f>
        <v>1806.0</v>
      </c>
      <c r="N132" s="34" t="s">
        <v>116</v>
      </c>
      <c r="O132" s="33" t="n">
        <f>1646</f>
        <v>1646.0</v>
      </c>
      <c r="P132" s="34" t="s">
        <v>68</v>
      </c>
      <c r="Q132" s="33" t="n">
        <f>1654</f>
        <v>1654.0</v>
      </c>
      <c r="R132" s="34" t="s">
        <v>50</v>
      </c>
      <c r="S132" s="35" t="n">
        <f>1727.29</f>
        <v>1727.29</v>
      </c>
      <c r="T132" s="32" t="n">
        <f>1088480</f>
        <v>1088480.0</v>
      </c>
      <c r="U132" s="32" t="n">
        <f>150000</f>
        <v>150000.0</v>
      </c>
      <c r="V132" s="32" t="n">
        <f>1878428010</f>
        <v>1.87842801E9</v>
      </c>
      <c r="W132" s="32" t="n">
        <f>254589000</f>
        <v>2.54589E8</v>
      </c>
      <c r="X132" s="36" t="n">
        <f>21</f>
        <v>21.0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1454</f>
        <v>1454.0</v>
      </c>
      <c r="L133" s="34" t="s">
        <v>72</v>
      </c>
      <c r="M133" s="33" t="n">
        <f>1454</f>
        <v>1454.0</v>
      </c>
      <c r="N133" s="34" t="s">
        <v>72</v>
      </c>
      <c r="O133" s="33" t="n">
        <f>1411</f>
        <v>1411.0</v>
      </c>
      <c r="P133" s="34" t="s">
        <v>50</v>
      </c>
      <c r="Q133" s="33" t="n">
        <f>1411</f>
        <v>1411.0</v>
      </c>
      <c r="R133" s="34" t="s">
        <v>50</v>
      </c>
      <c r="S133" s="35" t="n">
        <f>1439</f>
        <v>1439.0</v>
      </c>
      <c r="T133" s="32" t="n">
        <f>50</f>
        <v>50.0</v>
      </c>
      <c r="U133" s="32" t="str">
        <f>"－"</f>
        <v>－</v>
      </c>
      <c r="V133" s="32" t="n">
        <f>71940</f>
        <v>71940.0</v>
      </c>
      <c r="W133" s="32" t="str">
        <f>"－"</f>
        <v>－</v>
      </c>
      <c r="X133" s="36" t="n">
        <f>3</f>
        <v>3.0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1764</f>
        <v>1764.0</v>
      </c>
      <c r="L134" s="34" t="s">
        <v>48</v>
      </c>
      <c r="M134" s="33" t="n">
        <f>1797</f>
        <v>1797.0</v>
      </c>
      <c r="N134" s="34" t="s">
        <v>116</v>
      </c>
      <c r="O134" s="33" t="n">
        <f>1660</f>
        <v>1660.0</v>
      </c>
      <c r="P134" s="34" t="s">
        <v>68</v>
      </c>
      <c r="Q134" s="33" t="n">
        <f>1674</f>
        <v>1674.0</v>
      </c>
      <c r="R134" s="34" t="s">
        <v>50</v>
      </c>
      <c r="S134" s="35" t="n">
        <f>1735.9</f>
        <v>1735.9</v>
      </c>
      <c r="T134" s="32" t="n">
        <f>487650</f>
        <v>487650.0</v>
      </c>
      <c r="U134" s="32" t="n">
        <f>118000</f>
        <v>118000.0</v>
      </c>
      <c r="V134" s="32" t="n">
        <f>854026600</f>
        <v>8.540266E8</v>
      </c>
      <c r="W134" s="32" t="n">
        <f>206783620</f>
        <v>2.0678362E8</v>
      </c>
      <c r="X134" s="36" t="n">
        <f>21</f>
        <v>21.0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15850</f>
        <v>15850.0</v>
      </c>
      <c r="L135" s="34" t="s">
        <v>48</v>
      </c>
      <c r="M135" s="33" t="n">
        <f>15850</f>
        <v>15850.0</v>
      </c>
      <c r="N135" s="34" t="s">
        <v>48</v>
      </c>
      <c r="O135" s="33" t="n">
        <f>15580</f>
        <v>15580.0</v>
      </c>
      <c r="P135" s="34" t="s">
        <v>177</v>
      </c>
      <c r="Q135" s="33" t="n">
        <f>15580</f>
        <v>15580.0</v>
      </c>
      <c r="R135" s="34" t="s">
        <v>177</v>
      </c>
      <c r="S135" s="35" t="n">
        <f>15730</f>
        <v>15730.0</v>
      </c>
      <c r="T135" s="32" t="n">
        <f>24</f>
        <v>24.0</v>
      </c>
      <c r="U135" s="32" t="str">
        <f>"－"</f>
        <v>－</v>
      </c>
      <c r="V135" s="32" t="n">
        <f>379800</f>
        <v>379800.0</v>
      </c>
      <c r="W135" s="32" t="str">
        <f>"－"</f>
        <v>－</v>
      </c>
      <c r="X135" s="36" t="n">
        <f>5</f>
        <v>5.0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14990</f>
        <v>14990.0</v>
      </c>
      <c r="L136" s="34" t="s">
        <v>48</v>
      </c>
      <c r="M136" s="33" t="n">
        <f>15200</f>
        <v>15200.0</v>
      </c>
      <c r="N136" s="34" t="s">
        <v>49</v>
      </c>
      <c r="O136" s="33" t="n">
        <f>14600</f>
        <v>14600.0</v>
      </c>
      <c r="P136" s="34" t="s">
        <v>50</v>
      </c>
      <c r="Q136" s="33" t="n">
        <f>14600</f>
        <v>14600.0</v>
      </c>
      <c r="R136" s="34" t="s">
        <v>50</v>
      </c>
      <c r="S136" s="35" t="n">
        <f>14918.24</f>
        <v>14918.24</v>
      </c>
      <c r="T136" s="32" t="n">
        <f>599</f>
        <v>599.0</v>
      </c>
      <c r="U136" s="32" t="n">
        <f>1</f>
        <v>1.0</v>
      </c>
      <c r="V136" s="32" t="n">
        <f>8964670</f>
        <v>8964670.0</v>
      </c>
      <c r="W136" s="32" t="n">
        <f>15170</f>
        <v>15170.0</v>
      </c>
      <c r="X136" s="36" t="n">
        <f>17</f>
        <v>17.0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124</f>
        <v>124.0</v>
      </c>
      <c r="L137" s="34" t="s">
        <v>48</v>
      </c>
      <c r="M137" s="33" t="n">
        <f>124</f>
        <v>124.0</v>
      </c>
      <c r="N137" s="34" t="s">
        <v>48</v>
      </c>
      <c r="O137" s="33" t="n">
        <f>115</f>
        <v>115.0</v>
      </c>
      <c r="P137" s="34" t="s">
        <v>68</v>
      </c>
      <c r="Q137" s="33" t="n">
        <f>117</f>
        <v>117.0</v>
      </c>
      <c r="R137" s="34" t="s">
        <v>50</v>
      </c>
      <c r="S137" s="35" t="n">
        <f>120.1</f>
        <v>120.1</v>
      </c>
      <c r="T137" s="32" t="n">
        <f>47660200</f>
        <v>4.76602E7</v>
      </c>
      <c r="U137" s="32" t="n">
        <f>317400</f>
        <v>317400.0</v>
      </c>
      <c r="V137" s="32" t="n">
        <f>5738330130</f>
        <v>5.73833013E9</v>
      </c>
      <c r="W137" s="32" t="n">
        <f>38988030</f>
        <v>3.898803E7</v>
      </c>
      <c r="X137" s="36" t="n">
        <f>21</f>
        <v>21.0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26370</f>
        <v>26370.0</v>
      </c>
      <c r="L138" s="34" t="s">
        <v>48</v>
      </c>
      <c r="M138" s="33" t="n">
        <f>26600</f>
        <v>26600.0</v>
      </c>
      <c r="N138" s="34" t="s">
        <v>72</v>
      </c>
      <c r="O138" s="33" t="n">
        <f>24660</f>
        <v>24660.0</v>
      </c>
      <c r="P138" s="34" t="s">
        <v>50</v>
      </c>
      <c r="Q138" s="33" t="n">
        <f>24660</f>
        <v>24660.0</v>
      </c>
      <c r="R138" s="34" t="s">
        <v>50</v>
      </c>
      <c r="S138" s="35" t="n">
        <f>25704.71</f>
        <v>25704.71</v>
      </c>
      <c r="T138" s="32" t="n">
        <f>471</f>
        <v>471.0</v>
      </c>
      <c r="U138" s="32" t="n">
        <f>1</f>
        <v>1.0</v>
      </c>
      <c r="V138" s="32" t="n">
        <f>11924730</f>
        <v>1.192473E7</v>
      </c>
      <c r="W138" s="32" t="n">
        <f>25320</f>
        <v>25320.0</v>
      </c>
      <c r="X138" s="36" t="n">
        <f>17</f>
        <v>17.0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7780</f>
        <v>7780.0</v>
      </c>
      <c r="L139" s="34" t="s">
        <v>48</v>
      </c>
      <c r="M139" s="33" t="n">
        <f>8030</f>
        <v>8030.0</v>
      </c>
      <c r="N139" s="34" t="s">
        <v>67</v>
      </c>
      <c r="O139" s="33" t="n">
        <f>7190</f>
        <v>7190.0</v>
      </c>
      <c r="P139" s="34" t="s">
        <v>50</v>
      </c>
      <c r="Q139" s="33" t="n">
        <f>7240</f>
        <v>7240.0</v>
      </c>
      <c r="R139" s="34" t="s">
        <v>50</v>
      </c>
      <c r="S139" s="35" t="n">
        <f>7681.43</f>
        <v>7681.43</v>
      </c>
      <c r="T139" s="32" t="n">
        <f>10357</f>
        <v>10357.0</v>
      </c>
      <c r="U139" s="32" t="n">
        <f>3</f>
        <v>3.0</v>
      </c>
      <c r="V139" s="32" t="n">
        <f>79083160</f>
        <v>7.908316E7</v>
      </c>
      <c r="W139" s="32" t="n">
        <f>23330</f>
        <v>23330.0</v>
      </c>
      <c r="X139" s="36" t="n">
        <f>21</f>
        <v>21.0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18820</f>
        <v>18820.0</v>
      </c>
      <c r="L140" s="34" t="s">
        <v>48</v>
      </c>
      <c r="M140" s="33" t="n">
        <f>19080</f>
        <v>19080.0</v>
      </c>
      <c r="N140" s="34" t="s">
        <v>49</v>
      </c>
      <c r="O140" s="33" t="n">
        <f>17950</f>
        <v>17950.0</v>
      </c>
      <c r="P140" s="34" t="s">
        <v>50</v>
      </c>
      <c r="Q140" s="33" t="n">
        <f>17950</f>
        <v>17950.0</v>
      </c>
      <c r="R140" s="34" t="s">
        <v>50</v>
      </c>
      <c r="S140" s="35" t="n">
        <f>18612.86</f>
        <v>18612.86</v>
      </c>
      <c r="T140" s="32" t="n">
        <f>859</f>
        <v>859.0</v>
      </c>
      <c r="U140" s="32" t="n">
        <f>1</f>
        <v>1.0</v>
      </c>
      <c r="V140" s="32" t="n">
        <f>16002910</f>
        <v>1.600291E7</v>
      </c>
      <c r="W140" s="32" t="n">
        <f>18620</f>
        <v>18620.0</v>
      </c>
      <c r="X140" s="36" t="n">
        <f>21</f>
        <v>21.0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23600</f>
        <v>23600.0</v>
      </c>
      <c r="L141" s="34" t="s">
        <v>48</v>
      </c>
      <c r="M141" s="33" t="n">
        <f>24300</f>
        <v>24300.0</v>
      </c>
      <c r="N141" s="34" t="s">
        <v>132</v>
      </c>
      <c r="O141" s="33" t="n">
        <f>23120</f>
        <v>23120.0</v>
      </c>
      <c r="P141" s="34" t="s">
        <v>50</v>
      </c>
      <c r="Q141" s="33" t="n">
        <f>23150</f>
        <v>23150.0</v>
      </c>
      <c r="R141" s="34" t="s">
        <v>50</v>
      </c>
      <c r="S141" s="35" t="n">
        <f>23912.86</f>
        <v>23912.86</v>
      </c>
      <c r="T141" s="32" t="n">
        <f>464</f>
        <v>464.0</v>
      </c>
      <c r="U141" s="32" t="n">
        <f>7</f>
        <v>7.0</v>
      </c>
      <c r="V141" s="32" t="n">
        <f>10920600</f>
        <v>1.09206E7</v>
      </c>
      <c r="W141" s="32" t="n">
        <f>165490</f>
        <v>165490.0</v>
      </c>
      <c r="X141" s="36" t="n">
        <f>21</f>
        <v>21.0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24820</f>
        <v>24820.0</v>
      </c>
      <c r="L142" s="34" t="s">
        <v>48</v>
      </c>
      <c r="M142" s="33" t="n">
        <f>24820</f>
        <v>24820.0</v>
      </c>
      <c r="N142" s="34" t="s">
        <v>48</v>
      </c>
      <c r="O142" s="33" t="n">
        <f>21650</f>
        <v>21650.0</v>
      </c>
      <c r="P142" s="34" t="s">
        <v>50</v>
      </c>
      <c r="Q142" s="33" t="n">
        <f>21720</f>
        <v>21720.0</v>
      </c>
      <c r="R142" s="34" t="s">
        <v>50</v>
      </c>
      <c r="S142" s="35" t="n">
        <f>23169.05</f>
        <v>23169.05</v>
      </c>
      <c r="T142" s="32" t="n">
        <f>7392</f>
        <v>7392.0</v>
      </c>
      <c r="U142" s="32" t="n">
        <f>3</f>
        <v>3.0</v>
      </c>
      <c r="V142" s="32" t="n">
        <f>171232780</f>
        <v>1.7123278E8</v>
      </c>
      <c r="W142" s="32" t="n">
        <f>70740</f>
        <v>70740.0</v>
      </c>
      <c r="X142" s="36" t="n">
        <f>21</f>
        <v>21.0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17320</f>
        <v>17320.0</v>
      </c>
      <c r="L143" s="34" t="s">
        <v>48</v>
      </c>
      <c r="M143" s="33" t="n">
        <f>17850</f>
        <v>17850.0</v>
      </c>
      <c r="N143" s="34" t="s">
        <v>49</v>
      </c>
      <c r="O143" s="33" t="n">
        <f>17020</f>
        <v>17020.0</v>
      </c>
      <c r="P143" s="34" t="s">
        <v>68</v>
      </c>
      <c r="Q143" s="33" t="n">
        <f>17040</f>
        <v>17040.0</v>
      </c>
      <c r="R143" s="34" t="s">
        <v>50</v>
      </c>
      <c r="S143" s="35" t="n">
        <f>17407.14</f>
        <v>17407.14</v>
      </c>
      <c r="T143" s="32" t="n">
        <f>1741</f>
        <v>1741.0</v>
      </c>
      <c r="U143" s="32" t="n">
        <f>1</f>
        <v>1.0</v>
      </c>
      <c r="V143" s="32" t="n">
        <f>30108750</f>
        <v>3.010875E7</v>
      </c>
      <c r="W143" s="32" t="n">
        <f>17630</f>
        <v>17630.0</v>
      </c>
      <c r="X143" s="36" t="n">
        <f>21</f>
        <v>21.0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10790</f>
        <v>10790.0</v>
      </c>
      <c r="L144" s="34" t="s">
        <v>48</v>
      </c>
      <c r="M144" s="33" t="n">
        <f>11320</f>
        <v>11320.0</v>
      </c>
      <c r="N144" s="34" t="s">
        <v>278</v>
      </c>
      <c r="O144" s="33" t="n">
        <f>10380</f>
        <v>10380.0</v>
      </c>
      <c r="P144" s="34" t="s">
        <v>50</v>
      </c>
      <c r="Q144" s="33" t="n">
        <f>10380</f>
        <v>10380.0</v>
      </c>
      <c r="R144" s="34" t="s">
        <v>50</v>
      </c>
      <c r="S144" s="35" t="n">
        <f>10939.52</f>
        <v>10939.52</v>
      </c>
      <c r="T144" s="32" t="n">
        <f>2089</f>
        <v>2089.0</v>
      </c>
      <c r="U144" s="32" t="n">
        <f>1</f>
        <v>1.0</v>
      </c>
      <c r="V144" s="32" t="n">
        <f>22785680</f>
        <v>2.278568E7</v>
      </c>
      <c r="W144" s="32" t="n">
        <f>11150</f>
        <v>11150.0</v>
      </c>
      <c r="X144" s="36" t="n">
        <f>21</f>
        <v>21.0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33750</f>
        <v>33750.0</v>
      </c>
      <c r="L145" s="34" t="s">
        <v>48</v>
      </c>
      <c r="M145" s="33" t="n">
        <f>34300</f>
        <v>34300.0</v>
      </c>
      <c r="N145" s="34" t="s">
        <v>103</v>
      </c>
      <c r="O145" s="33" t="n">
        <f>33050</f>
        <v>33050.0</v>
      </c>
      <c r="P145" s="34" t="s">
        <v>48</v>
      </c>
      <c r="Q145" s="33" t="n">
        <f>33250</f>
        <v>33250.0</v>
      </c>
      <c r="R145" s="34" t="s">
        <v>50</v>
      </c>
      <c r="S145" s="35" t="n">
        <f>33715</f>
        <v>33715.0</v>
      </c>
      <c r="T145" s="32" t="n">
        <f>62</f>
        <v>62.0</v>
      </c>
      <c r="U145" s="32" t="str">
        <f>"－"</f>
        <v>－</v>
      </c>
      <c r="V145" s="32" t="n">
        <f>2090500</f>
        <v>2090500.0</v>
      </c>
      <c r="W145" s="32" t="str">
        <f>"－"</f>
        <v>－</v>
      </c>
      <c r="X145" s="36" t="n">
        <f>10</f>
        <v>10.0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21890</f>
        <v>21890.0</v>
      </c>
      <c r="L146" s="34" t="s">
        <v>48</v>
      </c>
      <c r="M146" s="33" t="n">
        <f>22440</f>
        <v>22440.0</v>
      </c>
      <c r="N146" s="34" t="s">
        <v>50</v>
      </c>
      <c r="O146" s="33" t="n">
        <f>21430</f>
        <v>21430.0</v>
      </c>
      <c r="P146" s="34" t="s">
        <v>48</v>
      </c>
      <c r="Q146" s="33" t="n">
        <f>21880</f>
        <v>21880.0</v>
      </c>
      <c r="R146" s="34" t="s">
        <v>50</v>
      </c>
      <c r="S146" s="35" t="n">
        <f>21880.53</f>
        <v>21880.53</v>
      </c>
      <c r="T146" s="32" t="n">
        <f>326</f>
        <v>326.0</v>
      </c>
      <c r="U146" s="32" t="str">
        <f>"－"</f>
        <v>－</v>
      </c>
      <c r="V146" s="32" t="n">
        <f>7147760</f>
        <v>7147760.0</v>
      </c>
      <c r="W146" s="32" t="str">
        <f>"－"</f>
        <v>－</v>
      </c>
      <c r="X146" s="36" t="n">
        <f>19</f>
        <v>19.0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26230</f>
        <v>26230.0</v>
      </c>
      <c r="L147" s="34" t="s">
        <v>48</v>
      </c>
      <c r="M147" s="33" t="n">
        <f>27000</f>
        <v>27000.0</v>
      </c>
      <c r="N147" s="34" t="s">
        <v>220</v>
      </c>
      <c r="O147" s="33" t="n">
        <f>25630</f>
        <v>25630.0</v>
      </c>
      <c r="P147" s="34" t="s">
        <v>50</v>
      </c>
      <c r="Q147" s="33" t="n">
        <f>25630</f>
        <v>25630.0</v>
      </c>
      <c r="R147" s="34" t="s">
        <v>50</v>
      </c>
      <c r="S147" s="35" t="n">
        <f>26375.24</f>
        <v>26375.24</v>
      </c>
      <c r="T147" s="32" t="n">
        <f>3724</f>
        <v>3724.0</v>
      </c>
      <c r="U147" s="32" t="n">
        <f>1</f>
        <v>1.0</v>
      </c>
      <c r="V147" s="32" t="n">
        <f>98272850</f>
        <v>9.827285E7</v>
      </c>
      <c r="W147" s="32" t="n">
        <f>26630</f>
        <v>26630.0</v>
      </c>
      <c r="X147" s="36" t="n">
        <f>21</f>
        <v>21.0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6100</f>
        <v>6100.0</v>
      </c>
      <c r="L148" s="34" t="s">
        <v>48</v>
      </c>
      <c r="M148" s="33" t="n">
        <f>6140</f>
        <v>6140.0</v>
      </c>
      <c r="N148" s="34" t="s">
        <v>48</v>
      </c>
      <c r="O148" s="33" t="n">
        <f>5720</f>
        <v>5720.0</v>
      </c>
      <c r="P148" s="34" t="s">
        <v>50</v>
      </c>
      <c r="Q148" s="33" t="n">
        <f>5800</f>
        <v>5800.0</v>
      </c>
      <c r="R148" s="34" t="s">
        <v>50</v>
      </c>
      <c r="S148" s="35" t="n">
        <f>5972</f>
        <v>5972.0</v>
      </c>
      <c r="T148" s="32" t="n">
        <f>5901</f>
        <v>5901.0</v>
      </c>
      <c r="U148" s="32" t="n">
        <f>1</f>
        <v>1.0</v>
      </c>
      <c r="V148" s="32" t="n">
        <f>35093150</f>
        <v>3.509315E7</v>
      </c>
      <c r="W148" s="32" t="n">
        <f>5980</f>
        <v>5980.0</v>
      </c>
      <c r="X148" s="36" t="n">
        <f>20</f>
        <v>20.0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13650</f>
        <v>13650.0</v>
      </c>
      <c r="L149" s="34" t="s">
        <v>48</v>
      </c>
      <c r="M149" s="33" t="n">
        <f>13840</f>
        <v>13840.0</v>
      </c>
      <c r="N149" s="34" t="s">
        <v>96</v>
      </c>
      <c r="O149" s="33" t="n">
        <f>12440</f>
        <v>12440.0</v>
      </c>
      <c r="P149" s="34" t="s">
        <v>50</v>
      </c>
      <c r="Q149" s="33" t="n">
        <f>12490</f>
        <v>12490.0</v>
      </c>
      <c r="R149" s="34" t="s">
        <v>50</v>
      </c>
      <c r="S149" s="35" t="n">
        <f>13265.71</f>
        <v>13265.71</v>
      </c>
      <c r="T149" s="32" t="n">
        <f>8855</f>
        <v>8855.0</v>
      </c>
      <c r="U149" s="32" t="n">
        <f>1</f>
        <v>1.0</v>
      </c>
      <c r="V149" s="32" t="n">
        <f>116838400</f>
        <v>1.168384E8</v>
      </c>
      <c r="W149" s="32" t="n">
        <f>13110</f>
        <v>13110.0</v>
      </c>
      <c r="X149" s="36" t="n">
        <f>21</f>
        <v>21.0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32350</f>
        <v>32350.0</v>
      </c>
      <c r="L150" s="34" t="s">
        <v>48</v>
      </c>
      <c r="M150" s="33" t="n">
        <f>32700</f>
        <v>32700.0</v>
      </c>
      <c r="N150" s="34" t="s">
        <v>96</v>
      </c>
      <c r="O150" s="33" t="n">
        <f>30050</f>
        <v>30050.0</v>
      </c>
      <c r="P150" s="34" t="s">
        <v>50</v>
      </c>
      <c r="Q150" s="33" t="n">
        <f>30100</f>
        <v>30100.0</v>
      </c>
      <c r="R150" s="34" t="s">
        <v>50</v>
      </c>
      <c r="S150" s="35" t="n">
        <f>31640.48</f>
        <v>31640.48</v>
      </c>
      <c r="T150" s="32" t="n">
        <f>1758</f>
        <v>1758.0</v>
      </c>
      <c r="U150" s="32" t="n">
        <f>2</f>
        <v>2.0</v>
      </c>
      <c r="V150" s="32" t="n">
        <f>55586600</f>
        <v>5.55866E7</v>
      </c>
      <c r="W150" s="32" t="n">
        <f>64350</f>
        <v>64350.0</v>
      </c>
      <c r="X150" s="36" t="n">
        <f>21</f>
        <v>21.0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21770</f>
        <v>21770.0</v>
      </c>
      <c r="L151" s="34" t="s">
        <v>67</v>
      </c>
      <c r="M151" s="33" t="n">
        <f>21790</f>
        <v>21790.0</v>
      </c>
      <c r="N151" s="34" t="s">
        <v>166</v>
      </c>
      <c r="O151" s="33" t="n">
        <f>20580</f>
        <v>20580.0</v>
      </c>
      <c r="P151" s="34" t="s">
        <v>177</v>
      </c>
      <c r="Q151" s="33" t="n">
        <f>21160</f>
        <v>21160.0</v>
      </c>
      <c r="R151" s="34" t="s">
        <v>177</v>
      </c>
      <c r="S151" s="35" t="n">
        <f>21464.29</f>
        <v>21464.29</v>
      </c>
      <c r="T151" s="32" t="n">
        <f>59</f>
        <v>59.0</v>
      </c>
      <c r="U151" s="32" t="str">
        <f>"－"</f>
        <v>－</v>
      </c>
      <c r="V151" s="32" t="n">
        <f>1245760</f>
        <v>1245760.0</v>
      </c>
      <c r="W151" s="32" t="str">
        <f>"－"</f>
        <v>－</v>
      </c>
      <c r="X151" s="36" t="n">
        <f>7</f>
        <v>7.0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6340</f>
        <v>6340.0</v>
      </c>
      <c r="L152" s="34" t="s">
        <v>48</v>
      </c>
      <c r="M152" s="33" t="n">
        <f>6430</f>
        <v>6430.0</v>
      </c>
      <c r="N152" s="34" t="s">
        <v>49</v>
      </c>
      <c r="O152" s="33" t="n">
        <f>6000</f>
        <v>6000.0</v>
      </c>
      <c r="P152" s="34" t="s">
        <v>68</v>
      </c>
      <c r="Q152" s="33" t="n">
        <f>6080</f>
        <v>6080.0</v>
      </c>
      <c r="R152" s="34" t="s">
        <v>50</v>
      </c>
      <c r="S152" s="35" t="n">
        <f>6245.71</f>
        <v>6245.71</v>
      </c>
      <c r="T152" s="32" t="n">
        <f>29493</f>
        <v>29493.0</v>
      </c>
      <c r="U152" s="32" t="n">
        <f>24</f>
        <v>24.0</v>
      </c>
      <c r="V152" s="32" t="n">
        <f>183972120</f>
        <v>1.8397212E8</v>
      </c>
      <c r="W152" s="32" t="n">
        <f>149480</f>
        <v>149480.0</v>
      </c>
      <c r="X152" s="36" t="n">
        <f>21</f>
        <v>21.0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10760</f>
        <v>10760.0</v>
      </c>
      <c r="L153" s="34" t="s">
        <v>48</v>
      </c>
      <c r="M153" s="33" t="n">
        <f>11200</f>
        <v>11200.0</v>
      </c>
      <c r="N153" s="34" t="s">
        <v>49</v>
      </c>
      <c r="O153" s="33" t="n">
        <f>10580</f>
        <v>10580.0</v>
      </c>
      <c r="P153" s="34" t="s">
        <v>50</v>
      </c>
      <c r="Q153" s="33" t="n">
        <f>10580</f>
        <v>10580.0</v>
      </c>
      <c r="R153" s="34" t="s">
        <v>50</v>
      </c>
      <c r="S153" s="35" t="n">
        <f>10950</f>
        <v>10950.0</v>
      </c>
      <c r="T153" s="32" t="n">
        <f>1348</f>
        <v>1348.0</v>
      </c>
      <c r="U153" s="32" t="str">
        <f>"－"</f>
        <v>－</v>
      </c>
      <c r="V153" s="32" t="n">
        <f>14544970</f>
        <v>1.454497E7</v>
      </c>
      <c r="W153" s="32" t="str">
        <f>"－"</f>
        <v>－</v>
      </c>
      <c r="X153" s="36" t="n">
        <f>16</f>
        <v>16.0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24040</f>
        <v>24040.0</v>
      </c>
      <c r="L154" s="34" t="s">
        <v>48</v>
      </c>
      <c r="M154" s="33" t="n">
        <f>24790</f>
        <v>24790.0</v>
      </c>
      <c r="N154" s="34" t="s">
        <v>49</v>
      </c>
      <c r="O154" s="33" t="n">
        <f>22880</f>
        <v>22880.0</v>
      </c>
      <c r="P154" s="34" t="s">
        <v>50</v>
      </c>
      <c r="Q154" s="33" t="n">
        <f>22880</f>
        <v>22880.0</v>
      </c>
      <c r="R154" s="34" t="s">
        <v>50</v>
      </c>
      <c r="S154" s="35" t="n">
        <f>23982</f>
        <v>23982.0</v>
      </c>
      <c r="T154" s="32" t="n">
        <f>1131</f>
        <v>1131.0</v>
      </c>
      <c r="U154" s="32" t="n">
        <f>2</f>
        <v>2.0</v>
      </c>
      <c r="V154" s="32" t="n">
        <f>26872490</f>
        <v>2.687249E7</v>
      </c>
      <c r="W154" s="32" t="n">
        <f>47410</f>
        <v>47410.0</v>
      </c>
      <c r="X154" s="36" t="n">
        <f>20</f>
        <v>20.0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843</f>
        <v>843.0</v>
      </c>
      <c r="L155" s="34" t="s">
        <v>48</v>
      </c>
      <c r="M155" s="33" t="n">
        <f>862</f>
        <v>862.0</v>
      </c>
      <c r="N155" s="34" t="s">
        <v>49</v>
      </c>
      <c r="O155" s="33" t="n">
        <f>818</f>
        <v>818.0</v>
      </c>
      <c r="P155" s="34" t="s">
        <v>50</v>
      </c>
      <c r="Q155" s="33" t="n">
        <f>819</f>
        <v>819.0</v>
      </c>
      <c r="R155" s="34" t="s">
        <v>50</v>
      </c>
      <c r="S155" s="35" t="n">
        <f>844.81</f>
        <v>844.81</v>
      </c>
      <c r="T155" s="32" t="n">
        <f>74330</f>
        <v>74330.0</v>
      </c>
      <c r="U155" s="32" t="str">
        <f>"－"</f>
        <v>－</v>
      </c>
      <c r="V155" s="32" t="n">
        <f>62370830</f>
        <v>6.237083E7</v>
      </c>
      <c r="W155" s="32" t="str">
        <f>"－"</f>
        <v>－</v>
      </c>
      <c r="X155" s="36" t="n">
        <f>21</f>
        <v>21.0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2049</f>
        <v>2049.0</v>
      </c>
      <c r="L156" s="34" t="s">
        <v>48</v>
      </c>
      <c r="M156" s="33" t="n">
        <f>2075</f>
        <v>2075.0</v>
      </c>
      <c r="N156" s="34" t="s">
        <v>49</v>
      </c>
      <c r="O156" s="33" t="n">
        <f>2011</f>
        <v>2011.0</v>
      </c>
      <c r="P156" s="34" t="s">
        <v>50</v>
      </c>
      <c r="Q156" s="33" t="n">
        <f>2011</f>
        <v>2011.0</v>
      </c>
      <c r="R156" s="34" t="s">
        <v>50</v>
      </c>
      <c r="S156" s="35" t="n">
        <f>2038.13</f>
        <v>2038.13</v>
      </c>
      <c r="T156" s="32" t="n">
        <f>14660</f>
        <v>14660.0</v>
      </c>
      <c r="U156" s="32" t="str">
        <f>"－"</f>
        <v>－</v>
      </c>
      <c r="V156" s="32" t="n">
        <f>29633260</f>
        <v>2.963326E7</v>
      </c>
      <c r="W156" s="32" t="str">
        <f>"－"</f>
        <v>－</v>
      </c>
      <c r="X156" s="36" t="n">
        <f>8</f>
        <v>8.0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2079</f>
        <v>2079.0</v>
      </c>
      <c r="L157" s="34" t="s">
        <v>48</v>
      </c>
      <c r="M157" s="33" t="n">
        <f>2098</f>
        <v>2098.0</v>
      </c>
      <c r="N157" s="34" t="s">
        <v>49</v>
      </c>
      <c r="O157" s="33" t="n">
        <f>2009</f>
        <v>2009.0</v>
      </c>
      <c r="P157" s="34" t="s">
        <v>50</v>
      </c>
      <c r="Q157" s="33" t="n">
        <f>2009</f>
        <v>2009.0</v>
      </c>
      <c r="R157" s="34" t="s">
        <v>50</v>
      </c>
      <c r="S157" s="35" t="n">
        <f>2062.35</f>
        <v>2062.35</v>
      </c>
      <c r="T157" s="32" t="n">
        <f>14330</f>
        <v>14330.0</v>
      </c>
      <c r="U157" s="32" t="str">
        <f>"－"</f>
        <v>－</v>
      </c>
      <c r="V157" s="32" t="n">
        <f>29732200</f>
        <v>2.97322E7</v>
      </c>
      <c r="W157" s="32" t="str">
        <f>"－"</f>
        <v>－</v>
      </c>
      <c r="X157" s="36" t="n">
        <f>17</f>
        <v>17.0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1212</f>
        <v>1212.0</v>
      </c>
      <c r="L158" s="34" t="s">
        <v>48</v>
      </c>
      <c r="M158" s="33" t="n">
        <f>1223</f>
        <v>1223.0</v>
      </c>
      <c r="N158" s="34" t="s">
        <v>92</v>
      </c>
      <c r="O158" s="33" t="n">
        <f>1187</f>
        <v>1187.0</v>
      </c>
      <c r="P158" s="34" t="s">
        <v>50</v>
      </c>
      <c r="Q158" s="33" t="n">
        <f>1187</f>
        <v>1187.0</v>
      </c>
      <c r="R158" s="34" t="s">
        <v>50</v>
      </c>
      <c r="S158" s="35" t="n">
        <f>1208.78</f>
        <v>1208.78</v>
      </c>
      <c r="T158" s="32" t="n">
        <f>1580</f>
        <v>1580.0</v>
      </c>
      <c r="U158" s="32" t="str">
        <f>"－"</f>
        <v>－</v>
      </c>
      <c r="V158" s="32" t="n">
        <f>1894330</f>
        <v>1894330.0</v>
      </c>
      <c r="W158" s="32" t="str">
        <f>"－"</f>
        <v>－</v>
      </c>
      <c r="X158" s="36" t="n">
        <f>9</f>
        <v>9.0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2550</f>
        <v>2550.0</v>
      </c>
      <c r="L159" s="34" t="s">
        <v>48</v>
      </c>
      <c r="M159" s="33" t="n">
        <f>2667</f>
        <v>2667.0</v>
      </c>
      <c r="N159" s="34" t="s">
        <v>166</v>
      </c>
      <c r="O159" s="33" t="n">
        <f>2420</f>
        <v>2420.0</v>
      </c>
      <c r="P159" s="34" t="s">
        <v>50</v>
      </c>
      <c r="Q159" s="33" t="n">
        <f>2422</f>
        <v>2422.0</v>
      </c>
      <c r="R159" s="34" t="s">
        <v>50</v>
      </c>
      <c r="S159" s="35" t="n">
        <f>2576.71</f>
        <v>2576.71</v>
      </c>
      <c r="T159" s="32" t="n">
        <f>4621852</f>
        <v>4621852.0</v>
      </c>
      <c r="U159" s="32" t="n">
        <f>1083931</f>
        <v>1083931.0</v>
      </c>
      <c r="V159" s="32" t="n">
        <f>11860203465</f>
        <v>1.1860203465E10</v>
      </c>
      <c r="W159" s="32" t="n">
        <f>2778306763</f>
        <v>2.778306763E9</v>
      </c>
      <c r="X159" s="36" t="n">
        <f>21</f>
        <v>21.0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2673</f>
        <v>2673.0</v>
      </c>
      <c r="L160" s="34" t="s">
        <v>48</v>
      </c>
      <c r="M160" s="33" t="n">
        <f>2677</f>
        <v>2677.0</v>
      </c>
      <c r="N160" s="34" t="s">
        <v>48</v>
      </c>
      <c r="O160" s="33" t="n">
        <f>2602</f>
        <v>2602.0</v>
      </c>
      <c r="P160" s="34" t="s">
        <v>50</v>
      </c>
      <c r="Q160" s="33" t="n">
        <f>2602</f>
        <v>2602.0</v>
      </c>
      <c r="R160" s="34" t="s">
        <v>50</v>
      </c>
      <c r="S160" s="35" t="n">
        <f>2638.48</f>
        <v>2638.48</v>
      </c>
      <c r="T160" s="32" t="n">
        <f>806858</f>
        <v>806858.0</v>
      </c>
      <c r="U160" s="32" t="n">
        <f>764001</f>
        <v>764001.0</v>
      </c>
      <c r="V160" s="32" t="n">
        <f>2118132312</f>
        <v>2.118132312E9</v>
      </c>
      <c r="W160" s="32" t="n">
        <f>2004988742</f>
        <v>2.004988742E9</v>
      </c>
      <c r="X160" s="36" t="n">
        <f>21</f>
        <v>21.0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2266</f>
        <v>2266.0</v>
      </c>
      <c r="L161" s="34" t="s">
        <v>48</v>
      </c>
      <c r="M161" s="33" t="n">
        <f>2370</f>
        <v>2370.0</v>
      </c>
      <c r="N161" s="34" t="s">
        <v>166</v>
      </c>
      <c r="O161" s="33" t="n">
        <f>2143</f>
        <v>2143.0</v>
      </c>
      <c r="P161" s="34" t="s">
        <v>50</v>
      </c>
      <c r="Q161" s="33" t="n">
        <f>2145</f>
        <v>2145.0</v>
      </c>
      <c r="R161" s="34" t="s">
        <v>50</v>
      </c>
      <c r="S161" s="35" t="n">
        <f>2290.9</f>
        <v>2290.9</v>
      </c>
      <c r="T161" s="32" t="n">
        <f>58054</f>
        <v>58054.0</v>
      </c>
      <c r="U161" s="32" t="str">
        <f>"－"</f>
        <v>－</v>
      </c>
      <c r="V161" s="32" t="n">
        <f>132281479</f>
        <v>1.32281479E8</v>
      </c>
      <c r="W161" s="32" t="str">
        <f>"－"</f>
        <v>－</v>
      </c>
      <c r="X161" s="36" t="n">
        <f>21</f>
        <v>21.0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1868</f>
        <v>1868.0</v>
      </c>
      <c r="L162" s="34" t="s">
        <v>48</v>
      </c>
      <c r="M162" s="33" t="n">
        <f>1948</f>
        <v>1948.0</v>
      </c>
      <c r="N162" s="34" t="s">
        <v>166</v>
      </c>
      <c r="O162" s="33" t="n">
        <f>1829</f>
        <v>1829.0</v>
      </c>
      <c r="P162" s="34" t="s">
        <v>48</v>
      </c>
      <c r="Q162" s="33" t="n">
        <f>1857</f>
        <v>1857.0</v>
      </c>
      <c r="R162" s="34" t="s">
        <v>50</v>
      </c>
      <c r="S162" s="35" t="n">
        <f>1908.57</f>
        <v>1908.57</v>
      </c>
      <c r="T162" s="32" t="n">
        <f>119827</f>
        <v>119827.0</v>
      </c>
      <c r="U162" s="32" t="n">
        <f>250</f>
        <v>250.0</v>
      </c>
      <c r="V162" s="32" t="n">
        <f>226772638</f>
        <v>2.26772638E8</v>
      </c>
      <c r="W162" s="32" t="n">
        <f>479172</f>
        <v>479172.0</v>
      </c>
      <c r="X162" s="36" t="n">
        <f>21</f>
        <v>21.0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1771</f>
        <v>1771.0</v>
      </c>
      <c r="L163" s="34" t="s">
        <v>48</v>
      </c>
      <c r="M163" s="33" t="n">
        <f>1862</f>
        <v>1862.0</v>
      </c>
      <c r="N163" s="34" t="s">
        <v>67</v>
      </c>
      <c r="O163" s="33" t="n">
        <f>1650</f>
        <v>1650.0</v>
      </c>
      <c r="P163" s="34" t="s">
        <v>50</v>
      </c>
      <c r="Q163" s="33" t="n">
        <f>1655</f>
        <v>1655.0</v>
      </c>
      <c r="R163" s="34" t="s">
        <v>50</v>
      </c>
      <c r="S163" s="35" t="n">
        <f>1774</f>
        <v>1774.0</v>
      </c>
      <c r="T163" s="32" t="n">
        <f>384768</f>
        <v>384768.0</v>
      </c>
      <c r="U163" s="32" t="str">
        <f>"－"</f>
        <v>－</v>
      </c>
      <c r="V163" s="32" t="n">
        <f>677035669</f>
        <v>6.77035669E8</v>
      </c>
      <c r="W163" s="32" t="str">
        <f>"－"</f>
        <v>－</v>
      </c>
      <c r="X163" s="36" t="n">
        <f>21</f>
        <v>21.0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9500</f>
        <v>9500.0</v>
      </c>
      <c r="L164" s="34" t="s">
        <v>48</v>
      </c>
      <c r="M164" s="33" t="n">
        <f>9810</f>
        <v>9810.0</v>
      </c>
      <c r="N164" s="34" t="s">
        <v>116</v>
      </c>
      <c r="O164" s="33" t="n">
        <f>8770</f>
        <v>8770.0</v>
      </c>
      <c r="P164" s="34" t="s">
        <v>50</v>
      </c>
      <c r="Q164" s="33" t="n">
        <f>8830</f>
        <v>8830.0</v>
      </c>
      <c r="R164" s="34" t="s">
        <v>50</v>
      </c>
      <c r="S164" s="35" t="n">
        <f>9314.76</f>
        <v>9314.76</v>
      </c>
      <c r="T164" s="32" t="n">
        <f>14243</f>
        <v>14243.0</v>
      </c>
      <c r="U164" s="32" t="n">
        <f>30</f>
        <v>30.0</v>
      </c>
      <c r="V164" s="32" t="n">
        <f>133138680</f>
        <v>1.3313868E8</v>
      </c>
      <c r="W164" s="32" t="n">
        <f>283250</f>
        <v>283250.0</v>
      </c>
      <c r="X164" s="36" t="n">
        <f>21</f>
        <v>21.0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100.0</v>
      </c>
      <c r="K165" s="33" t="n">
        <f>113</f>
        <v>113.0</v>
      </c>
      <c r="L165" s="34" t="s">
        <v>48</v>
      </c>
      <c r="M165" s="33" t="n">
        <f>115</f>
        <v>115.0</v>
      </c>
      <c r="N165" s="34" t="s">
        <v>92</v>
      </c>
      <c r="O165" s="33" t="n">
        <f>110</f>
        <v>110.0</v>
      </c>
      <c r="P165" s="34" t="s">
        <v>85</v>
      </c>
      <c r="Q165" s="33" t="n">
        <f>113</f>
        <v>113.0</v>
      </c>
      <c r="R165" s="34" t="s">
        <v>50</v>
      </c>
      <c r="S165" s="35" t="n">
        <f>112.89</f>
        <v>112.89</v>
      </c>
      <c r="T165" s="32" t="n">
        <f>23600</f>
        <v>23600.0</v>
      </c>
      <c r="U165" s="32" t="n">
        <f>100</f>
        <v>100.0</v>
      </c>
      <c r="V165" s="32" t="n">
        <f>2682900</f>
        <v>2682900.0</v>
      </c>
      <c r="W165" s="32" t="n">
        <f>11200</f>
        <v>11200.0</v>
      </c>
      <c r="X165" s="36" t="n">
        <f>19</f>
        <v>19.0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807</f>
        <v>807.0</v>
      </c>
      <c r="L166" s="34" t="s">
        <v>48</v>
      </c>
      <c r="M166" s="33" t="n">
        <f>863</f>
        <v>863.0</v>
      </c>
      <c r="N166" s="34" t="s">
        <v>67</v>
      </c>
      <c r="O166" s="33" t="n">
        <f>729</f>
        <v>729.0</v>
      </c>
      <c r="P166" s="34" t="s">
        <v>50</v>
      </c>
      <c r="Q166" s="33" t="n">
        <f>732</f>
        <v>732.0</v>
      </c>
      <c r="R166" s="34" t="s">
        <v>50</v>
      </c>
      <c r="S166" s="35" t="n">
        <f>820.9</f>
        <v>820.9</v>
      </c>
      <c r="T166" s="32" t="n">
        <f>54649536</f>
        <v>5.4649536E7</v>
      </c>
      <c r="U166" s="32" t="n">
        <f>818150</f>
        <v>818150.0</v>
      </c>
      <c r="V166" s="32" t="n">
        <f>44677520291</f>
        <v>4.4677520291E10</v>
      </c>
      <c r="W166" s="32" t="n">
        <f>613590613</f>
        <v>6.13590613E8</v>
      </c>
      <c r="X166" s="36" t="n">
        <f>21</f>
        <v>21.0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19090</f>
        <v>19090.0</v>
      </c>
      <c r="L167" s="34" t="s">
        <v>48</v>
      </c>
      <c r="M167" s="33" t="n">
        <f>19480</f>
        <v>19480.0</v>
      </c>
      <c r="N167" s="34" t="s">
        <v>92</v>
      </c>
      <c r="O167" s="33" t="n">
        <f>18480</f>
        <v>18480.0</v>
      </c>
      <c r="P167" s="34" t="s">
        <v>50</v>
      </c>
      <c r="Q167" s="33" t="n">
        <f>18480</f>
        <v>18480.0</v>
      </c>
      <c r="R167" s="34" t="s">
        <v>50</v>
      </c>
      <c r="S167" s="35" t="n">
        <f>18966.19</f>
        <v>18966.19</v>
      </c>
      <c r="T167" s="32" t="n">
        <f>3790</f>
        <v>3790.0</v>
      </c>
      <c r="U167" s="32" t="str">
        <f>"－"</f>
        <v>－</v>
      </c>
      <c r="V167" s="32" t="n">
        <f>72092930</f>
        <v>7.209293E7</v>
      </c>
      <c r="W167" s="32" t="str">
        <f>"－"</f>
        <v>－</v>
      </c>
      <c r="X167" s="36" t="n">
        <f>21</f>
        <v>21.0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2368</f>
        <v>2368.0</v>
      </c>
      <c r="L168" s="34" t="s">
        <v>48</v>
      </c>
      <c r="M168" s="33" t="n">
        <f>2521</f>
        <v>2521.0</v>
      </c>
      <c r="N168" s="34" t="s">
        <v>92</v>
      </c>
      <c r="O168" s="33" t="n">
        <f>2267</f>
        <v>2267.0</v>
      </c>
      <c r="P168" s="34" t="s">
        <v>68</v>
      </c>
      <c r="Q168" s="33" t="n">
        <f>2267</f>
        <v>2267.0</v>
      </c>
      <c r="R168" s="34" t="s">
        <v>50</v>
      </c>
      <c r="S168" s="35" t="n">
        <f>2387.24</f>
        <v>2387.24</v>
      </c>
      <c r="T168" s="32" t="n">
        <f>27360</f>
        <v>27360.0</v>
      </c>
      <c r="U168" s="32" t="str">
        <f>"－"</f>
        <v>－</v>
      </c>
      <c r="V168" s="32" t="n">
        <f>65731000</f>
        <v>6.5731E7</v>
      </c>
      <c r="W168" s="32" t="str">
        <f>"－"</f>
        <v>－</v>
      </c>
      <c r="X168" s="36" t="n">
        <f>21</f>
        <v>21.0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9050</f>
        <v>9050.0</v>
      </c>
      <c r="L169" s="34" t="s">
        <v>48</v>
      </c>
      <c r="M169" s="33" t="n">
        <f>9290</f>
        <v>9290.0</v>
      </c>
      <c r="N169" s="34" t="s">
        <v>92</v>
      </c>
      <c r="O169" s="33" t="n">
        <f>8400</f>
        <v>8400.0</v>
      </c>
      <c r="P169" s="34" t="s">
        <v>50</v>
      </c>
      <c r="Q169" s="33" t="n">
        <f>8400</f>
        <v>8400.0</v>
      </c>
      <c r="R169" s="34" t="s">
        <v>50</v>
      </c>
      <c r="S169" s="35" t="n">
        <f>8770.95</f>
        <v>8770.95</v>
      </c>
      <c r="T169" s="32" t="n">
        <f>9080</f>
        <v>9080.0</v>
      </c>
      <c r="U169" s="32" t="str">
        <f>"－"</f>
        <v>－</v>
      </c>
      <c r="V169" s="32" t="n">
        <f>80521410</f>
        <v>8.052141E7</v>
      </c>
      <c r="W169" s="32" t="str">
        <f>"－"</f>
        <v>－</v>
      </c>
      <c r="X169" s="36" t="n">
        <f>21</f>
        <v>21.0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23530</f>
        <v>23530.0</v>
      </c>
      <c r="L170" s="34" t="s">
        <v>48</v>
      </c>
      <c r="M170" s="33" t="n">
        <f>24850</f>
        <v>24850.0</v>
      </c>
      <c r="N170" s="34" t="s">
        <v>173</v>
      </c>
      <c r="O170" s="33" t="n">
        <f>22860</f>
        <v>22860.0</v>
      </c>
      <c r="P170" s="34" t="s">
        <v>72</v>
      </c>
      <c r="Q170" s="33" t="n">
        <f>23000</f>
        <v>23000.0</v>
      </c>
      <c r="R170" s="34" t="s">
        <v>68</v>
      </c>
      <c r="S170" s="35" t="n">
        <f>23678.24</f>
        <v>23678.24</v>
      </c>
      <c r="T170" s="32" t="n">
        <f>254</f>
        <v>254.0</v>
      </c>
      <c r="U170" s="32" t="str">
        <f>"－"</f>
        <v>－</v>
      </c>
      <c r="V170" s="32" t="n">
        <f>6103490</f>
        <v>6103490.0</v>
      </c>
      <c r="W170" s="32" t="str">
        <f>"－"</f>
        <v>－</v>
      </c>
      <c r="X170" s="36" t="n">
        <f>17</f>
        <v>17.0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17180</f>
        <v>17180.0</v>
      </c>
      <c r="L171" s="34" t="s">
        <v>92</v>
      </c>
      <c r="M171" s="33" t="n">
        <f>17280</f>
        <v>17280.0</v>
      </c>
      <c r="N171" s="34" t="s">
        <v>92</v>
      </c>
      <c r="O171" s="33" t="n">
        <f>15780</f>
        <v>15780.0</v>
      </c>
      <c r="P171" s="34" t="s">
        <v>356</v>
      </c>
      <c r="Q171" s="33" t="n">
        <f>17080</f>
        <v>17080.0</v>
      </c>
      <c r="R171" s="34" t="s">
        <v>103</v>
      </c>
      <c r="S171" s="35" t="n">
        <f>16490</f>
        <v>16490.0</v>
      </c>
      <c r="T171" s="32" t="n">
        <f>8</f>
        <v>8.0</v>
      </c>
      <c r="U171" s="32" t="str">
        <f>"－"</f>
        <v>－</v>
      </c>
      <c r="V171" s="32" t="n">
        <f>134980</f>
        <v>134980.0</v>
      </c>
      <c r="W171" s="32" t="str">
        <f>"－"</f>
        <v>－</v>
      </c>
      <c r="X171" s="36" t="n">
        <f>4</f>
        <v>4.0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51500</f>
        <v>51500.0</v>
      </c>
      <c r="L172" s="34" t="s">
        <v>48</v>
      </c>
      <c r="M172" s="33" t="n">
        <f>51600</f>
        <v>51600.0</v>
      </c>
      <c r="N172" s="34" t="s">
        <v>50</v>
      </c>
      <c r="O172" s="33" t="n">
        <f>50600</f>
        <v>50600.0</v>
      </c>
      <c r="P172" s="34" t="s">
        <v>50</v>
      </c>
      <c r="Q172" s="33" t="n">
        <f>51400</f>
        <v>51400.0</v>
      </c>
      <c r="R172" s="34" t="s">
        <v>50</v>
      </c>
      <c r="S172" s="35" t="n">
        <f>51271.43</f>
        <v>51271.43</v>
      </c>
      <c r="T172" s="32" t="n">
        <f>16670</f>
        <v>16670.0</v>
      </c>
      <c r="U172" s="32" t="n">
        <f>2000</f>
        <v>2000.0</v>
      </c>
      <c r="V172" s="32" t="n">
        <f>854451946</f>
        <v>8.54451946E8</v>
      </c>
      <c r="W172" s="32" t="n">
        <f>102851946</f>
        <v>1.02851946E8</v>
      </c>
      <c r="X172" s="36" t="n">
        <f>21</f>
        <v>21.0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147</f>
        <v>147.0</v>
      </c>
      <c r="L173" s="34" t="s">
        <v>48</v>
      </c>
      <c r="M173" s="33" t="n">
        <f>155</f>
        <v>155.0</v>
      </c>
      <c r="N173" s="34" t="s">
        <v>67</v>
      </c>
      <c r="O173" s="33" t="n">
        <f>145</f>
        <v>145.0</v>
      </c>
      <c r="P173" s="34" t="s">
        <v>48</v>
      </c>
      <c r="Q173" s="33" t="n">
        <f>145</f>
        <v>145.0</v>
      </c>
      <c r="R173" s="34" t="s">
        <v>50</v>
      </c>
      <c r="S173" s="35" t="n">
        <f>151.14</f>
        <v>151.14</v>
      </c>
      <c r="T173" s="32" t="n">
        <f>5527800</f>
        <v>5527800.0</v>
      </c>
      <c r="U173" s="32" t="n">
        <f>8500</f>
        <v>8500.0</v>
      </c>
      <c r="V173" s="32" t="n">
        <f>833158200</f>
        <v>8.331582E8</v>
      </c>
      <c r="W173" s="32" t="n">
        <f>1288500</f>
        <v>1288500.0</v>
      </c>
      <c r="X173" s="36" t="n">
        <f>21</f>
        <v>21.0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26240</f>
        <v>26240.0</v>
      </c>
      <c r="L174" s="34" t="s">
        <v>48</v>
      </c>
      <c r="M174" s="33" t="n">
        <f>27160</f>
        <v>27160.0</v>
      </c>
      <c r="N174" s="34" t="s">
        <v>166</v>
      </c>
      <c r="O174" s="33" t="n">
        <f>24320</f>
        <v>24320.0</v>
      </c>
      <c r="P174" s="34" t="s">
        <v>50</v>
      </c>
      <c r="Q174" s="33" t="n">
        <f>24320</f>
        <v>24320.0</v>
      </c>
      <c r="R174" s="34" t="s">
        <v>50</v>
      </c>
      <c r="S174" s="35" t="n">
        <f>26352</f>
        <v>26352.0</v>
      </c>
      <c r="T174" s="32" t="n">
        <f>9500</f>
        <v>9500.0</v>
      </c>
      <c r="U174" s="32" t="str">
        <f>"－"</f>
        <v>－</v>
      </c>
      <c r="V174" s="32" t="n">
        <f>246717000</f>
        <v>2.46717E8</v>
      </c>
      <c r="W174" s="32" t="str">
        <f>"－"</f>
        <v>－</v>
      </c>
      <c r="X174" s="36" t="n">
        <f>20</f>
        <v>20.0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2633</f>
        <v>2633.0</v>
      </c>
      <c r="L175" s="34" t="s">
        <v>48</v>
      </c>
      <c r="M175" s="33" t="n">
        <f>2738</f>
        <v>2738.0</v>
      </c>
      <c r="N175" s="34" t="s">
        <v>166</v>
      </c>
      <c r="O175" s="33" t="n">
        <f>2505</f>
        <v>2505.0</v>
      </c>
      <c r="P175" s="34" t="s">
        <v>50</v>
      </c>
      <c r="Q175" s="33" t="n">
        <f>2511</f>
        <v>2511.0</v>
      </c>
      <c r="R175" s="34" t="s">
        <v>50</v>
      </c>
      <c r="S175" s="35" t="n">
        <f>2659.62</f>
        <v>2659.62</v>
      </c>
      <c r="T175" s="32" t="n">
        <f>227370</f>
        <v>227370.0</v>
      </c>
      <c r="U175" s="32" t="n">
        <f>150000</f>
        <v>150000.0</v>
      </c>
      <c r="V175" s="32" t="n">
        <f>608285890</f>
        <v>6.0828589E8</v>
      </c>
      <c r="W175" s="32" t="n">
        <f>403377200</f>
        <v>4.033772E8</v>
      </c>
      <c r="X175" s="36" t="n">
        <f>21</f>
        <v>21.0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1473</f>
        <v>1473.0</v>
      </c>
      <c r="L176" s="34" t="s">
        <v>48</v>
      </c>
      <c r="M176" s="33" t="n">
        <f>1524</f>
        <v>1524.0</v>
      </c>
      <c r="N176" s="34" t="s">
        <v>132</v>
      </c>
      <c r="O176" s="33" t="n">
        <f>1429</f>
        <v>1429.0</v>
      </c>
      <c r="P176" s="34" t="s">
        <v>48</v>
      </c>
      <c r="Q176" s="33" t="n">
        <f>1456</f>
        <v>1456.0</v>
      </c>
      <c r="R176" s="34" t="s">
        <v>50</v>
      </c>
      <c r="S176" s="35" t="n">
        <f>1493.9</f>
        <v>1493.9</v>
      </c>
      <c r="T176" s="32" t="n">
        <f>110040</f>
        <v>110040.0</v>
      </c>
      <c r="U176" s="32" t="n">
        <f>20</f>
        <v>20.0</v>
      </c>
      <c r="V176" s="32" t="n">
        <f>164345500</f>
        <v>1.643455E8</v>
      </c>
      <c r="W176" s="32" t="n">
        <f>30230</f>
        <v>30230.0</v>
      </c>
      <c r="X176" s="36" t="n">
        <f>21</f>
        <v>21.0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164</f>
        <v>164.0</v>
      </c>
      <c r="L177" s="34" t="s">
        <v>48</v>
      </c>
      <c r="M177" s="33" t="n">
        <f>168</f>
        <v>168.0</v>
      </c>
      <c r="N177" s="34" t="s">
        <v>92</v>
      </c>
      <c r="O177" s="33" t="n">
        <f>155</f>
        <v>155.0</v>
      </c>
      <c r="P177" s="34" t="s">
        <v>50</v>
      </c>
      <c r="Q177" s="33" t="n">
        <f>157</f>
        <v>157.0</v>
      </c>
      <c r="R177" s="34" t="s">
        <v>50</v>
      </c>
      <c r="S177" s="35" t="n">
        <f>160.57</f>
        <v>160.57</v>
      </c>
      <c r="T177" s="32" t="n">
        <f>320400</f>
        <v>320400.0</v>
      </c>
      <c r="U177" s="32" t="str">
        <f>"－"</f>
        <v>－</v>
      </c>
      <c r="V177" s="32" t="n">
        <f>51652400</f>
        <v>5.16524E7</v>
      </c>
      <c r="W177" s="32" t="str">
        <f>"－"</f>
        <v>－</v>
      </c>
      <c r="X177" s="36" t="n">
        <f>21</f>
        <v>21.0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780</f>
        <v>780.0</v>
      </c>
      <c r="L178" s="34" t="s">
        <v>72</v>
      </c>
      <c r="M178" s="33" t="n">
        <f>780</f>
        <v>780.0</v>
      </c>
      <c r="N178" s="34" t="s">
        <v>72</v>
      </c>
      <c r="O178" s="33" t="n">
        <f>780</f>
        <v>780.0</v>
      </c>
      <c r="P178" s="34" t="s">
        <v>72</v>
      </c>
      <c r="Q178" s="33" t="n">
        <f>780</f>
        <v>780.0</v>
      </c>
      <c r="R178" s="34" t="s">
        <v>72</v>
      </c>
      <c r="S178" s="35" t="n">
        <f>780</f>
        <v>780.0</v>
      </c>
      <c r="T178" s="32" t="n">
        <f>130</f>
        <v>130.0</v>
      </c>
      <c r="U178" s="32" t="str">
        <f>"－"</f>
        <v>－</v>
      </c>
      <c r="V178" s="32" t="n">
        <f>101400</f>
        <v>101400.0</v>
      </c>
      <c r="W178" s="32" t="str">
        <f>"－"</f>
        <v>－</v>
      </c>
      <c r="X178" s="36" t="n">
        <f>1</f>
        <v>1.0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207</f>
        <v>207.0</v>
      </c>
      <c r="L179" s="34" t="s">
        <v>48</v>
      </c>
      <c r="M179" s="33" t="n">
        <f>222</f>
        <v>222.0</v>
      </c>
      <c r="N179" s="34" t="s">
        <v>92</v>
      </c>
      <c r="O179" s="33" t="n">
        <f>195</f>
        <v>195.0</v>
      </c>
      <c r="P179" s="34" t="s">
        <v>68</v>
      </c>
      <c r="Q179" s="33" t="n">
        <f>216</f>
        <v>216.0</v>
      </c>
      <c r="R179" s="34" t="s">
        <v>68</v>
      </c>
      <c r="S179" s="35" t="n">
        <f>213.17</f>
        <v>213.17</v>
      </c>
      <c r="T179" s="32" t="n">
        <f>18110</f>
        <v>18110.0</v>
      </c>
      <c r="U179" s="32" t="str">
        <f>"－"</f>
        <v>－</v>
      </c>
      <c r="V179" s="32" t="n">
        <f>3833510</f>
        <v>3833510.0</v>
      </c>
      <c r="W179" s="32" t="str">
        <f>"－"</f>
        <v>－</v>
      </c>
      <c r="X179" s="36" t="n">
        <f>18</f>
        <v>18.0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1201</f>
        <v>1201.0</v>
      </c>
      <c r="L180" s="34" t="s">
        <v>48</v>
      </c>
      <c r="M180" s="33" t="n">
        <f>1325</f>
        <v>1325.0</v>
      </c>
      <c r="N180" s="34" t="s">
        <v>60</v>
      </c>
      <c r="O180" s="33" t="n">
        <f>1201</f>
        <v>1201.0</v>
      </c>
      <c r="P180" s="34" t="s">
        <v>48</v>
      </c>
      <c r="Q180" s="33" t="n">
        <f>1261</f>
        <v>1261.0</v>
      </c>
      <c r="R180" s="34" t="s">
        <v>132</v>
      </c>
      <c r="S180" s="35" t="n">
        <f>1262.33</f>
        <v>1262.33</v>
      </c>
      <c r="T180" s="32" t="n">
        <f>30</f>
        <v>30.0</v>
      </c>
      <c r="U180" s="32" t="str">
        <f>"－"</f>
        <v>－</v>
      </c>
      <c r="V180" s="32" t="n">
        <f>37870</f>
        <v>37870.0</v>
      </c>
      <c r="W180" s="32" t="str">
        <f>"－"</f>
        <v>－</v>
      </c>
      <c r="X180" s="36" t="n">
        <f>3</f>
        <v>3.0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409</f>
        <v>409.0</v>
      </c>
      <c r="L181" s="34" t="s">
        <v>48</v>
      </c>
      <c r="M181" s="33" t="n">
        <f>442</f>
        <v>442.0</v>
      </c>
      <c r="N181" s="34" t="s">
        <v>103</v>
      </c>
      <c r="O181" s="33" t="n">
        <f>407</f>
        <v>407.0</v>
      </c>
      <c r="P181" s="34" t="s">
        <v>48</v>
      </c>
      <c r="Q181" s="33" t="n">
        <f>422</f>
        <v>422.0</v>
      </c>
      <c r="R181" s="34" t="s">
        <v>50</v>
      </c>
      <c r="S181" s="35" t="n">
        <f>426.62</f>
        <v>426.62</v>
      </c>
      <c r="T181" s="32" t="n">
        <f>29690</f>
        <v>29690.0</v>
      </c>
      <c r="U181" s="32" t="str">
        <f>"－"</f>
        <v>－</v>
      </c>
      <c r="V181" s="32" t="n">
        <f>12619120</f>
        <v>1.261912E7</v>
      </c>
      <c r="W181" s="32" t="str">
        <f>"－"</f>
        <v>－</v>
      </c>
      <c r="X181" s="36" t="n">
        <f>21</f>
        <v>21.0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299</f>
        <v>299.0</v>
      </c>
      <c r="L182" s="34" t="s">
        <v>48</v>
      </c>
      <c r="M182" s="33" t="n">
        <f>327</f>
        <v>327.0</v>
      </c>
      <c r="N182" s="34" t="s">
        <v>85</v>
      </c>
      <c r="O182" s="33" t="n">
        <f>298</f>
        <v>298.0</v>
      </c>
      <c r="P182" s="34" t="s">
        <v>48</v>
      </c>
      <c r="Q182" s="33" t="n">
        <f>311</f>
        <v>311.0</v>
      </c>
      <c r="R182" s="34" t="s">
        <v>50</v>
      </c>
      <c r="S182" s="35" t="n">
        <f>314.24</f>
        <v>314.24</v>
      </c>
      <c r="T182" s="32" t="n">
        <f>530720</f>
        <v>530720.0</v>
      </c>
      <c r="U182" s="32" t="str">
        <f>"－"</f>
        <v>－</v>
      </c>
      <c r="V182" s="32" t="n">
        <f>164123260</f>
        <v>1.6412326E8</v>
      </c>
      <c r="W182" s="32" t="str">
        <f>"－"</f>
        <v>－</v>
      </c>
      <c r="X182" s="36" t="n">
        <f>21</f>
        <v>21.0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100.0</v>
      </c>
      <c r="K183" s="33" t="n">
        <f>1</f>
        <v>1.0</v>
      </c>
      <c r="L183" s="34" t="s">
        <v>48</v>
      </c>
      <c r="M183" s="33" t="n">
        <f>2</f>
        <v>2.0</v>
      </c>
      <c r="N183" s="34" t="s">
        <v>48</v>
      </c>
      <c r="O183" s="33" t="n">
        <f>1</f>
        <v>1.0</v>
      </c>
      <c r="P183" s="34" t="s">
        <v>48</v>
      </c>
      <c r="Q183" s="33" t="n">
        <f>1</f>
        <v>1.0</v>
      </c>
      <c r="R183" s="34" t="s">
        <v>50</v>
      </c>
      <c r="S183" s="35" t="n">
        <f>1.48</f>
        <v>1.48</v>
      </c>
      <c r="T183" s="32" t="n">
        <f>243431200</f>
        <v>2.434312E8</v>
      </c>
      <c r="U183" s="32" t="str">
        <f>"－"</f>
        <v>－</v>
      </c>
      <c r="V183" s="32" t="n">
        <f>398103900</f>
        <v>3.981039E8</v>
      </c>
      <c r="W183" s="32" t="str">
        <f>"－"</f>
        <v>－</v>
      </c>
      <c r="X183" s="36" t="n">
        <f>21</f>
        <v>21.0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375</f>
        <v>375.0</v>
      </c>
      <c r="L184" s="34" t="s">
        <v>48</v>
      </c>
      <c r="M184" s="33" t="n">
        <f>402</f>
        <v>402.0</v>
      </c>
      <c r="N184" s="34" t="s">
        <v>67</v>
      </c>
      <c r="O184" s="33" t="n">
        <f>340</f>
        <v>340.0</v>
      </c>
      <c r="P184" s="34" t="s">
        <v>50</v>
      </c>
      <c r="Q184" s="33" t="n">
        <f>342</f>
        <v>342.0</v>
      </c>
      <c r="R184" s="34" t="s">
        <v>50</v>
      </c>
      <c r="S184" s="35" t="n">
        <f>382.33</f>
        <v>382.33</v>
      </c>
      <c r="T184" s="32" t="n">
        <f>1508600</f>
        <v>1508600.0</v>
      </c>
      <c r="U184" s="32" t="str">
        <f>"－"</f>
        <v>－</v>
      </c>
      <c r="V184" s="32" t="n">
        <f>571820400</f>
        <v>5.718204E8</v>
      </c>
      <c r="W184" s="32" t="str">
        <f>"－"</f>
        <v>－</v>
      </c>
      <c r="X184" s="36" t="n">
        <f>21</f>
        <v>21.0</v>
      </c>
    </row>
    <row r="185">
      <c r="A185" s="27" t="s">
        <v>42</v>
      </c>
      <c r="B185" s="27" t="s">
        <v>600</v>
      </c>
      <c r="C185" s="27" t="s">
        <v>601</v>
      </c>
      <c r="D185" s="27" t="s">
        <v>602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1.0</v>
      </c>
      <c r="K185" s="33" t="n">
        <f>1719</f>
        <v>1719.0</v>
      </c>
      <c r="L185" s="34" t="s">
        <v>48</v>
      </c>
      <c r="M185" s="33" t="n">
        <f>1719</f>
        <v>1719.0</v>
      </c>
      <c r="N185" s="34" t="s">
        <v>48</v>
      </c>
      <c r="O185" s="33" t="n">
        <f>1485</f>
        <v>1485.0</v>
      </c>
      <c r="P185" s="34" t="s">
        <v>50</v>
      </c>
      <c r="Q185" s="33" t="n">
        <f>1540</f>
        <v>1540.0</v>
      </c>
      <c r="R185" s="34" t="s">
        <v>50</v>
      </c>
      <c r="S185" s="35" t="n">
        <f>1643</f>
        <v>1643.0</v>
      </c>
      <c r="T185" s="32" t="n">
        <f>3459</f>
        <v>3459.0</v>
      </c>
      <c r="U185" s="32" t="str">
        <f>"－"</f>
        <v>－</v>
      </c>
      <c r="V185" s="32" t="n">
        <f>5585871</f>
        <v>5585871.0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603</v>
      </c>
      <c r="C186" s="27" t="s">
        <v>604</v>
      </c>
      <c r="D186" s="27" t="s">
        <v>605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291</f>
        <v>291.0</v>
      </c>
      <c r="L186" s="34" t="s">
        <v>72</v>
      </c>
      <c r="M186" s="33" t="n">
        <f>301</f>
        <v>301.0</v>
      </c>
      <c r="N186" s="34" t="s">
        <v>278</v>
      </c>
      <c r="O186" s="33" t="n">
        <f>270</f>
        <v>270.0</v>
      </c>
      <c r="P186" s="34" t="s">
        <v>49</v>
      </c>
      <c r="Q186" s="33" t="n">
        <f>301</f>
        <v>301.0</v>
      </c>
      <c r="R186" s="34" t="s">
        <v>278</v>
      </c>
      <c r="S186" s="35" t="n">
        <f>287.14</f>
        <v>287.14</v>
      </c>
      <c r="T186" s="32" t="n">
        <f>6500</f>
        <v>6500.0</v>
      </c>
      <c r="U186" s="32" t="str">
        <f>"－"</f>
        <v>－</v>
      </c>
      <c r="V186" s="32" t="n">
        <f>1794400</f>
        <v>1794400.0</v>
      </c>
      <c r="W186" s="32" t="str">
        <f>"－"</f>
        <v>－</v>
      </c>
      <c r="X186" s="36" t="n">
        <f>7</f>
        <v>7.0</v>
      </c>
    </row>
    <row r="187">
      <c r="A187" s="27" t="s">
        <v>42</v>
      </c>
      <c r="B187" s="27" t="s">
        <v>606</v>
      </c>
      <c r="C187" s="27" t="s">
        <v>607</v>
      </c>
      <c r="D187" s="27" t="s">
        <v>608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2901</f>
        <v>2901.0</v>
      </c>
      <c r="L187" s="34" t="s">
        <v>48</v>
      </c>
      <c r="M187" s="33" t="n">
        <f>2991</f>
        <v>2991.0</v>
      </c>
      <c r="N187" s="34" t="s">
        <v>278</v>
      </c>
      <c r="O187" s="33" t="n">
        <f>2675</f>
        <v>2675.0</v>
      </c>
      <c r="P187" s="34" t="s">
        <v>48</v>
      </c>
      <c r="Q187" s="33" t="n">
        <f>2900</f>
        <v>2900.0</v>
      </c>
      <c r="R187" s="34" t="s">
        <v>50</v>
      </c>
      <c r="S187" s="35" t="n">
        <f>2889.2</f>
        <v>2889.2</v>
      </c>
      <c r="T187" s="32" t="n">
        <f>4530</f>
        <v>4530.0</v>
      </c>
      <c r="U187" s="32" t="str">
        <f>"－"</f>
        <v>－</v>
      </c>
      <c r="V187" s="32" t="n">
        <f>13011250</f>
        <v>1.301125E7</v>
      </c>
      <c r="W187" s="32" t="str">
        <f>"－"</f>
        <v>－</v>
      </c>
      <c r="X187" s="36" t="n">
        <f>20</f>
        <v>20.0</v>
      </c>
    </row>
    <row r="188">
      <c r="A188" s="27" t="s">
        <v>42</v>
      </c>
      <c r="B188" s="27" t="s">
        <v>609</v>
      </c>
      <c r="C188" s="27" t="s">
        <v>610</v>
      </c>
      <c r="D188" s="27" t="s">
        <v>611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1446</f>
        <v>1446.0</v>
      </c>
      <c r="L188" s="34" t="s">
        <v>96</v>
      </c>
      <c r="M188" s="33" t="n">
        <f>1600</f>
        <v>1600.0</v>
      </c>
      <c r="N188" s="34" t="s">
        <v>132</v>
      </c>
      <c r="O188" s="33" t="n">
        <f>1446</f>
        <v>1446.0</v>
      </c>
      <c r="P188" s="34" t="s">
        <v>96</v>
      </c>
      <c r="Q188" s="33" t="n">
        <f>1538</f>
        <v>1538.0</v>
      </c>
      <c r="R188" s="34" t="s">
        <v>68</v>
      </c>
      <c r="S188" s="35" t="n">
        <f>1534.3</f>
        <v>1534.3</v>
      </c>
      <c r="T188" s="32" t="n">
        <f>320</f>
        <v>320.0</v>
      </c>
      <c r="U188" s="32" t="str">
        <f>"－"</f>
        <v>－</v>
      </c>
      <c r="V188" s="32" t="n">
        <f>491400</f>
        <v>491400.0</v>
      </c>
      <c r="W188" s="32" t="str">
        <f>"－"</f>
        <v>－</v>
      </c>
      <c r="X188" s="36" t="n">
        <f>10</f>
        <v>10.0</v>
      </c>
    </row>
    <row r="189">
      <c r="A189" s="27" t="s">
        <v>42</v>
      </c>
      <c r="B189" s="27" t="s">
        <v>612</v>
      </c>
      <c r="C189" s="27" t="s">
        <v>613</v>
      </c>
      <c r="D189" s="27" t="s">
        <v>614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100.0</v>
      </c>
      <c r="K189" s="33" t="n">
        <f>68</f>
        <v>68.0</v>
      </c>
      <c r="L189" s="34" t="s">
        <v>48</v>
      </c>
      <c r="M189" s="33" t="n">
        <f>77</f>
        <v>77.0</v>
      </c>
      <c r="N189" s="34" t="s">
        <v>60</v>
      </c>
      <c r="O189" s="33" t="n">
        <f>67</f>
        <v>67.0</v>
      </c>
      <c r="P189" s="34" t="s">
        <v>48</v>
      </c>
      <c r="Q189" s="33" t="n">
        <f>71</f>
        <v>71.0</v>
      </c>
      <c r="R189" s="34" t="s">
        <v>50</v>
      </c>
      <c r="S189" s="35" t="n">
        <f>72.48</f>
        <v>72.48</v>
      </c>
      <c r="T189" s="32" t="n">
        <f>10686400</f>
        <v>1.06864E7</v>
      </c>
      <c r="U189" s="32" t="n">
        <f>300</f>
        <v>300.0</v>
      </c>
      <c r="V189" s="32" t="n">
        <f>765779200</f>
        <v>7.657792E8</v>
      </c>
      <c r="W189" s="32" t="n">
        <f>22000</f>
        <v>22000.0</v>
      </c>
      <c r="X189" s="36" t="n">
        <f>21</f>
        <v>21.0</v>
      </c>
    </row>
    <row r="190">
      <c r="A190" s="27" t="s">
        <v>42</v>
      </c>
      <c r="B190" s="27" t="s">
        <v>615</v>
      </c>
      <c r="C190" s="27" t="s">
        <v>616</v>
      </c>
      <c r="D190" s="27" t="s">
        <v>617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100.0</v>
      </c>
      <c r="K190" s="33" t="n">
        <f>70</f>
        <v>70.0</v>
      </c>
      <c r="L190" s="34" t="s">
        <v>48</v>
      </c>
      <c r="M190" s="33" t="n">
        <f>78</f>
        <v>78.0</v>
      </c>
      <c r="N190" s="34" t="s">
        <v>103</v>
      </c>
      <c r="O190" s="33" t="n">
        <f>69</f>
        <v>69.0</v>
      </c>
      <c r="P190" s="34" t="s">
        <v>48</v>
      </c>
      <c r="Q190" s="33" t="n">
        <f>72</f>
        <v>72.0</v>
      </c>
      <c r="R190" s="34" t="s">
        <v>50</v>
      </c>
      <c r="S190" s="35" t="n">
        <f>73.71</f>
        <v>73.71</v>
      </c>
      <c r="T190" s="32" t="n">
        <f>3594100</f>
        <v>3594100.0</v>
      </c>
      <c r="U190" s="32" t="n">
        <f>100</f>
        <v>100.0</v>
      </c>
      <c r="V190" s="32" t="n">
        <f>261802000</f>
        <v>2.61802E8</v>
      </c>
      <c r="W190" s="32" t="n">
        <f>7300</f>
        <v>7300.0</v>
      </c>
      <c r="X190" s="36" t="n">
        <f>21</f>
        <v>21.0</v>
      </c>
    </row>
    <row r="191">
      <c r="A191" s="27" t="s">
        <v>42</v>
      </c>
      <c r="B191" s="27" t="s">
        <v>618</v>
      </c>
      <c r="C191" s="27" t="s">
        <v>619</v>
      </c>
      <c r="D191" s="27" t="s">
        <v>620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10.0</v>
      </c>
      <c r="K191" s="33" t="n">
        <f>1850</f>
        <v>1850.0</v>
      </c>
      <c r="L191" s="34" t="s">
        <v>48</v>
      </c>
      <c r="M191" s="33" t="n">
        <f>2007</f>
        <v>2007.0</v>
      </c>
      <c r="N191" s="34" t="s">
        <v>85</v>
      </c>
      <c r="O191" s="33" t="n">
        <f>1808</f>
        <v>1808.0</v>
      </c>
      <c r="P191" s="34" t="s">
        <v>72</v>
      </c>
      <c r="Q191" s="33" t="n">
        <f>1905</f>
        <v>1905.0</v>
      </c>
      <c r="R191" s="34" t="s">
        <v>50</v>
      </c>
      <c r="S191" s="35" t="n">
        <f>1933.29</f>
        <v>1933.29</v>
      </c>
      <c r="T191" s="32" t="n">
        <f>41520</f>
        <v>41520.0</v>
      </c>
      <c r="U191" s="32" t="n">
        <f>20</f>
        <v>20.0</v>
      </c>
      <c r="V191" s="32" t="n">
        <f>79848090</f>
        <v>7.984809E7</v>
      </c>
      <c r="W191" s="32" t="n">
        <f>38780</f>
        <v>38780.0</v>
      </c>
      <c r="X191" s="36" t="n">
        <f>21</f>
        <v>21.0</v>
      </c>
    </row>
    <row r="192">
      <c r="A192" s="27" t="s">
        <v>42</v>
      </c>
      <c r="B192" s="27" t="s">
        <v>621</v>
      </c>
      <c r="C192" s="27" t="s">
        <v>622</v>
      </c>
      <c r="D192" s="27" t="s">
        <v>623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1419</f>
        <v>1419.0</v>
      </c>
      <c r="L192" s="34" t="s">
        <v>48</v>
      </c>
      <c r="M192" s="33" t="n">
        <f>1450</f>
        <v>1450.0</v>
      </c>
      <c r="N192" s="34" t="s">
        <v>96</v>
      </c>
      <c r="O192" s="33" t="n">
        <f>1370</f>
        <v>1370.0</v>
      </c>
      <c r="P192" s="34" t="s">
        <v>50</v>
      </c>
      <c r="Q192" s="33" t="n">
        <f>1376</f>
        <v>1376.0</v>
      </c>
      <c r="R192" s="34" t="s">
        <v>50</v>
      </c>
      <c r="S192" s="35" t="n">
        <f>1417.43</f>
        <v>1417.43</v>
      </c>
      <c r="T192" s="32" t="n">
        <f>68690</f>
        <v>68690.0</v>
      </c>
      <c r="U192" s="32" t="str">
        <f>"－"</f>
        <v>－</v>
      </c>
      <c r="V192" s="32" t="n">
        <f>97356270</f>
        <v>9.735627E7</v>
      </c>
      <c r="W192" s="32" t="str">
        <f>"－"</f>
        <v>－</v>
      </c>
      <c r="X192" s="36" t="n">
        <f>21</f>
        <v>21.0</v>
      </c>
    </row>
    <row r="193">
      <c r="A193" s="27" t="s">
        <v>42</v>
      </c>
      <c r="B193" s="27" t="s">
        <v>624</v>
      </c>
      <c r="C193" s="27" t="s">
        <v>625</v>
      </c>
      <c r="D193" s="27" t="s">
        <v>626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99</f>
        <v>99.0</v>
      </c>
      <c r="L193" s="34" t="s">
        <v>48</v>
      </c>
      <c r="M193" s="33" t="n">
        <f>107</f>
        <v>107.0</v>
      </c>
      <c r="N193" s="34" t="s">
        <v>67</v>
      </c>
      <c r="O193" s="33" t="n">
        <f>90</f>
        <v>90.0</v>
      </c>
      <c r="P193" s="34" t="s">
        <v>50</v>
      </c>
      <c r="Q193" s="33" t="n">
        <f>91</f>
        <v>91.0</v>
      </c>
      <c r="R193" s="34" t="s">
        <v>50</v>
      </c>
      <c r="S193" s="35" t="n">
        <f>101.19</f>
        <v>101.19</v>
      </c>
      <c r="T193" s="32" t="n">
        <f>213937760</f>
        <v>2.1393776E8</v>
      </c>
      <c r="U193" s="32" t="n">
        <f>1753950</f>
        <v>1753950.0</v>
      </c>
      <c r="V193" s="32" t="n">
        <f>21532407906</f>
        <v>2.1532407906E10</v>
      </c>
      <c r="W193" s="32" t="n">
        <f>162853906</f>
        <v>1.62853906E8</v>
      </c>
      <c r="X193" s="36" t="n">
        <f>21</f>
        <v>21.0</v>
      </c>
    </row>
    <row r="194">
      <c r="A194" s="27" t="s">
        <v>42</v>
      </c>
      <c r="B194" s="27" t="s">
        <v>627</v>
      </c>
      <c r="C194" s="27" t="s">
        <v>628</v>
      </c>
      <c r="D194" s="27" t="s">
        <v>629</v>
      </c>
      <c r="E194" s="28" t="s">
        <v>46</v>
      </c>
      <c r="F194" s="29" t="s">
        <v>46</v>
      </c>
      <c r="G194" s="30" t="s">
        <v>46</v>
      </c>
      <c r="H194" s="31"/>
      <c r="I194" s="31" t="s">
        <v>630</v>
      </c>
      <c r="J194" s="32" t="n">
        <v>1.0</v>
      </c>
      <c r="K194" s="33" t="n">
        <f>8010</f>
        <v>8010.0</v>
      </c>
      <c r="L194" s="34" t="s">
        <v>48</v>
      </c>
      <c r="M194" s="33" t="n">
        <f>8970</f>
        <v>8970.0</v>
      </c>
      <c r="N194" s="34" t="s">
        <v>220</v>
      </c>
      <c r="O194" s="33" t="n">
        <f>8000</f>
        <v>8000.0</v>
      </c>
      <c r="P194" s="34" t="s">
        <v>48</v>
      </c>
      <c r="Q194" s="33" t="n">
        <f>8400</f>
        <v>8400.0</v>
      </c>
      <c r="R194" s="34" t="s">
        <v>50</v>
      </c>
      <c r="S194" s="35" t="n">
        <f>8537.62</f>
        <v>8537.62</v>
      </c>
      <c r="T194" s="32" t="n">
        <f>20454</f>
        <v>20454.0</v>
      </c>
      <c r="U194" s="32" t="str">
        <f>"－"</f>
        <v>－</v>
      </c>
      <c r="V194" s="32" t="n">
        <f>175393270</f>
        <v>1.7539327E8</v>
      </c>
      <c r="W194" s="32" t="str">
        <f>"－"</f>
        <v>－</v>
      </c>
      <c r="X194" s="36" t="n">
        <f>21</f>
        <v>21.0</v>
      </c>
    </row>
    <row r="195">
      <c r="A195" s="27" t="s">
        <v>42</v>
      </c>
      <c r="B195" s="27" t="s">
        <v>631</v>
      </c>
      <c r="C195" s="27" t="s">
        <v>632</v>
      </c>
      <c r="D195" s="27" t="s">
        <v>633</v>
      </c>
      <c r="E195" s="28" t="s">
        <v>46</v>
      </c>
      <c r="F195" s="29" t="s">
        <v>46</v>
      </c>
      <c r="G195" s="30" t="s">
        <v>46</v>
      </c>
      <c r="H195" s="31"/>
      <c r="I195" s="31" t="s">
        <v>630</v>
      </c>
      <c r="J195" s="32" t="n">
        <v>1.0</v>
      </c>
      <c r="K195" s="33" t="n">
        <f>6230</f>
        <v>6230.0</v>
      </c>
      <c r="L195" s="34" t="s">
        <v>48</v>
      </c>
      <c r="M195" s="33" t="n">
        <f>6410</f>
        <v>6410.0</v>
      </c>
      <c r="N195" s="34" t="s">
        <v>48</v>
      </c>
      <c r="O195" s="33" t="n">
        <f>5940</f>
        <v>5940.0</v>
      </c>
      <c r="P195" s="34" t="s">
        <v>103</v>
      </c>
      <c r="Q195" s="33" t="n">
        <f>6170</f>
        <v>6170.0</v>
      </c>
      <c r="R195" s="34" t="s">
        <v>50</v>
      </c>
      <c r="S195" s="35" t="n">
        <f>6168.33</f>
        <v>6168.33</v>
      </c>
      <c r="T195" s="32" t="n">
        <f>1368</f>
        <v>1368.0</v>
      </c>
      <c r="U195" s="32" t="str">
        <f>"－"</f>
        <v>－</v>
      </c>
      <c r="V195" s="32" t="n">
        <f>8379950</f>
        <v>8379950.0</v>
      </c>
      <c r="W195" s="32" t="str">
        <f>"－"</f>
        <v>－</v>
      </c>
      <c r="X195" s="36" t="n">
        <f>18</f>
        <v>18.0</v>
      </c>
    </row>
    <row r="196">
      <c r="A196" s="27" t="s">
        <v>42</v>
      </c>
      <c r="B196" s="27" t="s">
        <v>634</v>
      </c>
      <c r="C196" s="27" t="s">
        <v>635</v>
      </c>
      <c r="D196" s="27" t="s">
        <v>636</v>
      </c>
      <c r="E196" s="28" t="s">
        <v>46</v>
      </c>
      <c r="F196" s="29" t="s">
        <v>46</v>
      </c>
      <c r="G196" s="30" t="s">
        <v>46</v>
      </c>
      <c r="H196" s="31"/>
      <c r="I196" s="31" t="s">
        <v>630</v>
      </c>
      <c r="J196" s="32" t="n">
        <v>1.0</v>
      </c>
      <c r="K196" s="33" t="n">
        <f>10200</f>
        <v>10200.0</v>
      </c>
      <c r="L196" s="34" t="s">
        <v>48</v>
      </c>
      <c r="M196" s="33" t="n">
        <f>10800</f>
        <v>10800.0</v>
      </c>
      <c r="N196" s="34" t="s">
        <v>67</v>
      </c>
      <c r="O196" s="33" t="n">
        <f>9660</f>
        <v>9660.0</v>
      </c>
      <c r="P196" s="34" t="s">
        <v>50</v>
      </c>
      <c r="Q196" s="33" t="n">
        <f>9660</f>
        <v>9660.0</v>
      </c>
      <c r="R196" s="34" t="s">
        <v>50</v>
      </c>
      <c r="S196" s="35" t="n">
        <f>10440.5</f>
        <v>10440.5</v>
      </c>
      <c r="T196" s="32" t="n">
        <f>844</f>
        <v>844.0</v>
      </c>
      <c r="U196" s="32" t="str">
        <f>"－"</f>
        <v>－</v>
      </c>
      <c r="V196" s="32" t="n">
        <f>8629630</f>
        <v>8629630.0</v>
      </c>
      <c r="W196" s="32" t="str">
        <f>"－"</f>
        <v>－</v>
      </c>
      <c r="X196" s="36" t="n">
        <f>20</f>
        <v>20.0</v>
      </c>
    </row>
    <row r="197">
      <c r="A197" s="27" t="s">
        <v>42</v>
      </c>
      <c r="B197" s="27" t="s">
        <v>637</v>
      </c>
      <c r="C197" s="27" t="s">
        <v>638</v>
      </c>
      <c r="D197" s="27" t="s">
        <v>639</v>
      </c>
      <c r="E197" s="28" t="s">
        <v>46</v>
      </c>
      <c r="F197" s="29" t="s">
        <v>46</v>
      </c>
      <c r="G197" s="30" t="s">
        <v>46</v>
      </c>
      <c r="H197" s="31"/>
      <c r="I197" s="31" t="s">
        <v>630</v>
      </c>
      <c r="J197" s="32" t="n">
        <v>1.0</v>
      </c>
      <c r="K197" s="33" t="n">
        <f>7650</f>
        <v>7650.0</v>
      </c>
      <c r="L197" s="34" t="s">
        <v>48</v>
      </c>
      <c r="M197" s="33" t="n">
        <f>8180</f>
        <v>8180.0</v>
      </c>
      <c r="N197" s="34" t="s">
        <v>50</v>
      </c>
      <c r="O197" s="33" t="n">
        <f>7600</f>
        <v>7600.0</v>
      </c>
      <c r="P197" s="34" t="s">
        <v>48</v>
      </c>
      <c r="Q197" s="33" t="n">
        <f>8180</f>
        <v>8180.0</v>
      </c>
      <c r="R197" s="34" t="s">
        <v>50</v>
      </c>
      <c r="S197" s="35" t="n">
        <f>7875.24</f>
        <v>7875.24</v>
      </c>
      <c r="T197" s="32" t="n">
        <f>5579</f>
        <v>5579.0</v>
      </c>
      <c r="U197" s="32" t="str">
        <f>"－"</f>
        <v>－</v>
      </c>
      <c r="V197" s="32" t="n">
        <f>43619110</f>
        <v>4.361911E7</v>
      </c>
      <c r="W197" s="32" t="str">
        <f>"－"</f>
        <v>－</v>
      </c>
      <c r="X197" s="36" t="n">
        <f>21</f>
        <v>21.0</v>
      </c>
    </row>
    <row r="198">
      <c r="A198" s="27" t="s">
        <v>42</v>
      </c>
      <c r="B198" s="27" t="s">
        <v>640</v>
      </c>
      <c r="C198" s="27" t="s">
        <v>641</v>
      </c>
      <c r="D198" s="27" t="s">
        <v>642</v>
      </c>
      <c r="E198" s="28" t="s">
        <v>46</v>
      </c>
      <c r="F198" s="29" t="s">
        <v>46</v>
      </c>
      <c r="G198" s="30" t="s">
        <v>46</v>
      </c>
      <c r="H198" s="31"/>
      <c r="I198" s="31" t="s">
        <v>630</v>
      </c>
      <c r="J198" s="32" t="n">
        <v>1.0</v>
      </c>
      <c r="K198" s="33" t="n">
        <f>471</f>
        <v>471.0</v>
      </c>
      <c r="L198" s="34" t="s">
        <v>48</v>
      </c>
      <c r="M198" s="33" t="n">
        <f>523</f>
        <v>523.0</v>
      </c>
      <c r="N198" s="34" t="s">
        <v>48</v>
      </c>
      <c r="O198" s="33" t="n">
        <f>383</f>
        <v>383.0</v>
      </c>
      <c r="P198" s="34" t="s">
        <v>220</v>
      </c>
      <c r="Q198" s="33" t="n">
        <f>433</f>
        <v>433.0</v>
      </c>
      <c r="R198" s="34" t="s">
        <v>50</v>
      </c>
      <c r="S198" s="35" t="n">
        <f>419.19</f>
        <v>419.19</v>
      </c>
      <c r="T198" s="32" t="n">
        <f>18705104</f>
        <v>1.8705104E7</v>
      </c>
      <c r="U198" s="32" t="n">
        <f>873</f>
        <v>873.0</v>
      </c>
      <c r="V198" s="32" t="n">
        <f>7914336799</f>
        <v>7.914336799E9</v>
      </c>
      <c r="W198" s="32" t="n">
        <f>436371</f>
        <v>436371.0</v>
      </c>
      <c r="X198" s="36" t="n">
        <f>21</f>
        <v>21.0</v>
      </c>
    </row>
    <row r="199">
      <c r="A199" s="27" t="s">
        <v>42</v>
      </c>
      <c r="B199" s="27" t="s">
        <v>643</v>
      </c>
      <c r="C199" s="27" t="s">
        <v>644</v>
      </c>
      <c r="D199" s="27" t="s">
        <v>645</v>
      </c>
      <c r="E199" s="28" t="s">
        <v>46</v>
      </c>
      <c r="F199" s="29" t="s">
        <v>46</v>
      </c>
      <c r="G199" s="30" t="s">
        <v>46</v>
      </c>
      <c r="H199" s="31"/>
      <c r="I199" s="31" t="s">
        <v>630</v>
      </c>
      <c r="J199" s="32" t="n">
        <v>1.0</v>
      </c>
      <c r="K199" s="33" t="n">
        <f>18800</f>
        <v>18800.0</v>
      </c>
      <c r="L199" s="34" t="s">
        <v>48</v>
      </c>
      <c r="M199" s="33" t="n">
        <f>19290</f>
        <v>19290.0</v>
      </c>
      <c r="N199" s="34" t="s">
        <v>92</v>
      </c>
      <c r="O199" s="33" t="n">
        <f>17700</f>
        <v>17700.0</v>
      </c>
      <c r="P199" s="34" t="s">
        <v>50</v>
      </c>
      <c r="Q199" s="33" t="n">
        <f>17700</f>
        <v>17700.0</v>
      </c>
      <c r="R199" s="34" t="s">
        <v>50</v>
      </c>
      <c r="S199" s="35" t="n">
        <f>18630</f>
        <v>18630.0</v>
      </c>
      <c r="T199" s="32" t="n">
        <f>37929</f>
        <v>37929.0</v>
      </c>
      <c r="U199" s="32" t="n">
        <f>86</f>
        <v>86.0</v>
      </c>
      <c r="V199" s="32" t="n">
        <f>706394740</f>
        <v>7.0639474E8</v>
      </c>
      <c r="W199" s="32" t="n">
        <f>1616850</f>
        <v>1616850.0</v>
      </c>
      <c r="X199" s="36" t="n">
        <f>21</f>
        <v>21.0</v>
      </c>
    </row>
    <row r="200">
      <c r="A200" s="27" t="s">
        <v>42</v>
      </c>
      <c r="B200" s="27" t="s">
        <v>646</v>
      </c>
      <c r="C200" s="27" t="s">
        <v>647</v>
      </c>
      <c r="D200" s="27" t="s">
        <v>648</v>
      </c>
      <c r="E200" s="28" t="s">
        <v>46</v>
      </c>
      <c r="F200" s="29" t="s">
        <v>46</v>
      </c>
      <c r="G200" s="30" t="s">
        <v>46</v>
      </c>
      <c r="H200" s="31"/>
      <c r="I200" s="31" t="s">
        <v>630</v>
      </c>
      <c r="J200" s="32" t="n">
        <v>1.0</v>
      </c>
      <c r="K200" s="33" t="n">
        <f>5540</f>
        <v>5540.0</v>
      </c>
      <c r="L200" s="34" t="s">
        <v>48</v>
      </c>
      <c r="M200" s="33" t="n">
        <f>5710</f>
        <v>5710.0</v>
      </c>
      <c r="N200" s="34" t="s">
        <v>50</v>
      </c>
      <c r="O200" s="33" t="n">
        <f>5430</f>
        <v>5430.0</v>
      </c>
      <c r="P200" s="34" t="s">
        <v>92</v>
      </c>
      <c r="Q200" s="33" t="n">
        <f>5700</f>
        <v>5700.0</v>
      </c>
      <c r="R200" s="34" t="s">
        <v>50</v>
      </c>
      <c r="S200" s="35" t="n">
        <f>5549.05</f>
        <v>5549.05</v>
      </c>
      <c r="T200" s="32" t="n">
        <f>7233</f>
        <v>7233.0</v>
      </c>
      <c r="U200" s="32" t="n">
        <f>17</f>
        <v>17.0</v>
      </c>
      <c r="V200" s="32" t="n">
        <f>40351080</f>
        <v>4.035108E7</v>
      </c>
      <c r="W200" s="32" t="n">
        <f>94680</f>
        <v>94680.0</v>
      </c>
      <c r="X200" s="36" t="n">
        <f>21</f>
        <v>21.0</v>
      </c>
    </row>
    <row r="201">
      <c r="A201" s="27" t="s">
        <v>42</v>
      </c>
      <c r="B201" s="27" t="s">
        <v>649</v>
      </c>
      <c r="C201" s="27" t="s">
        <v>650</v>
      </c>
      <c r="D201" s="27" t="s">
        <v>651</v>
      </c>
      <c r="E201" s="28" t="s">
        <v>46</v>
      </c>
      <c r="F201" s="29" t="s">
        <v>46</v>
      </c>
      <c r="G201" s="30" t="s">
        <v>46</v>
      </c>
      <c r="H201" s="31"/>
      <c r="I201" s="31" t="s">
        <v>630</v>
      </c>
      <c r="J201" s="32" t="n">
        <v>1.0</v>
      </c>
      <c r="K201" s="33" t="n">
        <f>224</f>
        <v>224.0</v>
      </c>
      <c r="L201" s="34" t="s">
        <v>48</v>
      </c>
      <c r="M201" s="33" t="n">
        <f>243</f>
        <v>243.0</v>
      </c>
      <c r="N201" s="34" t="s">
        <v>67</v>
      </c>
      <c r="O201" s="33" t="n">
        <f>176</f>
        <v>176.0</v>
      </c>
      <c r="P201" s="34" t="s">
        <v>50</v>
      </c>
      <c r="Q201" s="33" t="n">
        <f>178</f>
        <v>178.0</v>
      </c>
      <c r="R201" s="34" t="s">
        <v>50</v>
      </c>
      <c r="S201" s="35" t="n">
        <f>223.1</f>
        <v>223.1</v>
      </c>
      <c r="T201" s="32" t="n">
        <f>249675780</f>
        <v>2.4967578E8</v>
      </c>
      <c r="U201" s="32" t="n">
        <f>351007</f>
        <v>351007.0</v>
      </c>
      <c r="V201" s="32" t="n">
        <f>54508735400</f>
        <v>5.45087354E10</v>
      </c>
      <c r="W201" s="32" t="n">
        <f>76241918</f>
        <v>7.6241918E7</v>
      </c>
      <c r="X201" s="36" t="n">
        <f>21</f>
        <v>21.0</v>
      </c>
    </row>
    <row r="202">
      <c r="A202" s="27" t="s">
        <v>42</v>
      </c>
      <c r="B202" s="27" t="s">
        <v>652</v>
      </c>
      <c r="C202" s="27" t="s">
        <v>653</v>
      </c>
      <c r="D202" s="27" t="s">
        <v>654</v>
      </c>
      <c r="E202" s="28" t="s">
        <v>46</v>
      </c>
      <c r="F202" s="29" t="s">
        <v>46</v>
      </c>
      <c r="G202" s="30" t="s">
        <v>46</v>
      </c>
      <c r="H202" s="31"/>
      <c r="I202" s="31" t="s">
        <v>630</v>
      </c>
      <c r="J202" s="32" t="n">
        <v>1.0</v>
      </c>
      <c r="K202" s="33" t="n">
        <f>6330</f>
        <v>6330.0</v>
      </c>
      <c r="L202" s="34" t="s">
        <v>48</v>
      </c>
      <c r="M202" s="33" t="n">
        <f>7040</f>
        <v>7040.0</v>
      </c>
      <c r="N202" s="34" t="s">
        <v>50</v>
      </c>
      <c r="O202" s="33" t="n">
        <f>5980</f>
        <v>5980.0</v>
      </c>
      <c r="P202" s="34" t="s">
        <v>67</v>
      </c>
      <c r="Q202" s="33" t="n">
        <f>6970</f>
        <v>6970.0</v>
      </c>
      <c r="R202" s="34" t="s">
        <v>50</v>
      </c>
      <c r="S202" s="35" t="n">
        <f>6274.29</f>
        <v>6274.29</v>
      </c>
      <c r="T202" s="32" t="n">
        <f>134091</f>
        <v>134091.0</v>
      </c>
      <c r="U202" s="32" t="n">
        <f>10</f>
        <v>10.0</v>
      </c>
      <c r="V202" s="32" t="n">
        <f>858398790</f>
        <v>8.5839879E8</v>
      </c>
      <c r="W202" s="32" t="n">
        <f>63700</f>
        <v>63700.0</v>
      </c>
      <c r="X202" s="36" t="n">
        <f>21</f>
        <v>21.0</v>
      </c>
    </row>
    <row r="203">
      <c r="A203" s="27" t="s">
        <v>42</v>
      </c>
      <c r="B203" s="27" t="s">
        <v>655</v>
      </c>
      <c r="C203" s="27" t="s">
        <v>656</v>
      </c>
      <c r="D203" s="27" t="s">
        <v>657</v>
      </c>
      <c r="E203" s="28" t="s">
        <v>46</v>
      </c>
      <c r="F203" s="29" t="s">
        <v>46</v>
      </c>
      <c r="G203" s="30" t="s">
        <v>46</v>
      </c>
      <c r="H203" s="31"/>
      <c r="I203" s="31" t="s">
        <v>630</v>
      </c>
      <c r="J203" s="32" t="n">
        <v>1.0</v>
      </c>
      <c r="K203" s="33" t="n">
        <f>20480</f>
        <v>20480.0</v>
      </c>
      <c r="L203" s="34" t="s">
        <v>48</v>
      </c>
      <c r="M203" s="33" t="n">
        <f>22030</f>
        <v>22030.0</v>
      </c>
      <c r="N203" s="34" t="s">
        <v>166</v>
      </c>
      <c r="O203" s="33" t="n">
        <f>18270</f>
        <v>18270.0</v>
      </c>
      <c r="P203" s="34" t="s">
        <v>50</v>
      </c>
      <c r="Q203" s="33" t="n">
        <f>18300</f>
        <v>18300.0</v>
      </c>
      <c r="R203" s="34" t="s">
        <v>50</v>
      </c>
      <c r="S203" s="35" t="n">
        <f>20825.24</f>
        <v>20825.24</v>
      </c>
      <c r="T203" s="32" t="n">
        <f>391722</f>
        <v>391722.0</v>
      </c>
      <c r="U203" s="32" t="n">
        <f>2168</f>
        <v>2168.0</v>
      </c>
      <c r="V203" s="32" t="n">
        <f>7983582285</f>
        <v>7.983582285E9</v>
      </c>
      <c r="W203" s="32" t="n">
        <f>40741715</f>
        <v>4.0741715E7</v>
      </c>
      <c r="X203" s="36" t="n">
        <f>21</f>
        <v>21.0</v>
      </c>
    </row>
    <row r="204">
      <c r="A204" s="27" t="s">
        <v>42</v>
      </c>
      <c r="B204" s="27" t="s">
        <v>658</v>
      </c>
      <c r="C204" s="27" t="s">
        <v>659</v>
      </c>
      <c r="D204" s="27" t="s">
        <v>660</v>
      </c>
      <c r="E204" s="28" t="s">
        <v>46</v>
      </c>
      <c r="F204" s="29" t="s">
        <v>46</v>
      </c>
      <c r="G204" s="30" t="s">
        <v>46</v>
      </c>
      <c r="H204" s="31"/>
      <c r="I204" s="31" t="s">
        <v>630</v>
      </c>
      <c r="J204" s="32" t="n">
        <v>1.0</v>
      </c>
      <c r="K204" s="33" t="n">
        <f>3825</f>
        <v>3825.0</v>
      </c>
      <c r="L204" s="34" t="s">
        <v>48</v>
      </c>
      <c r="M204" s="33" t="n">
        <f>4055</f>
        <v>4055.0</v>
      </c>
      <c r="N204" s="34" t="s">
        <v>50</v>
      </c>
      <c r="O204" s="33" t="n">
        <f>3695</f>
        <v>3695.0</v>
      </c>
      <c r="P204" s="34" t="s">
        <v>166</v>
      </c>
      <c r="Q204" s="33" t="n">
        <f>4045</f>
        <v>4045.0</v>
      </c>
      <c r="R204" s="34" t="s">
        <v>50</v>
      </c>
      <c r="S204" s="35" t="n">
        <f>3804.76</f>
        <v>3804.76</v>
      </c>
      <c r="T204" s="32" t="n">
        <f>590636</f>
        <v>590636.0</v>
      </c>
      <c r="U204" s="32" t="n">
        <f>107</f>
        <v>107.0</v>
      </c>
      <c r="V204" s="32" t="n">
        <f>2271128575</f>
        <v>2.271128575E9</v>
      </c>
      <c r="W204" s="32" t="n">
        <f>420030</f>
        <v>420030.0</v>
      </c>
      <c r="X204" s="36" t="n">
        <f>21</f>
        <v>21.0</v>
      </c>
    </row>
    <row r="205">
      <c r="A205" s="27" t="s">
        <v>42</v>
      </c>
      <c r="B205" s="27" t="s">
        <v>661</v>
      </c>
      <c r="C205" s="27" t="s">
        <v>662</v>
      </c>
      <c r="D205" s="27" t="s">
        <v>663</v>
      </c>
      <c r="E205" s="28" t="s">
        <v>46</v>
      </c>
      <c r="F205" s="29" t="s">
        <v>46</v>
      </c>
      <c r="G205" s="30" t="s">
        <v>46</v>
      </c>
      <c r="H205" s="31"/>
      <c r="I205" s="31" t="s">
        <v>630</v>
      </c>
      <c r="J205" s="32" t="n">
        <v>1.0</v>
      </c>
      <c r="K205" s="33" t="n">
        <f>13410</f>
        <v>13410.0</v>
      </c>
      <c r="L205" s="34" t="s">
        <v>48</v>
      </c>
      <c r="M205" s="33" t="n">
        <f>14550</f>
        <v>14550.0</v>
      </c>
      <c r="N205" s="34" t="s">
        <v>220</v>
      </c>
      <c r="O205" s="33" t="n">
        <f>12500</f>
        <v>12500.0</v>
      </c>
      <c r="P205" s="34" t="s">
        <v>85</v>
      </c>
      <c r="Q205" s="33" t="n">
        <f>12630</f>
        <v>12630.0</v>
      </c>
      <c r="R205" s="34" t="s">
        <v>50</v>
      </c>
      <c r="S205" s="35" t="n">
        <f>13667.14</f>
        <v>13667.14</v>
      </c>
      <c r="T205" s="32" t="n">
        <f>263114</f>
        <v>263114.0</v>
      </c>
      <c r="U205" s="32" t="n">
        <f>14200</f>
        <v>14200.0</v>
      </c>
      <c r="V205" s="32" t="n">
        <f>3639323400</f>
        <v>3.6393234E9</v>
      </c>
      <c r="W205" s="32" t="n">
        <f>202878800</f>
        <v>2.028788E8</v>
      </c>
      <c r="X205" s="36" t="n">
        <f>21</f>
        <v>21.0</v>
      </c>
    </row>
    <row r="206">
      <c r="A206" s="27" t="s">
        <v>42</v>
      </c>
      <c r="B206" s="27" t="s">
        <v>664</v>
      </c>
      <c r="C206" s="27" t="s">
        <v>665</v>
      </c>
      <c r="D206" s="27" t="s">
        <v>666</v>
      </c>
      <c r="E206" s="28" t="s">
        <v>46</v>
      </c>
      <c r="F206" s="29" t="s">
        <v>46</v>
      </c>
      <c r="G206" s="30" t="s">
        <v>46</v>
      </c>
      <c r="H206" s="31"/>
      <c r="I206" s="31" t="s">
        <v>630</v>
      </c>
      <c r="J206" s="32" t="n">
        <v>1.0</v>
      </c>
      <c r="K206" s="33" t="n">
        <f>9630</f>
        <v>9630.0</v>
      </c>
      <c r="L206" s="34" t="s">
        <v>48</v>
      </c>
      <c r="M206" s="33" t="n">
        <f>9900</f>
        <v>9900.0</v>
      </c>
      <c r="N206" s="34" t="s">
        <v>103</v>
      </c>
      <c r="O206" s="33" t="n">
        <f>9410</f>
        <v>9410.0</v>
      </c>
      <c r="P206" s="34" t="s">
        <v>72</v>
      </c>
      <c r="Q206" s="33" t="n">
        <f>9500</f>
        <v>9500.0</v>
      </c>
      <c r="R206" s="34" t="s">
        <v>50</v>
      </c>
      <c r="S206" s="35" t="n">
        <f>9684.38</f>
        <v>9684.38</v>
      </c>
      <c r="T206" s="32" t="n">
        <f>228</f>
        <v>228.0</v>
      </c>
      <c r="U206" s="32" t="str">
        <f>"－"</f>
        <v>－</v>
      </c>
      <c r="V206" s="32" t="n">
        <f>2217960</f>
        <v>2217960.0</v>
      </c>
      <c r="W206" s="32" t="str">
        <f>"－"</f>
        <v>－</v>
      </c>
      <c r="X206" s="36" t="n">
        <f>16</f>
        <v>16.0</v>
      </c>
    </row>
    <row r="207">
      <c r="A207" s="27" t="s">
        <v>42</v>
      </c>
      <c r="B207" s="27" t="s">
        <v>667</v>
      </c>
      <c r="C207" s="27" t="s">
        <v>668</v>
      </c>
      <c r="D207" s="27" t="s">
        <v>669</v>
      </c>
      <c r="E207" s="28" t="s">
        <v>46</v>
      </c>
      <c r="F207" s="29" t="s">
        <v>46</v>
      </c>
      <c r="G207" s="30" t="s">
        <v>46</v>
      </c>
      <c r="H207" s="31"/>
      <c r="I207" s="31" t="s">
        <v>630</v>
      </c>
      <c r="J207" s="32" t="n">
        <v>1.0</v>
      </c>
      <c r="K207" s="33" t="n">
        <f>14110</f>
        <v>14110.0</v>
      </c>
      <c r="L207" s="34" t="s">
        <v>48</v>
      </c>
      <c r="M207" s="33" t="n">
        <f>14730</f>
        <v>14730.0</v>
      </c>
      <c r="N207" s="34" t="s">
        <v>67</v>
      </c>
      <c r="O207" s="33" t="n">
        <f>13420</f>
        <v>13420.0</v>
      </c>
      <c r="P207" s="34" t="s">
        <v>50</v>
      </c>
      <c r="Q207" s="33" t="n">
        <f>13420</f>
        <v>13420.0</v>
      </c>
      <c r="R207" s="34" t="s">
        <v>50</v>
      </c>
      <c r="S207" s="35" t="n">
        <f>14305.24</f>
        <v>14305.24</v>
      </c>
      <c r="T207" s="32" t="n">
        <f>69864</f>
        <v>69864.0</v>
      </c>
      <c r="U207" s="32" t="n">
        <f>16752</f>
        <v>16752.0</v>
      </c>
      <c r="V207" s="32" t="n">
        <f>1007319930</f>
        <v>1.00731993E9</v>
      </c>
      <c r="W207" s="32" t="n">
        <f>243320520</f>
        <v>2.4332052E8</v>
      </c>
      <c r="X207" s="36" t="n">
        <f>21</f>
        <v>21.0</v>
      </c>
    </row>
    <row r="208">
      <c r="A208" s="27" t="s">
        <v>42</v>
      </c>
      <c r="B208" s="27" t="s">
        <v>670</v>
      </c>
      <c r="C208" s="27" t="s">
        <v>671</v>
      </c>
      <c r="D208" s="27" t="s">
        <v>672</v>
      </c>
      <c r="E208" s="28" t="s">
        <v>46</v>
      </c>
      <c r="F208" s="29" t="s">
        <v>46</v>
      </c>
      <c r="G208" s="30" t="s">
        <v>46</v>
      </c>
      <c r="H208" s="31"/>
      <c r="I208" s="31" t="s">
        <v>630</v>
      </c>
      <c r="J208" s="32" t="n">
        <v>1.0</v>
      </c>
      <c r="K208" s="33" t="n">
        <f>12110</f>
        <v>12110.0</v>
      </c>
      <c r="L208" s="34" t="s">
        <v>48</v>
      </c>
      <c r="M208" s="33" t="n">
        <f>12440</f>
        <v>12440.0</v>
      </c>
      <c r="N208" s="34" t="s">
        <v>220</v>
      </c>
      <c r="O208" s="33" t="n">
        <f>11210</f>
        <v>11210.0</v>
      </c>
      <c r="P208" s="34" t="s">
        <v>50</v>
      </c>
      <c r="Q208" s="33" t="n">
        <f>11300</f>
        <v>11300.0</v>
      </c>
      <c r="R208" s="34" t="s">
        <v>50</v>
      </c>
      <c r="S208" s="35" t="n">
        <f>11972.38</f>
        <v>11972.38</v>
      </c>
      <c r="T208" s="32" t="n">
        <f>504</f>
        <v>504.0</v>
      </c>
      <c r="U208" s="32" t="n">
        <f>3</f>
        <v>3.0</v>
      </c>
      <c r="V208" s="32" t="n">
        <f>5982640</f>
        <v>5982640.0</v>
      </c>
      <c r="W208" s="32" t="n">
        <f>35170</f>
        <v>35170.0</v>
      </c>
      <c r="X208" s="36" t="n">
        <f>21</f>
        <v>21.0</v>
      </c>
    </row>
    <row r="209">
      <c r="A209" s="27" t="s">
        <v>42</v>
      </c>
      <c r="B209" s="27" t="s">
        <v>673</v>
      </c>
      <c r="C209" s="27" t="s">
        <v>674</v>
      </c>
      <c r="D209" s="27" t="s">
        <v>675</v>
      </c>
      <c r="E209" s="28" t="s">
        <v>46</v>
      </c>
      <c r="F209" s="29" t="s">
        <v>46</v>
      </c>
      <c r="G209" s="30" t="s">
        <v>46</v>
      </c>
      <c r="H209" s="31"/>
      <c r="I209" s="31" t="s">
        <v>630</v>
      </c>
      <c r="J209" s="32" t="n">
        <v>1.0</v>
      </c>
      <c r="K209" s="33" t="n">
        <f>7810</f>
        <v>7810.0</v>
      </c>
      <c r="L209" s="34" t="s">
        <v>48</v>
      </c>
      <c r="M209" s="33" t="n">
        <f>8630</f>
        <v>8630.0</v>
      </c>
      <c r="N209" s="34" t="s">
        <v>92</v>
      </c>
      <c r="O209" s="33" t="n">
        <f>7610</f>
        <v>7610.0</v>
      </c>
      <c r="P209" s="34" t="s">
        <v>48</v>
      </c>
      <c r="Q209" s="33" t="n">
        <f>7860</f>
        <v>7860.0</v>
      </c>
      <c r="R209" s="34" t="s">
        <v>50</v>
      </c>
      <c r="S209" s="35" t="n">
        <f>8235.71</f>
        <v>8235.71</v>
      </c>
      <c r="T209" s="32" t="n">
        <f>61595</f>
        <v>61595.0</v>
      </c>
      <c r="U209" s="32" t="n">
        <f>1</f>
        <v>1.0</v>
      </c>
      <c r="V209" s="32" t="n">
        <f>503701670</f>
        <v>5.0370167E8</v>
      </c>
      <c r="W209" s="32" t="n">
        <f>8510</f>
        <v>8510.0</v>
      </c>
      <c r="X209" s="36" t="n">
        <f>21</f>
        <v>21.0</v>
      </c>
    </row>
    <row r="210">
      <c r="A210" s="27" t="s">
        <v>42</v>
      </c>
      <c r="B210" s="27" t="s">
        <v>676</v>
      </c>
      <c r="C210" s="27" t="s">
        <v>677</v>
      </c>
      <c r="D210" s="27" t="s">
        <v>678</v>
      </c>
      <c r="E210" s="28" t="s">
        <v>46</v>
      </c>
      <c r="F210" s="29" t="s">
        <v>46</v>
      </c>
      <c r="G210" s="30" t="s">
        <v>46</v>
      </c>
      <c r="H210" s="31"/>
      <c r="I210" s="31" t="s">
        <v>630</v>
      </c>
      <c r="J210" s="32" t="n">
        <v>1.0</v>
      </c>
      <c r="K210" s="33" t="n">
        <f>5950</f>
        <v>5950.0</v>
      </c>
      <c r="L210" s="34" t="s">
        <v>72</v>
      </c>
      <c r="M210" s="33" t="n">
        <f>5950</f>
        <v>5950.0</v>
      </c>
      <c r="N210" s="34" t="s">
        <v>72</v>
      </c>
      <c r="O210" s="33" t="n">
        <f>5560</f>
        <v>5560.0</v>
      </c>
      <c r="P210" s="34" t="s">
        <v>85</v>
      </c>
      <c r="Q210" s="33" t="n">
        <f>5590</f>
        <v>5590.0</v>
      </c>
      <c r="R210" s="34" t="s">
        <v>50</v>
      </c>
      <c r="S210" s="35" t="n">
        <f>5667</f>
        <v>5667.0</v>
      </c>
      <c r="T210" s="32" t="n">
        <f>12065</f>
        <v>12065.0</v>
      </c>
      <c r="U210" s="32" t="n">
        <f>2</f>
        <v>2.0</v>
      </c>
      <c r="V210" s="32" t="n">
        <f>68335380</f>
        <v>6.833538E7</v>
      </c>
      <c r="W210" s="32" t="n">
        <f>11320</f>
        <v>11320.0</v>
      </c>
      <c r="X210" s="36" t="n">
        <f>20</f>
        <v>20.0</v>
      </c>
    </row>
    <row r="211">
      <c r="A211" s="27" t="s">
        <v>42</v>
      </c>
      <c r="B211" s="27" t="s">
        <v>679</v>
      </c>
      <c r="C211" s="27" t="s">
        <v>680</v>
      </c>
      <c r="D211" s="27" t="s">
        <v>681</v>
      </c>
      <c r="E211" s="28" t="s">
        <v>46</v>
      </c>
      <c r="F211" s="29" t="s">
        <v>46</v>
      </c>
      <c r="G211" s="30" t="s">
        <v>46</v>
      </c>
      <c r="H211" s="31"/>
      <c r="I211" s="31" t="s">
        <v>630</v>
      </c>
      <c r="J211" s="32" t="n">
        <v>1.0</v>
      </c>
      <c r="K211" s="33" t="n">
        <f>8400</f>
        <v>8400.0</v>
      </c>
      <c r="L211" s="34" t="s">
        <v>72</v>
      </c>
      <c r="M211" s="33" t="n">
        <f>8520</f>
        <v>8520.0</v>
      </c>
      <c r="N211" s="34" t="s">
        <v>96</v>
      </c>
      <c r="O211" s="33" t="n">
        <f>8000</f>
        <v>8000.0</v>
      </c>
      <c r="P211" s="34" t="s">
        <v>50</v>
      </c>
      <c r="Q211" s="33" t="n">
        <f>8000</f>
        <v>8000.0</v>
      </c>
      <c r="R211" s="34" t="s">
        <v>50</v>
      </c>
      <c r="S211" s="35" t="n">
        <f>8371.82</f>
        <v>8371.82</v>
      </c>
      <c r="T211" s="32" t="n">
        <f>1544</f>
        <v>1544.0</v>
      </c>
      <c r="U211" s="32" t="n">
        <f>1</f>
        <v>1.0</v>
      </c>
      <c r="V211" s="32" t="n">
        <f>12899450</f>
        <v>1.289945E7</v>
      </c>
      <c r="W211" s="32" t="n">
        <f>8360</f>
        <v>8360.0</v>
      </c>
      <c r="X211" s="36" t="n">
        <f>11</f>
        <v>11.0</v>
      </c>
    </row>
    <row r="212">
      <c r="A212" s="27" t="s">
        <v>42</v>
      </c>
      <c r="B212" s="27" t="s">
        <v>682</v>
      </c>
      <c r="C212" s="27" t="s">
        <v>683</v>
      </c>
      <c r="D212" s="27" t="s">
        <v>684</v>
      </c>
      <c r="E212" s="28" t="s">
        <v>46</v>
      </c>
      <c r="F212" s="29" t="s">
        <v>46</v>
      </c>
      <c r="G212" s="30" t="s">
        <v>46</v>
      </c>
      <c r="H212" s="31"/>
      <c r="I212" s="31" t="s">
        <v>630</v>
      </c>
      <c r="J212" s="32" t="n">
        <v>1.0</v>
      </c>
      <c r="K212" s="33" t="n">
        <f>10190</f>
        <v>10190.0</v>
      </c>
      <c r="L212" s="34" t="s">
        <v>48</v>
      </c>
      <c r="M212" s="33" t="n">
        <f>10190</f>
        <v>10190.0</v>
      </c>
      <c r="N212" s="34" t="s">
        <v>48</v>
      </c>
      <c r="O212" s="33" t="n">
        <f>10030</f>
        <v>10030.0</v>
      </c>
      <c r="P212" s="34" t="s">
        <v>177</v>
      </c>
      <c r="Q212" s="33" t="n">
        <f>10030</f>
        <v>10030.0</v>
      </c>
      <c r="R212" s="34" t="s">
        <v>177</v>
      </c>
      <c r="S212" s="35" t="n">
        <f>10113.75</f>
        <v>10113.75</v>
      </c>
      <c r="T212" s="32" t="n">
        <f>11</f>
        <v>11.0</v>
      </c>
      <c r="U212" s="32" t="str">
        <f>"－"</f>
        <v>－</v>
      </c>
      <c r="V212" s="32" t="n">
        <f>111480</f>
        <v>111480.0</v>
      </c>
      <c r="W212" s="32" t="str">
        <f>"－"</f>
        <v>－</v>
      </c>
      <c r="X212" s="36" t="n">
        <f>8</f>
        <v>8.0</v>
      </c>
    </row>
    <row r="213">
      <c r="A213" s="27" t="s">
        <v>42</v>
      </c>
      <c r="B213" s="27" t="s">
        <v>685</v>
      </c>
      <c r="C213" s="27" t="s">
        <v>686</v>
      </c>
      <c r="D213" s="27" t="s">
        <v>687</v>
      </c>
      <c r="E213" s="28" t="s">
        <v>46</v>
      </c>
      <c r="F213" s="29" t="s">
        <v>46</v>
      </c>
      <c r="G213" s="30" t="s">
        <v>46</v>
      </c>
      <c r="H213" s="31"/>
      <c r="I213" s="31" t="s">
        <v>630</v>
      </c>
      <c r="J213" s="32" t="n">
        <v>1.0</v>
      </c>
      <c r="K213" s="33" t="n">
        <f>10390</f>
        <v>10390.0</v>
      </c>
      <c r="L213" s="34" t="s">
        <v>166</v>
      </c>
      <c r="M213" s="33" t="n">
        <f>10410</f>
        <v>10410.0</v>
      </c>
      <c r="N213" s="34" t="s">
        <v>220</v>
      </c>
      <c r="O213" s="33" t="n">
        <f>9980</f>
        <v>9980.0</v>
      </c>
      <c r="P213" s="34" t="s">
        <v>50</v>
      </c>
      <c r="Q213" s="33" t="n">
        <f>9980</f>
        <v>9980.0</v>
      </c>
      <c r="R213" s="34" t="s">
        <v>50</v>
      </c>
      <c r="S213" s="35" t="n">
        <f>10262.5</f>
        <v>10262.5</v>
      </c>
      <c r="T213" s="32" t="n">
        <f>4240</f>
        <v>4240.0</v>
      </c>
      <c r="U213" s="32" t="n">
        <f>1</f>
        <v>1.0</v>
      </c>
      <c r="V213" s="32" t="n">
        <f>43831070</f>
        <v>4.383107E7</v>
      </c>
      <c r="W213" s="32" t="n">
        <f>10240</f>
        <v>10240.0</v>
      </c>
      <c r="X213" s="36" t="n">
        <f>8</f>
        <v>8.0</v>
      </c>
    </row>
    <row r="214">
      <c r="A214" s="27" t="s">
        <v>42</v>
      </c>
      <c r="B214" s="27" t="s">
        <v>688</v>
      </c>
      <c r="C214" s="27" t="s">
        <v>689</v>
      </c>
      <c r="D214" s="27" t="s">
        <v>690</v>
      </c>
      <c r="E214" s="28" t="s">
        <v>46</v>
      </c>
      <c r="F214" s="29" t="s">
        <v>46</v>
      </c>
      <c r="G214" s="30" t="s">
        <v>46</v>
      </c>
      <c r="H214" s="31"/>
      <c r="I214" s="31" t="s">
        <v>630</v>
      </c>
      <c r="J214" s="32" t="n">
        <v>1.0</v>
      </c>
      <c r="K214" s="33" t="n">
        <f>11000</f>
        <v>11000.0</v>
      </c>
      <c r="L214" s="34" t="s">
        <v>49</v>
      </c>
      <c r="M214" s="33" t="n">
        <f>11000</f>
        <v>11000.0</v>
      </c>
      <c r="N214" s="34" t="s">
        <v>49</v>
      </c>
      <c r="O214" s="33" t="n">
        <f>10310</f>
        <v>10310.0</v>
      </c>
      <c r="P214" s="34" t="s">
        <v>85</v>
      </c>
      <c r="Q214" s="33" t="n">
        <f>10310</f>
        <v>10310.0</v>
      </c>
      <c r="R214" s="34" t="s">
        <v>85</v>
      </c>
      <c r="S214" s="35" t="n">
        <f>10596</f>
        <v>10596.0</v>
      </c>
      <c r="T214" s="32" t="n">
        <f>158</f>
        <v>158.0</v>
      </c>
      <c r="U214" s="32" t="str">
        <f>"－"</f>
        <v>－</v>
      </c>
      <c r="V214" s="32" t="n">
        <f>1645870</f>
        <v>1645870.0</v>
      </c>
      <c r="W214" s="32" t="str">
        <f>"－"</f>
        <v>－</v>
      </c>
      <c r="X214" s="36" t="n">
        <f>5</f>
        <v>5.0</v>
      </c>
    </row>
    <row r="215">
      <c r="A215" s="27" t="s">
        <v>42</v>
      </c>
      <c r="B215" s="27" t="s">
        <v>691</v>
      </c>
      <c r="C215" s="27" t="s">
        <v>692</v>
      </c>
      <c r="D215" s="27" t="s">
        <v>693</v>
      </c>
      <c r="E215" s="28" t="s">
        <v>46</v>
      </c>
      <c r="F215" s="29" t="s">
        <v>46</v>
      </c>
      <c r="G215" s="30" t="s">
        <v>46</v>
      </c>
      <c r="H215" s="31"/>
      <c r="I215" s="31" t="s">
        <v>630</v>
      </c>
      <c r="J215" s="32" t="n">
        <v>1.0</v>
      </c>
      <c r="K215" s="33" t="n">
        <f>9910</f>
        <v>9910.0</v>
      </c>
      <c r="L215" s="34" t="s">
        <v>48</v>
      </c>
      <c r="M215" s="33" t="n">
        <f>10130</f>
        <v>10130.0</v>
      </c>
      <c r="N215" s="34" t="s">
        <v>67</v>
      </c>
      <c r="O215" s="33" t="n">
        <f>9450</f>
        <v>9450.0</v>
      </c>
      <c r="P215" s="34" t="s">
        <v>50</v>
      </c>
      <c r="Q215" s="33" t="n">
        <f>9450</f>
        <v>9450.0</v>
      </c>
      <c r="R215" s="34" t="s">
        <v>50</v>
      </c>
      <c r="S215" s="35" t="n">
        <f>9843.75</f>
        <v>9843.75</v>
      </c>
      <c r="T215" s="32" t="n">
        <f>7045</f>
        <v>7045.0</v>
      </c>
      <c r="U215" s="32" t="str">
        <f>"－"</f>
        <v>－</v>
      </c>
      <c r="V215" s="32" t="n">
        <f>68869850</f>
        <v>6.886985E7</v>
      </c>
      <c r="W215" s="32" t="str">
        <f>"－"</f>
        <v>－</v>
      </c>
      <c r="X215" s="36" t="n">
        <f>16</f>
        <v>16.0</v>
      </c>
    </row>
    <row r="216">
      <c r="A216" s="27" t="s">
        <v>42</v>
      </c>
      <c r="B216" s="27" t="s">
        <v>694</v>
      </c>
      <c r="C216" s="27" t="s">
        <v>695</v>
      </c>
      <c r="D216" s="27" t="s">
        <v>696</v>
      </c>
      <c r="E216" s="28" t="s">
        <v>46</v>
      </c>
      <c r="F216" s="29" t="s">
        <v>46</v>
      </c>
      <c r="G216" s="30" t="s">
        <v>46</v>
      </c>
      <c r="H216" s="31"/>
      <c r="I216" s="31" t="s">
        <v>630</v>
      </c>
      <c r="J216" s="32" t="n">
        <v>1.0</v>
      </c>
      <c r="K216" s="33" t="n">
        <f>9920</f>
        <v>9920.0</v>
      </c>
      <c r="L216" s="34" t="s">
        <v>72</v>
      </c>
      <c r="M216" s="33" t="n">
        <f>10360</f>
        <v>10360.0</v>
      </c>
      <c r="N216" s="34" t="s">
        <v>166</v>
      </c>
      <c r="O216" s="33" t="n">
        <f>9920</f>
        <v>9920.0</v>
      </c>
      <c r="P216" s="34" t="s">
        <v>72</v>
      </c>
      <c r="Q216" s="33" t="n">
        <f>10030</f>
        <v>10030.0</v>
      </c>
      <c r="R216" s="34" t="s">
        <v>50</v>
      </c>
      <c r="S216" s="35" t="n">
        <f>10167.14</f>
        <v>10167.14</v>
      </c>
      <c r="T216" s="32" t="n">
        <f>6206</f>
        <v>6206.0</v>
      </c>
      <c r="U216" s="32" t="str">
        <f>"－"</f>
        <v>－</v>
      </c>
      <c r="V216" s="32" t="n">
        <f>63709860</f>
        <v>6.370986E7</v>
      </c>
      <c r="W216" s="32" t="str">
        <f>"－"</f>
        <v>－</v>
      </c>
      <c r="X216" s="36" t="n">
        <f>7</f>
        <v>7.0</v>
      </c>
    </row>
    <row r="217">
      <c r="A217" s="27" t="s">
        <v>42</v>
      </c>
      <c r="B217" s="27" t="s">
        <v>697</v>
      </c>
      <c r="C217" s="27" t="s">
        <v>698</v>
      </c>
      <c r="D217" s="27" t="s">
        <v>699</v>
      </c>
      <c r="E217" s="28" t="s">
        <v>46</v>
      </c>
      <c r="F217" s="29" t="s">
        <v>46</v>
      </c>
      <c r="G217" s="30" t="s">
        <v>46</v>
      </c>
      <c r="H217" s="31"/>
      <c r="I217" s="31" t="s">
        <v>630</v>
      </c>
      <c r="J217" s="32" t="n">
        <v>1.0</v>
      </c>
      <c r="K217" s="33" t="n">
        <f>10930</f>
        <v>10930.0</v>
      </c>
      <c r="L217" s="34" t="s">
        <v>116</v>
      </c>
      <c r="M217" s="33" t="n">
        <f>10970</f>
        <v>10970.0</v>
      </c>
      <c r="N217" s="34" t="s">
        <v>67</v>
      </c>
      <c r="O217" s="33" t="n">
        <f>10750</f>
        <v>10750.0</v>
      </c>
      <c r="P217" s="34" t="s">
        <v>85</v>
      </c>
      <c r="Q217" s="33" t="n">
        <f>10750</f>
        <v>10750.0</v>
      </c>
      <c r="R217" s="34" t="s">
        <v>85</v>
      </c>
      <c r="S217" s="35" t="n">
        <f>10903.33</f>
        <v>10903.33</v>
      </c>
      <c r="T217" s="32" t="n">
        <f>44</f>
        <v>44.0</v>
      </c>
      <c r="U217" s="32" t="str">
        <f>"－"</f>
        <v>－</v>
      </c>
      <c r="V217" s="32" t="n">
        <f>480630</f>
        <v>480630.0</v>
      </c>
      <c r="W217" s="32" t="str">
        <f>"－"</f>
        <v>－</v>
      </c>
      <c r="X217" s="36" t="n">
        <f>6</f>
        <v>6.0</v>
      </c>
    </row>
    <row r="218">
      <c r="A218" s="27" t="s">
        <v>42</v>
      </c>
      <c r="B218" s="27" t="s">
        <v>700</v>
      </c>
      <c r="C218" s="27" t="s">
        <v>701</v>
      </c>
      <c r="D218" s="27" t="s">
        <v>702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998</f>
        <v>998.0</v>
      </c>
      <c r="L218" s="34" t="s">
        <v>48</v>
      </c>
      <c r="M218" s="33" t="n">
        <f>999</f>
        <v>999.0</v>
      </c>
      <c r="N218" s="34" t="s">
        <v>48</v>
      </c>
      <c r="O218" s="33" t="n">
        <f>994</f>
        <v>994.0</v>
      </c>
      <c r="P218" s="34" t="s">
        <v>166</v>
      </c>
      <c r="Q218" s="33" t="n">
        <f>995</f>
        <v>995.0</v>
      </c>
      <c r="R218" s="34" t="s">
        <v>50</v>
      </c>
      <c r="S218" s="35" t="n">
        <f>996.57</f>
        <v>996.57</v>
      </c>
      <c r="T218" s="32" t="n">
        <f>113060</f>
        <v>113060.0</v>
      </c>
      <c r="U218" s="32" t="n">
        <f>10</f>
        <v>10.0</v>
      </c>
      <c r="V218" s="32" t="n">
        <f>112660510</f>
        <v>1.1266051E8</v>
      </c>
      <c r="W218" s="32" t="n">
        <f>9960</f>
        <v>9960.0</v>
      </c>
      <c r="X218" s="36" t="n">
        <f>21</f>
        <v>21.0</v>
      </c>
    </row>
    <row r="219">
      <c r="A219" s="27" t="s">
        <v>42</v>
      </c>
      <c r="B219" s="27" t="s">
        <v>703</v>
      </c>
      <c r="C219" s="27" t="s">
        <v>704</v>
      </c>
      <c r="D219" s="27" t="s">
        <v>705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1000</f>
        <v>1000.0</v>
      </c>
      <c r="L219" s="34" t="s">
        <v>48</v>
      </c>
      <c r="M219" s="33" t="n">
        <f>1009</f>
        <v>1009.0</v>
      </c>
      <c r="N219" s="34" t="s">
        <v>282</v>
      </c>
      <c r="O219" s="33" t="n">
        <f>985</f>
        <v>985.0</v>
      </c>
      <c r="P219" s="34" t="s">
        <v>50</v>
      </c>
      <c r="Q219" s="33" t="n">
        <f>985</f>
        <v>985.0</v>
      </c>
      <c r="R219" s="34" t="s">
        <v>50</v>
      </c>
      <c r="S219" s="35" t="n">
        <f>998.67</f>
        <v>998.67</v>
      </c>
      <c r="T219" s="32" t="n">
        <f>334460</f>
        <v>334460.0</v>
      </c>
      <c r="U219" s="32" t="n">
        <f>100910</f>
        <v>100910.0</v>
      </c>
      <c r="V219" s="32" t="n">
        <f>333490120</f>
        <v>3.3349012E8</v>
      </c>
      <c r="W219" s="32" t="n">
        <f>100328700</f>
        <v>1.003287E8</v>
      </c>
      <c r="X219" s="36" t="n">
        <f>21</f>
        <v>21.0</v>
      </c>
    </row>
    <row r="220">
      <c r="A220" s="27" t="s">
        <v>42</v>
      </c>
      <c r="B220" s="27" t="s">
        <v>706</v>
      </c>
      <c r="C220" s="27" t="s">
        <v>707</v>
      </c>
      <c r="D220" s="27" t="s">
        <v>708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1059</f>
        <v>1059.0</v>
      </c>
      <c r="L220" s="34" t="s">
        <v>48</v>
      </c>
      <c r="M220" s="33" t="n">
        <f>1063</f>
        <v>1063.0</v>
      </c>
      <c r="N220" s="34" t="s">
        <v>60</v>
      </c>
      <c r="O220" s="33" t="n">
        <f>1052</f>
        <v>1052.0</v>
      </c>
      <c r="P220" s="34" t="s">
        <v>49</v>
      </c>
      <c r="Q220" s="33" t="n">
        <f>1059</f>
        <v>1059.0</v>
      </c>
      <c r="R220" s="34" t="s">
        <v>50</v>
      </c>
      <c r="S220" s="35" t="n">
        <f>1058.24</f>
        <v>1058.24</v>
      </c>
      <c r="T220" s="32" t="n">
        <f>454380</f>
        <v>454380.0</v>
      </c>
      <c r="U220" s="32" t="n">
        <f>331450</f>
        <v>331450.0</v>
      </c>
      <c r="V220" s="32" t="n">
        <f>480704159</f>
        <v>4.80704159E8</v>
      </c>
      <c r="W220" s="32" t="n">
        <f>350693549</f>
        <v>3.50693549E8</v>
      </c>
      <c r="X220" s="36" t="n">
        <f>21</f>
        <v>21.0</v>
      </c>
    </row>
    <row r="221">
      <c r="A221" s="27" t="s">
        <v>42</v>
      </c>
      <c r="B221" s="27" t="s">
        <v>709</v>
      </c>
      <c r="C221" s="27" t="s">
        <v>710</v>
      </c>
      <c r="D221" s="27" t="s">
        <v>711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1118</f>
        <v>1118.0</v>
      </c>
      <c r="L221" s="34" t="s">
        <v>48</v>
      </c>
      <c r="M221" s="33" t="n">
        <f>1165</f>
        <v>1165.0</v>
      </c>
      <c r="N221" s="34" t="s">
        <v>166</v>
      </c>
      <c r="O221" s="33" t="n">
        <f>1061</f>
        <v>1061.0</v>
      </c>
      <c r="P221" s="34" t="s">
        <v>50</v>
      </c>
      <c r="Q221" s="33" t="n">
        <f>1061</f>
        <v>1061.0</v>
      </c>
      <c r="R221" s="34" t="s">
        <v>50</v>
      </c>
      <c r="S221" s="35" t="n">
        <f>1128.48</f>
        <v>1128.48</v>
      </c>
      <c r="T221" s="32" t="n">
        <f>785330</f>
        <v>785330.0</v>
      </c>
      <c r="U221" s="32" t="n">
        <f>269000</f>
        <v>269000.0</v>
      </c>
      <c r="V221" s="32" t="n">
        <f>891384890</f>
        <v>8.9138489E8</v>
      </c>
      <c r="W221" s="32" t="n">
        <f>308220200</f>
        <v>3.082202E8</v>
      </c>
      <c r="X221" s="36" t="n">
        <f>21</f>
        <v>21.0</v>
      </c>
    </row>
    <row r="222">
      <c r="A222" s="27" t="s">
        <v>42</v>
      </c>
      <c r="B222" s="27" t="s">
        <v>712</v>
      </c>
      <c r="C222" s="27" t="s">
        <v>713</v>
      </c>
      <c r="D222" s="27" t="s">
        <v>714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1164</f>
        <v>1164.0</v>
      </c>
      <c r="L222" s="34" t="s">
        <v>48</v>
      </c>
      <c r="M222" s="33" t="n">
        <f>1215</f>
        <v>1215.0</v>
      </c>
      <c r="N222" s="34" t="s">
        <v>166</v>
      </c>
      <c r="O222" s="33" t="n">
        <f>1114</f>
        <v>1114.0</v>
      </c>
      <c r="P222" s="34" t="s">
        <v>50</v>
      </c>
      <c r="Q222" s="33" t="n">
        <f>1114</f>
        <v>1114.0</v>
      </c>
      <c r="R222" s="34" t="s">
        <v>50</v>
      </c>
      <c r="S222" s="35" t="n">
        <f>1176.29</f>
        <v>1176.29</v>
      </c>
      <c r="T222" s="32" t="n">
        <f>72700</f>
        <v>72700.0</v>
      </c>
      <c r="U222" s="32" t="str">
        <f>"－"</f>
        <v>－</v>
      </c>
      <c r="V222" s="32" t="n">
        <f>83232150</f>
        <v>8.323215E7</v>
      </c>
      <c r="W222" s="32" t="str">
        <f>"－"</f>
        <v>－</v>
      </c>
      <c r="X222" s="36" t="n">
        <f>21</f>
        <v>21.0</v>
      </c>
    </row>
    <row r="223">
      <c r="A223" s="27" t="s">
        <v>42</v>
      </c>
      <c r="B223" s="27" t="s">
        <v>715</v>
      </c>
      <c r="C223" s="27" t="s">
        <v>716</v>
      </c>
      <c r="D223" s="27" t="s">
        <v>717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847</f>
        <v>847.0</v>
      </c>
      <c r="L223" s="34" t="s">
        <v>48</v>
      </c>
      <c r="M223" s="33" t="n">
        <f>878</f>
        <v>878.0</v>
      </c>
      <c r="N223" s="34" t="s">
        <v>67</v>
      </c>
      <c r="O223" s="33" t="n">
        <f>787</f>
        <v>787.0</v>
      </c>
      <c r="P223" s="34" t="s">
        <v>50</v>
      </c>
      <c r="Q223" s="33" t="n">
        <f>787</f>
        <v>787.0</v>
      </c>
      <c r="R223" s="34" t="s">
        <v>50</v>
      </c>
      <c r="S223" s="35" t="n">
        <f>844.62</f>
        <v>844.62</v>
      </c>
      <c r="T223" s="32" t="n">
        <f>520190</f>
        <v>520190.0</v>
      </c>
      <c r="U223" s="32" t="n">
        <f>10</f>
        <v>10.0</v>
      </c>
      <c r="V223" s="32" t="n">
        <f>436094020</f>
        <v>4.3609402E8</v>
      </c>
      <c r="W223" s="32" t="n">
        <f>8260</f>
        <v>8260.0</v>
      </c>
      <c r="X223" s="36" t="n">
        <f>21</f>
        <v>21.0</v>
      </c>
    </row>
    <row r="224">
      <c r="A224" s="27" t="s">
        <v>42</v>
      </c>
      <c r="B224" s="27" t="s">
        <v>718</v>
      </c>
      <c r="C224" s="27" t="s">
        <v>719</v>
      </c>
      <c r="D224" s="27" t="s">
        <v>720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955</f>
        <v>955.0</v>
      </c>
      <c r="L224" s="34" t="s">
        <v>48</v>
      </c>
      <c r="M224" s="33" t="n">
        <f>1049</f>
        <v>1049.0</v>
      </c>
      <c r="N224" s="34" t="s">
        <v>166</v>
      </c>
      <c r="O224" s="33" t="n">
        <f>895</f>
        <v>895.0</v>
      </c>
      <c r="P224" s="34" t="s">
        <v>50</v>
      </c>
      <c r="Q224" s="33" t="n">
        <f>902</f>
        <v>902.0</v>
      </c>
      <c r="R224" s="34" t="s">
        <v>50</v>
      </c>
      <c r="S224" s="35" t="n">
        <f>984.05</f>
        <v>984.05</v>
      </c>
      <c r="T224" s="32" t="n">
        <f>23799130</f>
        <v>2.379913E7</v>
      </c>
      <c r="U224" s="32" t="n">
        <f>8900</f>
        <v>8900.0</v>
      </c>
      <c r="V224" s="32" t="n">
        <f>23172153425</f>
        <v>2.3172153425E10</v>
      </c>
      <c r="W224" s="32" t="n">
        <f>8877965</f>
        <v>8877965.0</v>
      </c>
      <c r="X224" s="36" t="n">
        <f>21</f>
        <v>21.0</v>
      </c>
    </row>
    <row r="225">
      <c r="A225" s="27" t="s">
        <v>42</v>
      </c>
      <c r="B225" s="27" t="s">
        <v>721</v>
      </c>
      <c r="C225" s="27" t="s">
        <v>722</v>
      </c>
      <c r="D225" s="27" t="s">
        <v>723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1011</f>
        <v>1011.0</v>
      </c>
      <c r="L225" s="34" t="s">
        <v>48</v>
      </c>
      <c r="M225" s="33" t="n">
        <f>1039</f>
        <v>1039.0</v>
      </c>
      <c r="N225" s="34" t="s">
        <v>116</v>
      </c>
      <c r="O225" s="33" t="n">
        <f>961</f>
        <v>961.0</v>
      </c>
      <c r="P225" s="34" t="s">
        <v>68</v>
      </c>
      <c r="Q225" s="33" t="n">
        <f>964</f>
        <v>964.0</v>
      </c>
      <c r="R225" s="34" t="s">
        <v>50</v>
      </c>
      <c r="S225" s="35" t="n">
        <f>1001.75</f>
        <v>1001.75</v>
      </c>
      <c r="T225" s="32" t="n">
        <f>164150</f>
        <v>164150.0</v>
      </c>
      <c r="U225" s="32" t="str">
        <f>"－"</f>
        <v>－</v>
      </c>
      <c r="V225" s="32" t="n">
        <f>164692640</f>
        <v>1.6469264E8</v>
      </c>
      <c r="W225" s="32" t="str">
        <f>"－"</f>
        <v>－</v>
      </c>
      <c r="X225" s="36" t="n">
        <f>20</f>
        <v>20.0</v>
      </c>
    </row>
    <row r="226">
      <c r="A226" s="27" t="s">
        <v>42</v>
      </c>
      <c r="B226" s="27" t="s">
        <v>724</v>
      </c>
      <c r="C226" s="27" t="s">
        <v>725</v>
      </c>
      <c r="D226" s="27" t="s">
        <v>726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966</f>
        <v>966.0</v>
      </c>
      <c r="L226" s="34" t="s">
        <v>48</v>
      </c>
      <c r="M226" s="33" t="n">
        <f>978</f>
        <v>978.0</v>
      </c>
      <c r="N226" s="34" t="s">
        <v>67</v>
      </c>
      <c r="O226" s="33" t="n">
        <f>925</f>
        <v>925.0</v>
      </c>
      <c r="P226" s="34" t="s">
        <v>50</v>
      </c>
      <c r="Q226" s="33" t="n">
        <f>925</f>
        <v>925.0</v>
      </c>
      <c r="R226" s="34" t="s">
        <v>50</v>
      </c>
      <c r="S226" s="35" t="n">
        <f>957.29</f>
        <v>957.29</v>
      </c>
      <c r="T226" s="32" t="n">
        <f>51308</f>
        <v>51308.0</v>
      </c>
      <c r="U226" s="32" t="n">
        <f>1</f>
        <v>1.0</v>
      </c>
      <c r="V226" s="32" t="n">
        <f>49481926</f>
        <v>4.9481926E7</v>
      </c>
      <c r="W226" s="32" t="n">
        <f>959</f>
        <v>959.0</v>
      </c>
      <c r="X226" s="36" t="n">
        <f>21</f>
        <v>21.0</v>
      </c>
    </row>
    <row r="227">
      <c r="A227" s="27" t="s">
        <v>42</v>
      </c>
      <c r="B227" s="27" t="s">
        <v>727</v>
      </c>
      <c r="C227" s="27" t="s">
        <v>728</v>
      </c>
      <c r="D227" s="27" t="s">
        <v>729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1010</f>
        <v>1010.0</v>
      </c>
      <c r="L227" s="34" t="s">
        <v>48</v>
      </c>
      <c r="M227" s="33" t="n">
        <f>1022</f>
        <v>1022.0</v>
      </c>
      <c r="N227" s="34" t="s">
        <v>92</v>
      </c>
      <c r="O227" s="33" t="n">
        <f>986</f>
        <v>986.0</v>
      </c>
      <c r="P227" s="34" t="s">
        <v>50</v>
      </c>
      <c r="Q227" s="33" t="n">
        <f>986</f>
        <v>986.0</v>
      </c>
      <c r="R227" s="34" t="s">
        <v>50</v>
      </c>
      <c r="S227" s="35" t="n">
        <f>1005.05</f>
        <v>1005.05</v>
      </c>
      <c r="T227" s="32" t="n">
        <f>40080</f>
        <v>40080.0</v>
      </c>
      <c r="U227" s="32" t="n">
        <f>10</f>
        <v>10.0</v>
      </c>
      <c r="V227" s="32" t="n">
        <f>40191630</f>
        <v>4.019163E7</v>
      </c>
      <c r="W227" s="32" t="n">
        <f>10010</f>
        <v>10010.0</v>
      </c>
      <c r="X227" s="36" t="n">
        <f>21</f>
        <v>21.0</v>
      </c>
    </row>
    <row r="228">
      <c r="A228" s="27" t="s">
        <v>42</v>
      </c>
      <c r="B228" s="27" t="s">
        <v>730</v>
      </c>
      <c r="C228" s="27" t="s">
        <v>731</v>
      </c>
      <c r="D228" s="27" t="s">
        <v>732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992</f>
        <v>992.0</v>
      </c>
      <c r="L228" s="34" t="s">
        <v>48</v>
      </c>
      <c r="M228" s="33" t="n">
        <f>1036</f>
        <v>1036.0</v>
      </c>
      <c r="N228" s="34" t="s">
        <v>166</v>
      </c>
      <c r="O228" s="33" t="n">
        <f>968</f>
        <v>968.0</v>
      </c>
      <c r="P228" s="34" t="s">
        <v>48</v>
      </c>
      <c r="Q228" s="33" t="n">
        <f>985</f>
        <v>985.0</v>
      </c>
      <c r="R228" s="34" t="s">
        <v>50</v>
      </c>
      <c r="S228" s="35" t="n">
        <f>1013.43</f>
        <v>1013.43</v>
      </c>
      <c r="T228" s="32" t="n">
        <f>48180</f>
        <v>48180.0</v>
      </c>
      <c r="U228" s="32" t="str">
        <f>"－"</f>
        <v>－</v>
      </c>
      <c r="V228" s="32" t="n">
        <f>48873760</f>
        <v>4.887376E7</v>
      </c>
      <c r="W228" s="32" t="str">
        <f>"－"</f>
        <v>－</v>
      </c>
      <c r="X228" s="36" t="n">
        <f>21</f>
        <v>21.0</v>
      </c>
    </row>
    <row r="229">
      <c r="A229" s="27" t="s">
        <v>42</v>
      </c>
      <c r="B229" s="27" t="s">
        <v>733</v>
      </c>
      <c r="C229" s="27" t="s">
        <v>734</v>
      </c>
      <c r="D229" s="27" t="s">
        <v>735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1185</f>
        <v>1185.0</v>
      </c>
      <c r="L229" s="34" t="s">
        <v>48</v>
      </c>
      <c r="M229" s="33" t="n">
        <f>1242</f>
        <v>1242.0</v>
      </c>
      <c r="N229" s="34" t="s">
        <v>166</v>
      </c>
      <c r="O229" s="33" t="n">
        <f>1138</f>
        <v>1138.0</v>
      </c>
      <c r="P229" s="34" t="s">
        <v>50</v>
      </c>
      <c r="Q229" s="33" t="n">
        <f>1138</f>
        <v>1138.0</v>
      </c>
      <c r="R229" s="34" t="s">
        <v>50</v>
      </c>
      <c r="S229" s="35" t="n">
        <f>1201.24</f>
        <v>1201.24</v>
      </c>
      <c r="T229" s="32" t="n">
        <f>13858910</f>
        <v>1.385891E7</v>
      </c>
      <c r="U229" s="32" t="n">
        <f>5144020</f>
        <v>5144020.0</v>
      </c>
      <c r="V229" s="32" t="n">
        <f>16634043300</f>
        <v>1.66340433E10</v>
      </c>
      <c r="W229" s="32" t="n">
        <f>6164442460</f>
        <v>6.16444246E9</v>
      </c>
      <c r="X229" s="36" t="n">
        <f>21</f>
        <v>21.0</v>
      </c>
    </row>
    <row r="230">
      <c r="A230" s="27" t="s">
        <v>42</v>
      </c>
      <c r="B230" s="27" t="s">
        <v>736</v>
      </c>
      <c r="C230" s="27" t="s">
        <v>737</v>
      </c>
      <c r="D230" s="27" t="s">
        <v>738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2736</f>
        <v>2736.0</v>
      </c>
      <c r="L230" s="34" t="s">
        <v>48</v>
      </c>
      <c r="M230" s="33" t="n">
        <f>2887</f>
        <v>2887.0</v>
      </c>
      <c r="N230" s="34" t="s">
        <v>166</v>
      </c>
      <c r="O230" s="33" t="n">
        <f>2689</f>
        <v>2689.0</v>
      </c>
      <c r="P230" s="34" t="s">
        <v>48</v>
      </c>
      <c r="Q230" s="33" t="n">
        <f>2731</f>
        <v>2731.0</v>
      </c>
      <c r="R230" s="34" t="s">
        <v>50</v>
      </c>
      <c r="S230" s="35" t="n">
        <f>2814.24</f>
        <v>2814.24</v>
      </c>
      <c r="T230" s="32" t="n">
        <f>62574</f>
        <v>62574.0</v>
      </c>
      <c r="U230" s="32" t="str">
        <f>"－"</f>
        <v>－</v>
      </c>
      <c r="V230" s="32" t="n">
        <f>176313808</f>
        <v>1.76313808E8</v>
      </c>
      <c r="W230" s="32" t="str">
        <f>"－"</f>
        <v>－</v>
      </c>
      <c r="X230" s="36" t="n">
        <f>21</f>
        <v>21.0</v>
      </c>
    </row>
    <row r="231">
      <c r="A231" s="27" t="s">
        <v>42</v>
      </c>
      <c r="B231" s="27" t="s">
        <v>739</v>
      </c>
      <c r="C231" s="27" t="s">
        <v>740</v>
      </c>
      <c r="D231" s="27" t="s">
        <v>741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2010</f>
        <v>2010.0</v>
      </c>
      <c r="L231" s="34" t="s">
        <v>49</v>
      </c>
      <c r="M231" s="33" t="n">
        <f>2010</f>
        <v>2010.0</v>
      </c>
      <c r="N231" s="34" t="s">
        <v>49</v>
      </c>
      <c r="O231" s="33" t="n">
        <f>1437</f>
        <v>1437.0</v>
      </c>
      <c r="P231" s="34" t="s">
        <v>68</v>
      </c>
      <c r="Q231" s="33" t="n">
        <f>1439</f>
        <v>1439.0</v>
      </c>
      <c r="R231" s="34" t="s">
        <v>50</v>
      </c>
      <c r="S231" s="35" t="n">
        <f>1501.2</f>
        <v>1501.2</v>
      </c>
      <c r="T231" s="32" t="n">
        <f>9830</f>
        <v>9830.0</v>
      </c>
      <c r="U231" s="32" t="str">
        <f>"－"</f>
        <v>－</v>
      </c>
      <c r="V231" s="32" t="n">
        <f>15251540</f>
        <v>1.525154E7</v>
      </c>
      <c r="W231" s="32" t="str">
        <f>"－"</f>
        <v>－</v>
      </c>
      <c r="X231" s="36" t="n">
        <f>15</f>
        <v>15.0</v>
      </c>
    </row>
    <row r="232">
      <c r="A232" s="27" t="s">
        <v>42</v>
      </c>
      <c r="B232" s="27" t="s">
        <v>742</v>
      </c>
      <c r="C232" s="27" t="s">
        <v>743</v>
      </c>
      <c r="D232" s="27" t="s">
        <v>744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1666</f>
        <v>1666.0</v>
      </c>
      <c r="L232" s="34" t="s">
        <v>72</v>
      </c>
      <c r="M232" s="33" t="n">
        <f>1687</f>
        <v>1687.0</v>
      </c>
      <c r="N232" s="34" t="s">
        <v>67</v>
      </c>
      <c r="O232" s="33" t="n">
        <f>1634</f>
        <v>1634.0</v>
      </c>
      <c r="P232" s="34" t="s">
        <v>85</v>
      </c>
      <c r="Q232" s="33" t="n">
        <f>1644</f>
        <v>1644.0</v>
      </c>
      <c r="R232" s="34" t="s">
        <v>85</v>
      </c>
      <c r="S232" s="35" t="n">
        <f>1662.83</f>
        <v>1662.83</v>
      </c>
      <c r="T232" s="32" t="n">
        <f>127130</f>
        <v>127130.0</v>
      </c>
      <c r="U232" s="32" t="str">
        <f>"－"</f>
        <v>－</v>
      </c>
      <c r="V232" s="32" t="n">
        <f>212171650</f>
        <v>2.1217165E8</v>
      </c>
      <c r="W232" s="32" t="str">
        <f>"－"</f>
        <v>－</v>
      </c>
      <c r="X232" s="36" t="n">
        <f>6</f>
        <v>6.0</v>
      </c>
    </row>
    <row r="233">
      <c r="A233" s="27" t="s">
        <v>42</v>
      </c>
      <c r="B233" s="27" t="s">
        <v>745</v>
      </c>
      <c r="C233" s="27" t="s">
        <v>746</v>
      </c>
      <c r="D233" s="27" t="s">
        <v>747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str">
        <f>"－"</f>
        <v>－</v>
      </c>
      <c r="L233" s="34"/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5" t="str">
        <f>"－"</f>
        <v>－</v>
      </c>
      <c r="T233" s="32" t="str">
        <f>"－"</f>
        <v>－</v>
      </c>
      <c r="U233" s="32" t="str">
        <f>"－"</f>
        <v>－</v>
      </c>
      <c r="V233" s="32" t="str">
        <f>"－"</f>
        <v>－</v>
      </c>
      <c r="W233" s="32" t="str">
        <f>"－"</f>
        <v>－</v>
      </c>
      <c r="X233" s="36" t="str">
        <f>"－"</f>
        <v>－</v>
      </c>
    </row>
    <row r="234">
      <c r="A234" s="27" t="s">
        <v>42</v>
      </c>
      <c r="B234" s="27" t="s">
        <v>748</v>
      </c>
      <c r="C234" s="27" t="s">
        <v>749</v>
      </c>
      <c r="D234" s="27" t="s">
        <v>750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14860</f>
        <v>14860.0</v>
      </c>
      <c r="L234" s="34" t="s">
        <v>48</v>
      </c>
      <c r="M234" s="33" t="n">
        <f>15070</f>
        <v>15070.0</v>
      </c>
      <c r="N234" s="34" t="s">
        <v>67</v>
      </c>
      <c r="O234" s="33" t="n">
        <f>14430</f>
        <v>14430.0</v>
      </c>
      <c r="P234" s="34" t="s">
        <v>50</v>
      </c>
      <c r="Q234" s="33" t="n">
        <f>14430</f>
        <v>14430.0</v>
      </c>
      <c r="R234" s="34" t="s">
        <v>50</v>
      </c>
      <c r="S234" s="35" t="n">
        <f>14846.5</f>
        <v>14846.5</v>
      </c>
      <c r="T234" s="32" t="n">
        <f>124987</f>
        <v>124987.0</v>
      </c>
      <c r="U234" s="32" t="n">
        <f>55000</f>
        <v>55000.0</v>
      </c>
      <c r="V234" s="32" t="n">
        <f>1867635710</f>
        <v>1.86763571E9</v>
      </c>
      <c r="W234" s="32" t="n">
        <f>825165000</f>
        <v>8.25165E8</v>
      </c>
      <c r="X234" s="36" t="n">
        <f>20</f>
        <v>20.0</v>
      </c>
    </row>
    <row r="235">
      <c r="A235" s="27" t="s">
        <v>42</v>
      </c>
      <c r="B235" s="27" t="s">
        <v>751</v>
      </c>
      <c r="C235" s="27" t="s">
        <v>752</v>
      </c>
      <c r="D235" s="27" t="s">
        <v>753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1033</f>
        <v>1033.0</v>
      </c>
      <c r="L235" s="34" t="s">
        <v>48</v>
      </c>
      <c r="M235" s="33" t="n">
        <f>1035</f>
        <v>1035.0</v>
      </c>
      <c r="N235" s="34" t="s">
        <v>116</v>
      </c>
      <c r="O235" s="33" t="n">
        <f>978</f>
        <v>978.0</v>
      </c>
      <c r="P235" s="34" t="s">
        <v>177</v>
      </c>
      <c r="Q235" s="33" t="n">
        <f>979</f>
        <v>979.0</v>
      </c>
      <c r="R235" s="34" t="s">
        <v>68</v>
      </c>
      <c r="S235" s="35" t="n">
        <f>1007.73</f>
        <v>1007.73</v>
      </c>
      <c r="T235" s="32" t="n">
        <f>36330</f>
        <v>36330.0</v>
      </c>
      <c r="U235" s="32" t="n">
        <f>20010</f>
        <v>20010.0</v>
      </c>
      <c r="V235" s="32" t="n">
        <f>35763440</f>
        <v>3.576344E7</v>
      </c>
      <c r="W235" s="32" t="n">
        <f>19597880</f>
        <v>1.959788E7</v>
      </c>
      <c r="X235" s="36" t="n">
        <f>15</f>
        <v>15.0</v>
      </c>
    </row>
    <row r="236">
      <c r="A236" s="27" t="s">
        <v>42</v>
      </c>
      <c r="B236" s="27" t="s">
        <v>754</v>
      </c>
      <c r="C236" s="27" t="s">
        <v>755</v>
      </c>
      <c r="D236" s="27" t="s">
        <v>756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1012</f>
        <v>1012.0</v>
      </c>
      <c r="L236" s="34" t="s">
        <v>48</v>
      </c>
      <c r="M236" s="33" t="n">
        <f>1032</f>
        <v>1032.0</v>
      </c>
      <c r="N236" s="34" t="s">
        <v>116</v>
      </c>
      <c r="O236" s="33" t="n">
        <f>958</f>
        <v>958.0</v>
      </c>
      <c r="P236" s="34" t="s">
        <v>50</v>
      </c>
      <c r="Q236" s="33" t="n">
        <f>959</f>
        <v>959.0</v>
      </c>
      <c r="R236" s="34" t="s">
        <v>50</v>
      </c>
      <c r="S236" s="35" t="n">
        <f>998.29</f>
        <v>998.29</v>
      </c>
      <c r="T236" s="32" t="n">
        <f>124550</f>
        <v>124550.0</v>
      </c>
      <c r="U236" s="32" t="n">
        <f>100000</f>
        <v>100000.0</v>
      </c>
      <c r="V236" s="32" t="n">
        <f>126088740</f>
        <v>1.2608874E8</v>
      </c>
      <c r="W236" s="32" t="n">
        <f>101587000</f>
        <v>1.01587E8</v>
      </c>
      <c r="X236" s="36" t="n">
        <f>21</f>
        <v>21.0</v>
      </c>
    </row>
    <row r="237">
      <c r="A237" s="27" t="s">
        <v>42</v>
      </c>
      <c r="B237" s="27" t="s">
        <v>757</v>
      </c>
      <c r="C237" s="27" t="s">
        <v>758</v>
      </c>
      <c r="D237" s="27" t="s">
        <v>759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887</f>
        <v>887.0</v>
      </c>
      <c r="L237" s="34" t="s">
        <v>48</v>
      </c>
      <c r="M237" s="33" t="n">
        <f>903</f>
        <v>903.0</v>
      </c>
      <c r="N237" s="34" t="s">
        <v>49</v>
      </c>
      <c r="O237" s="33" t="n">
        <f>846</f>
        <v>846.0</v>
      </c>
      <c r="P237" s="34" t="s">
        <v>50</v>
      </c>
      <c r="Q237" s="33" t="n">
        <f>849</f>
        <v>849.0</v>
      </c>
      <c r="R237" s="34" t="s">
        <v>50</v>
      </c>
      <c r="S237" s="35" t="n">
        <f>882.81</f>
        <v>882.81</v>
      </c>
      <c r="T237" s="32" t="n">
        <f>30626</f>
        <v>30626.0</v>
      </c>
      <c r="U237" s="32" t="str">
        <f>"－"</f>
        <v>－</v>
      </c>
      <c r="V237" s="32" t="n">
        <f>26901823</f>
        <v>2.6901823E7</v>
      </c>
      <c r="W237" s="32" t="str">
        <f>"－"</f>
        <v>－</v>
      </c>
      <c r="X237" s="36" t="n">
        <f>21</f>
        <v>21.0</v>
      </c>
    </row>
    <row r="238">
      <c r="A238" s="27" t="s">
        <v>42</v>
      </c>
      <c r="B238" s="27" t="s">
        <v>760</v>
      </c>
      <c r="C238" s="27" t="s">
        <v>761</v>
      </c>
      <c r="D238" s="27" t="s">
        <v>762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11650</f>
        <v>11650.0</v>
      </c>
      <c r="L238" s="34" t="s">
        <v>48</v>
      </c>
      <c r="M238" s="33" t="n">
        <f>12440</f>
        <v>12440.0</v>
      </c>
      <c r="N238" s="34" t="s">
        <v>220</v>
      </c>
      <c r="O238" s="33" t="n">
        <f>11150</f>
        <v>11150.0</v>
      </c>
      <c r="P238" s="34" t="s">
        <v>116</v>
      </c>
      <c r="Q238" s="33" t="n">
        <f>12000</f>
        <v>12000.0</v>
      </c>
      <c r="R238" s="34" t="s">
        <v>50</v>
      </c>
      <c r="S238" s="35" t="n">
        <f>11929.52</f>
        <v>11929.52</v>
      </c>
      <c r="T238" s="32" t="n">
        <f>1447</f>
        <v>1447.0</v>
      </c>
      <c r="U238" s="32" t="str">
        <f>"－"</f>
        <v>－</v>
      </c>
      <c r="V238" s="32" t="n">
        <f>17332540</f>
        <v>1.733254E7</v>
      </c>
      <c r="W238" s="32" t="str">
        <f>"－"</f>
        <v>－</v>
      </c>
      <c r="X238" s="36" t="n">
        <f>21</f>
        <v>21.0</v>
      </c>
    </row>
    <row r="239">
      <c r="A239" s="27" t="s">
        <v>42</v>
      </c>
      <c r="B239" s="27" t="s">
        <v>763</v>
      </c>
      <c r="C239" s="27" t="s">
        <v>764</v>
      </c>
      <c r="D239" s="27" t="s">
        <v>765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1856</f>
        <v>1856.0</v>
      </c>
      <c r="L239" s="34" t="s">
        <v>48</v>
      </c>
      <c r="M239" s="33" t="n">
        <f>1877</f>
        <v>1877.0</v>
      </c>
      <c r="N239" s="34" t="s">
        <v>96</v>
      </c>
      <c r="O239" s="33" t="n">
        <f>1729</f>
        <v>1729.0</v>
      </c>
      <c r="P239" s="34" t="s">
        <v>68</v>
      </c>
      <c r="Q239" s="33" t="n">
        <f>1731</f>
        <v>1731.0</v>
      </c>
      <c r="R239" s="34" t="s">
        <v>50</v>
      </c>
      <c r="S239" s="35" t="n">
        <f>1806.9</f>
        <v>1806.9</v>
      </c>
      <c r="T239" s="32" t="n">
        <f>13304</f>
        <v>13304.0</v>
      </c>
      <c r="U239" s="32" t="n">
        <f>1</f>
        <v>1.0</v>
      </c>
      <c r="V239" s="32" t="n">
        <f>23788221</f>
        <v>2.3788221E7</v>
      </c>
      <c r="W239" s="32" t="n">
        <f>1825</f>
        <v>1825.0</v>
      </c>
      <c r="X239" s="36" t="n">
        <f>21</f>
        <v>21.0</v>
      </c>
    </row>
    <row r="240">
      <c r="A240" s="27" t="s">
        <v>42</v>
      </c>
      <c r="B240" s="27" t="s">
        <v>766</v>
      </c>
      <c r="C240" s="27" t="s">
        <v>767</v>
      </c>
      <c r="D240" s="27" t="s">
        <v>768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1350</f>
        <v>1350.0</v>
      </c>
      <c r="L240" s="34" t="s">
        <v>72</v>
      </c>
      <c r="M240" s="33" t="n">
        <f>1438</f>
        <v>1438.0</v>
      </c>
      <c r="N240" s="34" t="s">
        <v>103</v>
      </c>
      <c r="O240" s="33" t="n">
        <f>1350</f>
        <v>1350.0</v>
      </c>
      <c r="P240" s="34" t="s">
        <v>72</v>
      </c>
      <c r="Q240" s="33" t="n">
        <f>1429</f>
        <v>1429.0</v>
      </c>
      <c r="R240" s="34" t="s">
        <v>85</v>
      </c>
      <c r="S240" s="35" t="n">
        <f>1392.6</f>
        <v>1392.6</v>
      </c>
      <c r="T240" s="32" t="n">
        <f>540</f>
        <v>540.0</v>
      </c>
      <c r="U240" s="32" t="str">
        <f>"－"</f>
        <v>－</v>
      </c>
      <c r="V240" s="32" t="n">
        <f>762100</f>
        <v>762100.0</v>
      </c>
      <c r="W240" s="32" t="str">
        <f>"－"</f>
        <v>－</v>
      </c>
      <c r="X240" s="36" t="n">
        <f>10</f>
        <v>10.0</v>
      </c>
    </row>
    <row r="241">
      <c r="A241" s="27" t="s">
        <v>42</v>
      </c>
      <c r="B241" s="27" t="s">
        <v>769</v>
      </c>
      <c r="C241" s="27" t="s">
        <v>770</v>
      </c>
      <c r="D241" s="27" t="s">
        <v>771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1023</f>
        <v>1023.0</v>
      </c>
      <c r="L241" s="34" t="s">
        <v>48</v>
      </c>
      <c r="M241" s="33" t="n">
        <f>1033</f>
        <v>1033.0</v>
      </c>
      <c r="N241" s="34" t="s">
        <v>92</v>
      </c>
      <c r="O241" s="33" t="n">
        <f>1019</f>
        <v>1019.0</v>
      </c>
      <c r="P241" s="34" t="s">
        <v>72</v>
      </c>
      <c r="Q241" s="33" t="n">
        <f>1024</f>
        <v>1024.0</v>
      </c>
      <c r="R241" s="34" t="s">
        <v>50</v>
      </c>
      <c r="S241" s="35" t="n">
        <f>1023.6</f>
        <v>1023.6</v>
      </c>
      <c r="T241" s="32" t="n">
        <f>21870</f>
        <v>21870.0</v>
      </c>
      <c r="U241" s="32" t="str">
        <f>"－"</f>
        <v>－</v>
      </c>
      <c r="V241" s="32" t="n">
        <f>22401240</f>
        <v>2.240124E7</v>
      </c>
      <c r="W241" s="32" t="str">
        <f>"－"</f>
        <v>－</v>
      </c>
      <c r="X241" s="36" t="n">
        <f>20</f>
        <v>20.0</v>
      </c>
    </row>
    <row r="242">
      <c r="A242" s="27" t="s">
        <v>42</v>
      </c>
      <c r="B242" s="27" t="s">
        <v>772</v>
      </c>
      <c r="C242" s="27" t="s">
        <v>773</v>
      </c>
      <c r="D242" s="27" t="s">
        <v>774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1777</f>
        <v>1777.0</v>
      </c>
      <c r="L242" s="34" t="s">
        <v>48</v>
      </c>
      <c r="M242" s="33" t="n">
        <f>1809</f>
        <v>1809.0</v>
      </c>
      <c r="N242" s="34" t="s">
        <v>116</v>
      </c>
      <c r="O242" s="33" t="n">
        <f>1651</f>
        <v>1651.0</v>
      </c>
      <c r="P242" s="34" t="s">
        <v>68</v>
      </c>
      <c r="Q242" s="33" t="n">
        <f>1672</f>
        <v>1672.0</v>
      </c>
      <c r="R242" s="34" t="s">
        <v>50</v>
      </c>
      <c r="S242" s="35" t="n">
        <f>1728.1</f>
        <v>1728.1</v>
      </c>
      <c r="T242" s="32" t="n">
        <f>45710</f>
        <v>45710.0</v>
      </c>
      <c r="U242" s="32" t="n">
        <f>20</f>
        <v>20.0</v>
      </c>
      <c r="V242" s="32" t="n">
        <f>78658980</f>
        <v>7.865898E7</v>
      </c>
      <c r="W242" s="32" t="n">
        <f>34050</f>
        <v>34050.0</v>
      </c>
      <c r="X242" s="36" t="n">
        <f>21</f>
        <v>21.0</v>
      </c>
    </row>
    <row r="243">
      <c r="A243" s="27" t="s">
        <v>42</v>
      </c>
      <c r="B243" s="27" t="s">
        <v>775</v>
      </c>
      <c r="C243" s="27" t="s">
        <v>776</v>
      </c>
      <c r="D243" s="27" t="s">
        <v>777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1769</f>
        <v>1769.0</v>
      </c>
      <c r="L243" s="34" t="s">
        <v>48</v>
      </c>
      <c r="M243" s="33" t="n">
        <f>1789</f>
        <v>1789.0</v>
      </c>
      <c r="N243" s="34" t="s">
        <v>96</v>
      </c>
      <c r="O243" s="33" t="n">
        <f>1640</f>
        <v>1640.0</v>
      </c>
      <c r="P243" s="34" t="s">
        <v>68</v>
      </c>
      <c r="Q243" s="33" t="n">
        <f>1652</f>
        <v>1652.0</v>
      </c>
      <c r="R243" s="34" t="s">
        <v>50</v>
      </c>
      <c r="S243" s="35" t="n">
        <f>1722.19</f>
        <v>1722.19</v>
      </c>
      <c r="T243" s="32" t="n">
        <f>172770</f>
        <v>172770.0</v>
      </c>
      <c r="U243" s="32" t="n">
        <f>20010</f>
        <v>20010.0</v>
      </c>
      <c r="V243" s="32" t="n">
        <f>297116340</f>
        <v>2.9711634E8</v>
      </c>
      <c r="W243" s="32" t="n">
        <f>33144610</f>
        <v>3.314461E7</v>
      </c>
      <c r="X243" s="36" t="n">
        <f>21</f>
        <v>21.0</v>
      </c>
    </row>
    <row r="244">
      <c r="A244" s="27" t="s">
        <v>42</v>
      </c>
      <c r="B244" s="27" t="s">
        <v>778</v>
      </c>
      <c r="C244" s="27" t="s">
        <v>779</v>
      </c>
      <c r="D244" s="27" t="s">
        <v>780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1654</f>
        <v>1654.0</v>
      </c>
      <c r="L244" s="34" t="s">
        <v>72</v>
      </c>
      <c r="M244" s="33" t="n">
        <f>1661</f>
        <v>1661.0</v>
      </c>
      <c r="N244" s="34" t="s">
        <v>96</v>
      </c>
      <c r="O244" s="33" t="n">
        <f>1585</f>
        <v>1585.0</v>
      </c>
      <c r="P244" s="34" t="s">
        <v>50</v>
      </c>
      <c r="Q244" s="33" t="n">
        <f>1585</f>
        <v>1585.0</v>
      </c>
      <c r="R244" s="34" t="s">
        <v>50</v>
      </c>
      <c r="S244" s="35" t="n">
        <f>1627.22</f>
        <v>1627.22</v>
      </c>
      <c r="T244" s="32" t="n">
        <f>600370</f>
        <v>600370.0</v>
      </c>
      <c r="U244" s="32" t="n">
        <f>600000</f>
        <v>600000.0</v>
      </c>
      <c r="V244" s="32" t="n">
        <f>993095330</f>
        <v>9.9309533E8</v>
      </c>
      <c r="W244" s="32" t="n">
        <f>992490000</f>
        <v>9.9249E8</v>
      </c>
      <c r="X244" s="36" t="n">
        <f>9</f>
        <v>9.0</v>
      </c>
    </row>
    <row r="245">
      <c r="A245" s="27" t="s">
        <v>42</v>
      </c>
      <c r="B245" s="27" t="s">
        <v>781</v>
      </c>
      <c r="C245" s="27" t="s">
        <v>782</v>
      </c>
      <c r="D245" s="27" t="s">
        <v>783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10220</f>
        <v>10220.0</v>
      </c>
      <c r="L245" s="34" t="s">
        <v>48</v>
      </c>
      <c r="M245" s="33" t="n">
        <f>10690</f>
        <v>10690.0</v>
      </c>
      <c r="N245" s="34" t="s">
        <v>166</v>
      </c>
      <c r="O245" s="33" t="n">
        <f>9700</f>
        <v>9700.0</v>
      </c>
      <c r="P245" s="34" t="s">
        <v>50</v>
      </c>
      <c r="Q245" s="33" t="n">
        <f>9700</f>
        <v>9700.0</v>
      </c>
      <c r="R245" s="34" t="s">
        <v>50</v>
      </c>
      <c r="S245" s="35" t="n">
        <f>10316.19</f>
        <v>10316.19</v>
      </c>
      <c r="T245" s="32" t="n">
        <f>257377</f>
        <v>257377.0</v>
      </c>
      <c r="U245" s="32" t="n">
        <f>20000</f>
        <v>20000.0</v>
      </c>
      <c r="V245" s="32" t="n">
        <f>2630041580</f>
        <v>2.63004158E9</v>
      </c>
      <c r="W245" s="32" t="n">
        <f>205900000</f>
        <v>2.059E8</v>
      </c>
      <c r="X245" s="36" t="n">
        <f>21</f>
        <v>21.0</v>
      </c>
    </row>
    <row r="246">
      <c r="A246" s="27" t="s">
        <v>42</v>
      </c>
      <c r="B246" s="27" t="s">
        <v>784</v>
      </c>
      <c r="C246" s="27" t="s">
        <v>785</v>
      </c>
      <c r="D246" s="27" t="s">
        <v>786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9940</f>
        <v>9940.0</v>
      </c>
      <c r="L246" s="34" t="s">
        <v>48</v>
      </c>
      <c r="M246" s="33" t="n">
        <f>10350</f>
        <v>10350.0</v>
      </c>
      <c r="N246" s="34" t="s">
        <v>166</v>
      </c>
      <c r="O246" s="33" t="n">
        <f>9440</f>
        <v>9440.0</v>
      </c>
      <c r="P246" s="34" t="s">
        <v>50</v>
      </c>
      <c r="Q246" s="33" t="n">
        <f>9450</f>
        <v>9450.0</v>
      </c>
      <c r="R246" s="34" t="s">
        <v>50</v>
      </c>
      <c r="S246" s="35" t="n">
        <f>10015.24</f>
        <v>10015.24</v>
      </c>
      <c r="T246" s="32" t="n">
        <f>77751</f>
        <v>77751.0</v>
      </c>
      <c r="U246" s="32" t="n">
        <f>2</f>
        <v>2.0</v>
      </c>
      <c r="V246" s="32" t="n">
        <f>775511770</f>
        <v>7.7551177E8</v>
      </c>
      <c r="W246" s="32" t="n">
        <f>20260</f>
        <v>20260.0</v>
      </c>
      <c r="X246" s="36" t="n">
        <f>21</f>
        <v>21.0</v>
      </c>
    </row>
    <row r="247">
      <c r="A247" s="27" t="s">
        <v>42</v>
      </c>
      <c r="B247" s="27" t="s">
        <v>787</v>
      </c>
      <c r="C247" s="27" t="s">
        <v>788</v>
      </c>
      <c r="D247" s="27" t="s">
        <v>789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21890</f>
        <v>21890.0</v>
      </c>
      <c r="L247" s="34" t="s">
        <v>96</v>
      </c>
      <c r="M247" s="33" t="n">
        <f>21970</f>
        <v>21970.0</v>
      </c>
      <c r="N247" s="34" t="s">
        <v>166</v>
      </c>
      <c r="O247" s="33" t="n">
        <f>21400</f>
        <v>21400.0</v>
      </c>
      <c r="P247" s="34" t="s">
        <v>177</v>
      </c>
      <c r="Q247" s="33" t="n">
        <f>21400</f>
        <v>21400.0</v>
      </c>
      <c r="R247" s="34" t="s">
        <v>177</v>
      </c>
      <c r="S247" s="35" t="n">
        <f>21690</f>
        <v>21690.0</v>
      </c>
      <c r="T247" s="32" t="n">
        <f>35</f>
        <v>35.0</v>
      </c>
      <c r="U247" s="32" t="str">
        <f>"－"</f>
        <v>－</v>
      </c>
      <c r="V247" s="32" t="n">
        <f>764370</f>
        <v>764370.0</v>
      </c>
      <c r="W247" s="32" t="str">
        <f>"－"</f>
        <v>－</v>
      </c>
      <c r="X247" s="36" t="n">
        <f>4</f>
        <v>4.0</v>
      </c>
    </row>
    <row r="248">
      <c r="A248" s="27" t="s">
        <v>42</v>
      </c>
      <c r="B248" s="27" t="s">
        <v>790</v>
      </c>
      <c r="C248" s="27" t="s">
        <v>791</v>
      </c>
      <c r="D248" s="27" t="s">
        <v>792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2738</f>
        <v>2738.0</v>
      </c>
      <c r="L248" s="34" t="s">
        <v>48</v>
      </c>
      <c r="M248" s="33" t="n">
        <f>2740</f>
        <v>2740.0</v>
      </c>
      <c r="N248" s="34" t="s">
        <v>48</v>
      </c>
      <c r="O248" s="33" t="n">
        <f>2719</f>
        <v>2719.0</v>
      </c>
      <c r="P248" s="34" t="s">
        <v>166</v>
      </c>
      <c r="Q248" s="33" t="n">
        <f>2729</f>
        <v>2729.0</v>
      </c>
      <c r="R248" s="34" t="s">
        <v>50</v>
      </c>
      <c r="S248" s="35" t="n">
        <f>2728.62</f>
        <v>2728.62</v>
      </c>
      <c r="T248" s="32" t="n">
        <f>1016764</f>
        <v>1016764.0</v>
      </c>
      <c r="U248" s="32" t="n">
        <f>717822</f>
        <v>717822.0</v>
      </c>
      <c r="V248" s="32" t="n">
        <f>2777939986</f>
        <v>2.777939986E9</v>
      </c>
      <c r="W248" s="32" t="n">
        <f>1962129493</f>
        <v>1.962129493E9</v>
      </c>
      <c r="X248" s="36" t="n">
        <f>21</f>
        <v>21.0</v>
      </c>
    </row>
    <row r="249">
      <c r="A249" s="27" t="s">
        <v>42</v>
      </c>
      <c r="B249" s="27" t="s">
        <v>793</v>
      </c>
      <c r="C249" s="27" t="s">
        <v>794</v>
      </c>
      <c r="D249" s="27" t="s">
        <v>795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2406</f>
        <v>2406.0</v>
      </c>
      <c r="L249" s="34" t="s">
        <v>48</v>
      </c>
      <c r="M249" s="33" t="n">
        <f>2497</f>
        <v>2497.0</v>
      </c>
      <c r="N249" s="34" t="s">
        <v>166</v>
      </c>
      <c r="O249" s="33" t="n">
        <f>2263</f>
        <v>2263.0</v>
      </c>
      <c r="P249" s="34" t="s">
        <v>50</v>
      </c>
      <c r="Q249" s="33" t="n">
        <f>2263</f>
        <v>2263.0</v>
      </c>
      <c r="R249" s="34" t="s">
        <v>50</v>
      </c>
      <c r="S249" s="35" t="n">
        <f>2425.14</f>
        <v>2425.14</v>
      </c>
      <c r="T249" s="32" t="n">
        <f>2183570</f>
        <v>2183570.0</v>
      </c>
      <c r="U249" s="32" t="n">
        <f>475020</f>
        <v>475020.0</v>
      </c>
      <c r="V249" s="32" t="n">
        <f>5247421270</f>
        <v>5.24742127E9</v>
      </c>
      <c r="W249" s="32" t="n">
        <f>1117576750</f>
        <v>1.11757675E9</v>
      </c>
      <c r="X249" s="36" t="n">
        <f>21</f>
        <v>21.0</v>
      </c>
    </row>
    <row r="250">
      <c r="A250" s="27" t="s">
        <v>42</v>
      </c>
      <c r="B250" s="27" t="s">
        <v>796</v>
      </c>
      <c r="C250" s="27" t="s">
        <v>797</v>
      </c>
      <c r="D250" s="27" t="s">
        <v>798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2188</f>
        <v>2188.0</v>
      </c>
      <c r="L250" s="34" t="s">
        <v>48</v>
      </c>
      <c r="M250" s="33" t="n">
        <f>2290</f>
        <v>2290.0</v>
      </c>
      <c r="N250" s="34" t="s">
        <v>166</v>
      </c>
      <c r="O250" s="33" t="n">
        <f>2103</f>
        <v>2103.0</v>
      </c>
      <c r="P250" s="34" t="s">
        <v>50</v>
      </c>
      <c r="Q250" s="33" t="n">
        <f>2103</f>
        <v>2103.0</v>
      </c>
      <c r="R250" s="34" t="s">
        <v>50</v>
      </c>
      <c r="S250" s="35" t="n">
        <f>2217.38</f>
        <v>2217.38</v>
      </c>
      <c r="T250" s="32" t="n">
        <f>3360593</f>
        <v>3360593.0</v>
      </c>
      <c r="U250" s="32" t="n">
        <f>2180202</f>
        <v>2180202.0</v>
      </c>
      <c r="V250" s="32" t="n">
        <f>7401840009</f>
        <v>7.401840009E9</v>
      </c>
      <c r="W250" s="32" t="n">
        <f>4837839164</f>
        <v>4.837839164E9</v>
      </c>
      <c r="X250" s="36" t="n">
        <f>21</f>
        <v>21.0</v>
      </c>
    </row>
    <row r="251">
      <c r="A251" s="27" t="s">
        <v>42</v>
      </c>
      <c r="B251" s="27" t="s">
        <v>799</v>
      </c>
      <c r="C251" s="27" t="s">
        <v>800</v>
      </c>
      <c r="D251" s="27" t="s">
        <v>801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1547</f>
        <v>1547.0</v>
      </c>
      <c r="L251" s="34" t="s">
        <v>48</v>
      </c>
      <c r="M251" s="33" t="n">
        <f>1596</f>
        <v>1596.0</v>
      </c>
      <c r="N251" s="34" t="s">
        <v>49</v>
      </c>
      <c r="O251" s="33" t="n">
        <f>1492</f>
        <v>1492.0</v>
      </c>
      <c r="P251" s="34" t="s">
        <v>50</v>
      </c>
      <c r="Q251" s="33" t="n">
        <f>1496</f>
        <v>1496.0</v>
      </c>
      <c r="R251" s="34" t="s">
        <v>50</v>
      </c>
      <c r="S251" s="35" t="n">
        <f>1554.71</f>
        <v>1554.71</v>
      </c>
      <c r="T251" s="32" t="n">
        <f>68070</f>
        <v>68070.0</v>
      </c>
      <c r="U251" s="32" t="n">
        <f>2</f>
        <v>2.0</v>
      </c>
      <c r="V251" s="32" t="n">
        <f>106615763</f>
        <v>1.06615763E8</v>
      </c>
      <c r="W251" s="32" t="n">
        <f>3158</f>
        <v>3158.0</v>
      </c>
      <c r="X251" s="36" t="n">
        <f>21</f>
        <v>21.0</v>
      </c>
    </row>
    <row r="252">
      <c r="A252" s="27" t="s">
        <v>42</v>
      </c>
      <c r="B252" s="27" t="s">
        <v>802</v>
      </c>
      <c r="C252" s="27" t="s">
        <v>803</v>
      </c>
      <c r="D252" s="27" t="s">
        <v>804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1058</f>
        <v>1058.0</v>
      </c>
      <c r="L252" s="34" t="s">
        <v>48</v>
      </c>
      <c r="M252" s="33" t="n">
        <f>1066</f>
        <v>1066.0</v>
      </c>
      <c r="N252" s="34" t="s">
        <v>48</v>
      </c>
      <c r="O252" s="33" t="n">
        <f>992</f>
        <v>992.0</v>
      </c>
      <c r="P252" s="34" t="s">
        <v>85</v>
      </c>
      <c r="Q252" s="33" t="n">
        <f>1016</f>
        <v>1016.0</v>
      </c>
      <c r="R252" s="34" t="s">
        <v>50</v>
      </c>
      <c r="S252" s="35" t="n">
        <f>1026.86</f>
        <v>1026.86</v>
      </c>
      <c r="T252" s="32" t="n">
        <f>328735</f>
        <v>328735.0</v>
      </c>
      <c r="U252" s="32" t="n">
        <f>10213</f>
        <v>10213.0</v>
      </c>
      <c r="V252" s="32" t="n">
        <f>336894833</f>
        <v>3.36894833E8</v>
      </c>
      <c r="W252" s="32" t="n">
        <f>10445489</f>
        <v>1.0445489E7</v>
      </c>
      <c r="X252" s="36" t="n">
        <f>21</f>
        <v>21.0</v>
      </c>
    </row>
    <row r="253">
      <c r="A253" s="27" t="s">
        <v>42</v>
      </c>
      <c r="B253" s="27" t="s">
        <v>805</v>
      </c>
      <c r="C253" s="27" t="s">
        <v>806</v>
      </c>
      <c r="D253" s="27" t="s">
        <v>807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979</f>
        <v>979.0</v>
      </c>
      <c r="L253" s="34" t="s">
        <v>48</v>
      </c>
      <c r="M253" s="33" t="n">
        <f>983</f>
        <v>983.0</v>
      </c>
      <c r="N253" s="34" t="s">
        <v>116</v>
      </c>
      <c r="O253" s="33" t="n">
        <f>911</f>
        <v>911.0</v>
      </c>
      <c r="P253" s="34" t="s">
        <v>68</v>
      </c>
      <c r="Q253" s="33" t="n">
        <f>913</f>
        <v>913.0</v>
      </c>
      <c r="R253" s="34" t="s">
        <v>50</v>
      </c>
      <c r="S253" s="35" t="n">
        <f>950.1</f>
        <v>950.1</v>
      </c>
      <c r="T253" s="32" t="n">
        <f>35370</f>
        <v>35370.0</v>
      </c>
      <c r="U253" s="32" t="n">
        <f>10</f>
        <v>10.0</v>
      </c>
      <c r="V253" s="32" t="n">
        <f>33707620</f>
        <v>3.370762E7</v>
      </c>
      <c r="W253" s="32" t="n">
        <f>9630</f>
        <v>9630.0</v>
      </c>
      <c r="X253" s="36" t="n">
        <f>21</f>
        <v>21.0</v>
      </c>
    </row>
    <row r="254">
      <c r="A254" s="27" t="s">
        <v>42</v>
      </c>
      <c r="B254" s="27" t="s">
        <v>808</v>
      </c>
      <c r="C254" s="27" t="s">
        <v>809</v>
      </c>
      <c r="D254" s="27" t="s">
        <v>810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214</f>
        <v>214.0</v>
      </c>
      <c r="L254" s="34" t="s">
        <v>48</v>
      </c>
      <c r="M254" s="33" t="n">
        <f>218</f>
        <v>218.0</v>
      </c>
      <c r="N254" s="34" t="s">
        <v>92</v>
      </c>
      <c r="O254" s="33" t="n">
        <f>200</f>
        <v>200.0</v>
      </c>
      <c r="P254" s="34" t="s">
        <v>50</v>
      </c>
      <c r="Q254" s="33" t="n">
        <f>209</f>
        <v>209.0</v>
      </c>
      <c r="R254" s="34" t="s">
        <v>50</v>
      </c>
      <c r="S254" s="35" t="n">
        <f>213.29</f>
        <v>213.29</v>
      </c>
      <c r="T254" s="32" t="n">
        <f>169990</f>
        <v>169990.0</v>
      </c>
      <c r="U254" s="32" t="str">
        <f>"－"</f>
        <v>－</v>
      </c>
      <c r="V254" s="32" t="n">
        <f>36321230</f>
        <v>3.632123E7</v>
      </c>
      <c r="W254" s="32" t="str">
        <f>"－"</f>
        <v>－</v>
      </c>
      <c r="X254" s="36" t="n">
        <f>21</f>
        <v>21.0</v>
      </c>
    </row>
    <row r="255">
      <c r="A255" s="27" t="s">
        <v>42</v>
      </c>
      <c r="B255" s="27" t="s">
        <v>811</v>
      </c>
      <c r="C255" s="27" t="s">
        <v>812</v>
      </c>
      <c r="D255" s="27" t="s">
        <v>813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2111</f>
        <v>2111.0</v>
      </c>
      <c r="L255" s="34" t="s">
        <v>48</v>
      </c>
      <c r="M255" s="33" t="n">
        <f>2220</f>
        <v>2220.0</v>
      </c>
      <c r="N255" s="34" t="s">
        <v>220</v>
      </c>
      <c r="O255" s="33" t="n">
        <f>1988</f>
        <v>1988.0</v>
      </c>
      <c r="P255" s="34" t="s">
        <v>50</v>
      </c>
      <c r="Q255" s="33" t="n">
        <f>1991</f>
        <v>1991.0</v>
      </c>
      <c r="R255" s="34" t="s">
        <v>50</v>
      </c>
      <c r="S255" s="35" t="n">
        <f>2109.38</f>
        <v>2109.38</v>
      </c>
      <c r="T255" s="32" t="n">
        <f>1156220</f>
        <v>1156220.0</v>
      </c>
      <c r="U255" s="32" t="n">
        <f>95000</f>
        <v>95000.0</v>
      </c>
      <c r="V255" s="32" t="n">
        <f>2437086270</f>
        <v>2.43708627E9</v>
      </c>
      <c r="W255" s="32" t="n">
        <f>200597100</f>
        <v>2.005971E8</v>
      </c>
      <c r="X255" s="36" t="n">
        <f>21</f>
        <v>21.0</v>
      </c>
    </row>
    <row r="256">
      <c r="A256" s="27" t="s">
        <v>42</v>
      </c>
      <c r="B256" s="27" t="s">
        <v>814</v>
      </c>
      <c r="C256" s="27" t="s">
        <v>815</v>
      </c>
      <c r="D256" s="27" t="s">
        <v>816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2093</f>
        <v>2093.0</v>
      </c>
      <c r="L256" s="34" t="s">
        <v>48</v>
      </c>
      <c r="M256" s="33" t="n">
        <f>2199</f>
        <v>2199.0</v>
      </c>
      <c r="N256" s="34" t="s">
        <v>220</v>
      </c>
      <c r="O256" s="33" t="n">
        <f>2000</f>
        <v>2000.0</v>
      </c>
      <c r="P256" s="34" t="s">
        <v>50</v>
      </c>
      <c r="Q256" s="33" t="n">
        <f>2000</f>
        <v>2000.0</v>
      </c>
      <c r="R256" s="34" t="s">
        <v>50</v>
      </c>
      <c r="S256" s="35" t="n">
        <f>2099.67</f>
        <v>2099.67</v>
      </c>
      <c r="T256" s="32" t="n">
        <f>1836340</f>
        <v>1836340.0</v>
      </c>
      <c r="U256" s="32" t="n">
        <f>1047900</f>
        <v>1047900.0</v>
      </c>
      <c r="V256" s="32" t="n">
        <f>3854731690</f>
        <v>3.85473169E9</v>
      </c>
      <c r="W256" s="32" t="n">
        <f>2201191250</f>
        <v>2.20119125E9</v>
      </c>
      <c r="X256" s="36" t="n">
        <f>21</f>
        <v>21.0</v>
      </c>
    </row>
    <row r="257">
      <c r="A257" s="27" t="s">
        <v>42</v>
      </c>
      <c r="B257" s="27" t="s">
        <v>817</v>
      </c>
      <c r="C257" s="27" t="s">
        <v>818</v>
      </c>
      <c r="D257" s="27" t="s">
        <v>819</v>
      </c>
      <c r="E257" s="28" t="s">
        <v>820</v>
      </c>
      <c r="F257" s="29" t="s">
        <v>821</v>
      </c>
      <c r="G257" s="30" t="s">
        <v>822</v>
      </c>
      <c r="H257" s="31"/>
      <c r="I257" s="31" t="s">
        <v>47</v>
      </c>
      <c r="J257" s="32" t="n">
        <v>1.0</v>
      </c>
      <c r="K257" s="33" t="n">
        <f>2507</f>
        <v>2507.0</v>
      </c>
      <c r="L257" s="34" t="s">
        <v>356</v>
      </c>
      <c r="M257" s="33" t="n">
        <f>2531</f>
        <v>2531.0</v>
      </c>
      <c r="N257" s="34" t="s">
        <v>132</v>
      </c>
      <c r="O257" s="33" t="n">
        <f>2482</f>
        <v>2482.0</v>
      </c>
      <c r="P257" s="34" t="s">
        <v>50</v>
      </c>
      <c r="Q257" s="33" t="n">
        <f>2482</f>
        <v>2482.0</v>
      </c>
      <c r="R257" s="34" t="s">
        <v>50</v>
      </c>
      <c r="S257" s="35" t="n">
        <f>2506.17</f>
        <v>2506.17</v>
      </c>
      <c r="T257" s="32" t="n">
        <f>1714</f>
        <v>1714.0</v>
      </c>
      <c r="U257" s="32" t="n">
        <f>100</f>
        <v>100.0</v>
      </c>
      <c r="V257" s="32" t="n">
        <f>4302301</f>
        <v>4302301.0</v>
      </c>
      <c r="W257" s="32" t="n">
        <f>249701</f>
        <v>249701.0</v>
      </c>
      <c r="X257" s="36" t="n">
        <f>12</f>
        <v>12.0</v>
      </c>
    </row>
    <row r="258">
      <c r="A258" s="27" t="s">
        <v>42</v>
      </c>
      <c r="B258" s="27" t="s">
        <v>823</v>
      </c>
      <c r="C258" s="27" t="s">
        <v>824</v>
      </c>
      <c r="D258" s="27" t="s">
        <v>825</v>
      </c>
      <c r="E258" s="28" t="s">
        <v>820</v>
      </c>
      <c r="F258" s="29" t="s">
        <v>821</v>
      </c>
      <c r="G258" s="30" t="s">
        <v>822</v>
      </c>
      <c r="H258" s="31"/>
      <c r="I258" s="31" t="s">
        <v>47</v>
      </c>
      <c r="J258" s="32" t="n">
        <v>1.0</v>
      </c>
      <c r="K258" s="33" t="n">
        <f>2514</f>
        <v>2514.0</v>
      </c>
      <c r="L258" s="34" t="s">
        <v>356</v>
      </c>
      <c r="M258" s="33" t="n">
        <f>2532</f>
        <v>2532.0</v>
      </c>
      <c r="N258" s="34" t="s">
        <v>173</v>
      </c>
      <c r="O258" s="33" t="n">
        <f>2450</f>
        <v>2450.0</v>
      </c>
      <c r="P258" s="34" t="s">
        <v>278</v>
      </c>
      <c r="Q258" s="33" t="n">
        <f>2499</f>
        <v>2499.0</v>
      </c>
      <c r="R258" s="34" t="s">
        <v>50</v>
      </c>
      <c r="S258" s="35" t="n">
        <f>2494.92</f>
        <v>2494.92</v>
      </c>
      <c r="T258" s="32" t="n">
        <f>9497</f>
        <v>9497.0</v>
      </c>
      <c r="U258" s="32" t="n">
        <f>100</f>
        <v>100.0</v>
      </c>
      <c r="V258" s="32" t="n">
        <f>23706580</f>
        <v>2.370658E7</v>
      </c>
      <c r="W258" s="32" t="n">
        <f>246300</f>
        <v>246300.0</v>
      </c>
      <c r="X258" s="36" t="n">
        <f>12</f>
        <v>12.0</v>
      </c>
    </row>
    <row r="259">
      <c r="A259" s="27" t="s">
        <v>42</v>
      </c>
      <c r="B259" s="27" t="s">
        <v>826</v>
      </c>
      <c r="C259" s="27" t="s">
        <v>827</v>
      </c>
      <c r="D259" s="27" t="s">
        <v>828</v>
      </c>
      <c r="E259" s="28" t="s">
        <v>820</v>
      </c>
      <c r="F259" s="29" t="s">
        <v>821</v>
      </c>
      <c r="G259" s="30" t="s">
        <v>822</v>
      </c>
      <c r="H259" s="31"/>
      <c r="I259" s="31" t="s">
        <v>47</v>
      </c>
      <c r="J259" s="32" t="n">
        <v>1.0</v>
      </c>
      <c r="K259" s="33" t="n">
        <f>2520</f>
        <v>2520.0</v>
      </c>
      <c r="L259" s="34" t="s">
        <v>356</v>
      </c>
      <c r="M259" s="33" t="n">
        <f>2630</f>
        <v>2630.0</v>
      </c>
      <c r="N259" s="34" t="s">
        <v>60</v>
      </c>
      <c r="O259" s="33" t="n">
        <f>2482</f>
        <v>2482.0</v>
      </c>
      <c r="P259" s="34" t="s">
        <v>278</v>
      </c>
      <c r="Q259" s="33" t="n">
        <f>2485</f>
        <v>2485.0</v>
      </c>
      <c r="R259" s="34" t="s">
        <v>50</v>
      </c>
      <c r="S259" s="35" t="n">
        <f>2512.25</f>
        <v>2512.25</v>
      </c>
      <c r="T259" s="32" t="n">
        <f>2696</f>
        <v>2696.0</v>
      </c>
      <c r="U259" s="32" t="n">
        <f>5</f>
        <v>5.0</v>
      </c>
      <c r="V259" s="32" t="n">
        <f>6774128</f>
        <v>6774128.0</v>
      </c>
      <c r="W259" s="32" t="n">
        <f>12495</f>
        <v>12495.0</v>
      </c>
      <c r="X259" s="36" t="n">
        <f>12</f>
        <v>12.0</v>
      </c>
    </row>
    <row r="260">
      <c r="A260" s="27" t="s">
        <v>42</v>
      </c>
      <c r="B260" s="27" t="s">
        <v>829</v>
      </c>
      <c r="C260" s="27" t="s">
        <v>830</v>
      </c>
      <c r="D260" s="27" t="s">
        <v>831</v>
      </c>
      <c r="E260" s="28" t="s">
        <v>820</v>
      </c>
      <c r="F260" s="29" t="s">
        <v>821</v>
      </c>
      <c r="G260" s="30" t="s">
        <v>822</v>
      </c>
      <c r="H260" s="31"/>
      <c r="I260" s="31" t="s">
        <v>47</v>
      </c>
      <c r="J260" s="32" t="n">
        <v>1.0</v>
      </c>
      <c r="K260" s="33" t="n">
        <f>2519</f>
        <v>2519.0</v>
      </c>
      <c r="L260" s="34" t="s">
        <v>356</v>
      </c>
      <c r="M260" s="33" t="n">
        <f>2862</f>
        <v>2862.0</v>
      </c>
      <c r="N260" s="34" t="s">
        <v>356</v>
      </c>
      <c r="O260" s="33" t="n">
        <f>2495</f>
        <v>2495.0</v>
      </c>
      <c r="P260" s="34" t="s">
        <v>85</v>
      </c>
      <c r="Q260" s="33" t="n">
        <f>2500</f>
        <v>2500.0</v>
      </c>
      <c r="R260" s="34" t="s">
        <v>50</v>
      </c>
      <c r="S260" s="35" t="n">
        <f>2507.1</f>
        <v>2507.1</v>
      </c>
      <c r="T260" s="32" t="n">
        <f>21680</f>
        <v>21680.0</v>
      </c>
      <c r="U260" s="32" t="n">
        <f>19649</f>
        <v>19649.0</v>
      </c>
      <c r="V260" s="32" t="n">
        <f>54274354</f>
        <v>5.4274354E7</v>
      </c>
      <c r="W260" s="32" t="n">
        <f>49142149</f>
        <v>4.9142149E7</v>
      </c>
      <c r="X260" s="36" t="n">
        <f>10</f>
        <v>10.0</v>
      </c>
    </row>
    <row r="261">
      <c r="A261" s="27" t="s">
        <v>42</v>
      </c>
      <c r="B261" s="27" t="s">
        <v>832</v>
      </c>
      <c r="C261" s="27" t="s">
        <v>833</v>
      </c>
      <c r="D261" s="27" t="s">
        <v>834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109600</f>
        <v>109600.0</v>
      </c>
      <c r="L261" s="34" t="s">
        <v>48</v>
      </c>
      <c r="M261" s="33" t="n">
        <f>114900</f>
        <v>114900.0</v>
      </c>
      <c r="N261" s="34" t="s">
        <v>307</v>
      </c>
      <c r="O261" s="33" t="n">
        <f>105700</f>
        <v>105700.0</v>
      </c>
      <c r="P261" s="34" t="s">
        <v>48</v>
      </c>
      <c r="Q261" s="33" t="n">
        <f>109500</f>
        <v>109500.0</v>
      </c>
      <c r="R261" s="34" t="s">
        <v>50</v>
      </c>
      <c r="S261" s="35" t="n">
        <f>111052.38</f>
        <v>111052.38</v>
      </c>
      <c r="T261" s="32" t="n">
        <f>21059</f>
        <v>21059.0</v>
      </c>
      <c r="U261" s="32" t="n">
        <f>4113</f>
        <v>4113.0</v>
      </c>
      <c r="V261" s="32" t="n">
        <f>2333291031</f>
        <v>2.333291031E9</v>
      </c>
      <c r="W261" s="32" t="n">
        <f>455214731</f>
        <v>4.55214731E8</v>
      </c>
      <c r="X261" s="36" t="n">
        <f>21</f>
        <v>21.0</v>
      </c>
    </row>
    <row r="262">
      <c r="A262" s="27" t="s">
        <v>42</v>
      </c>
      <c r="B262" s="27" t="s">
        <v>835</v>
      </c>
      <c r="C262" s="27" t="s">
        <v>836</v>
      </c>
      <c r="D262" s="27" t="s">
        <v>837</v>
      </c>
      <c r="E262" s="28" t="s">
        <v>46</v>
      </c>
      <c r="F262" s="29" t="s">
        <v>46</v>
      </c>
      <c r="G262" s="30" t="s">
        <v>46</v>
      </c>
      <c r="H262" s="31"/>
      <c r="I262" s="31" t="s">
        <v>630</v>
      </c>
      <c r="J262" s="32" t="n">
        <v>1.0</v>
      </c>
      <c r="K262" s="33" t="n">
        <f>98800</f>
        <v>98800.0</v>
      </c>
      <c r="L262" s="34" t="s">
        <v>48</v>
      </c>
      <c r="M262" s="33" t="n">
        <f>100600</f>
        <v>100600.0</v>
      </c>
      <c r="N262" s="34" t="s">
        <v>48</v>
      </c>
      <c r="O262" s="33" t="n">
        <f>92800</f>
        <v>92800.0</v>
      </c>
      <c r="P262" s="34" t="s">
        <v>68</v>
      </c>
      <c r="Q262" s="33" t="n">
        <f>94300</f>
        <v>94300.0</v>
      </c>
      <c r="R262" s="34" t="s">
        <v>50</v>
      </c>
      <c r="S262" s="35" t="n">
        <f>96995.24</f>
        <v>96995.24</v>
      </c>
      <c r="T262" s="32" t="n">
        <f>17710</f>
        <v>17710.0</v>
      </c>
      <c r="U262" s="32" t="n">
        <f>3272</f>
        <v>3272.0</v>
      </c>
      <c r="V262" s="32" t="n">
        <f>1723316801</f>
        <v>1.723316801E9</v>
      </c>
      <c r="W262" s="32" t="n">
        <f>317263501</f>
        <v>3.17263501E8</v>
      </c>
      <c r="X262" s="36" t="n">
        <f>21</f>
        <v>21.0</v>
      </c>
    </row>
    <row r="263">
      <c r="A263" s="27" t="s">
        <v>42</v>
      </c>
      <c r="B263" s="27" t="s">
        <v>838</v>
      </c>
      <c r="C263" s="27" t="s">
        <v>839</v>
      </c>
      <c r="D263" s="27" t="s">
        <v>840</v>
      </c>
      <c r="E263" s="28" t="s">
        <v>46</v>
      </c>
      <c r="F263" s="29" t="s">
        <v>46</v>
      </c>
      <c r="G263" s="30" t="s">
        <v>46</v>
      </c>
      <c r="H263" s="31"/>
      <c r="I263" s="31" t="s">
        <v>630</v>
      </c>
      <c r="J263" s="32" t="n">
        <v>1.0</v>
      </c>
      <c r="K263" s="33" t="n">
        <f>139300</f>
        <v>139300.0</v>
      </c>
      <c r="L263" s="34" t="s">
        <v>48</v>
      </c>
      <c r="M263" s="33" t="n">
        <f>144000</f>
        <v>144000.0</v>
      </c>
      <c r="N263" s="34" t="s">
        <v>96</v>
      </c>
      <c r="O263" s="33" t="n">
        <f>125600</f>
        <v>125600.0</v>
      </c>
      <c r="P263" s="34" t="s">
        <v>85</v>
      </c>
      <c r="Q263" s="33" t="n">
        <f>134900</f>
        <v>134900.0</v>
      </c>
      <c r="R263" s="34" t="s">
        <v>50</v>
      </c>
      <c r="S263" s="35" t="n">
        <f>135847.62</f>
        <v>135847.62</v>
      </c>
      <c r="T263" s="32" t="n">
        <f>44741</f>
        <v>44741.0</v>
      </c>
      <c r="U263" s="32" t="n">
        <f>8801</f>
        <v>8801.0</v>
      </c>
      <c r="V263" s="32" t="n">
        <f>6111450955</f>
        <v>6.111450955E9</v>
      </c>
      <c r="W263" s="32" t="n">
        <f>1204863855</f>
        <v>1.204863855E9</v>
      </c>
      <c r="X263" s="36" t="n">
        <f>21</f>
        <v>21.0</v>
      </c>
    </row>
    <row r="264">
      <c r="A264" s="27" t="s">
        <v>42</v>
      </c>
      <c r="B264" s="27" t="s">
        <v>841</v>
      </c>
      <c r="C264" s="27" t="s">
        <v>842</v>
      </c>
      <c r="D264" s="27" t="s">
        <v>843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613000</f>
        <v>613000.0</v>
      </c>
      <c r="L264" s="34" t="s">
        <v>48</v>
      </c>
      <c r="M264" s="33" t="n">
        <f>614000</f>
        <v>614000.0</v>
      </c>
      <c r="N264" s="34" t="s">
        <v>48</v>
      </c>
      <c r="O264" s="33" t="n">
        <f>562000</f>
        <v>562000.0</v>
      </c>
      <c r="P264" s="34" t="s">
        <v>49</v>
      </c>
      <c r="Q264" s="33" t="n">
        <f>598000</f>
        <v>598000.0</v>
      </c>
      <c r="R264" s="34" t="s">
        <v>50</v>
      </c>
      <c r="S264" s="35" t="n">
        <f>586000</f>
        <v>586000.0</v>
      </c>
      <c r="T264" s="32" t="n">
        <f>48463</f>
        <v>48463.0</v>
      </c>
      <c r="U264" s="32" t="n">
        <f>11636</f>
        <v>11636.0</v>
      </c>
      <c r="V264" s="32" t="n">
        <f>28411463927</f>
        <v>2.8411463927E10</v>
      </c>
      <c r="W264" s="32" t="n">
        <f>6821609927</f>
        <v>6.821609927E9</v>
      </c>
      <c r="X264" s="36" t="n">
        <f>21</f>
        <v>21.0</v>
      </c>
    </row>
    <row r="265">
      <c r="A265" s="27" t="s">
        <v>42</v>
      </c>
      <c r="B265" s="27" t="s">
        <v>844</v>
      </c>
      <c r="C265" s="27" t="s">
        <v>845</v>
      </c>
      <c r="D265" s="27" t="s">
        <v>846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80600</f>
        <v>80600.0</v>
      </c>
      <c r="L265" s="34" t="s">
        <v>48</v>
      </c>
      <c r="M265" s="33" t="n">
        <f>85300</f>
        <v>85300.0</v>
      </c>
      <c r="N265" s="34" t="s">
        <v>356</v>
      </c>
      <c r="O265" s="33" t="n">
        <f>74100</f>
        <v>74100.0</v>
      </c>
      <c r="P265" s="34" t="s">
        <v>50</v>
      </c>
      <c r="Q265" s="33" t="n">
        <f>74800</f>
        <v>74800.0</v>
      </c>
      <c r="R265" s="34" t="s">
        <v>50</v>
      </c>
      <c r="S265" s="35" t="n">
        <f>81052.38</f>
        <v>81052.38</v>
      </c>
      <c r="T265" s="32" t="n">
        <f>300389</f>
        <v>300389.0</v>
      </c>
      <c r="U265" s="32" t="n">
        <f>51508</f>
        <v>51508.0</v>
      </c>
      <c r="V265" s="32" t="n">
        <f>24310008437</f>
        <v>2.4310008437E10</v>
      </c>
      <c r="W265" s="32" t="n">
        <f>4145268637</f>
        <v>4.145268637E9</v>
      </c>
      <c r="X265" s="36" t="n">
        <f>21</f>
        <v>21.0</v>
      </c>
    </row>
    <row r="266">
      <c r="A266" s="27" t="s">
        <v>42</v>
      </c>
      <c r="B266" s="27" t="s">
        <v>847</v>
      </c>
      <c r="C266" s="27" t="s">
        <v>848</v>
      </c>
      <c r="D266" s="27" t="s">
        <v>849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135600</f>
        <v>135600.0</v>
      </c>
      <c r="L266" s="34" t="s">
        <v>48</v>
      </c>
      <c r="M266" s="33" t="n">
        <f>137500</f>
        <v>137500.0</v>
      </c>
      <c r="N266" s="34" t="s">
        <v>48</v>
      </c>
      <c r="O266" s="33" t="n">
        <f>127600</f>
        <v>127600.0</v>
      </c>
      <c r="P266" s="34" t="s">
        <v>68</v>
      </c>
      <c r="Q266" s="33" t="n">
        <f>128500</f>
        <v>128500.0</v>
      </c>
      <c r="R266" s="34" t="s">
        <v>50</v>
      </c>
      <c r="S266" s="35" t="n">
        <f>132733.33</f>
        <v>132733.33</v>
      </c>
      <c r="T266" s="32" t="n">
        <f>116636</f>
        <v>116636.0</v>
      </c>
      <c r="U266" s="32" t="n">
        <f>24898</f>
        <v>24898.0</v>
      </c>
      <c r="V266" s="32" t="n">
        <f>15462961643</f>
        <v>1.5462961643E10</v>
      </c>
      <c r="W266" s="32" t="n">
        <f>3296480443</f>
        <v>3.296480443E9</v>
      </c>
      <c r="X266" s="36" t="n">
        <f>21</f>
        <v>21.0</v>
      </c>
    </row>
    <row r="267">
      <c r="A267" s="27" t="s">
        <v>42</v>
      </c>
      <c r="B267" s="27" t="s">
        <v>850</v>
      </c>
      <c r="C267" s="27" t="s">
        <v>851</v>
      </c>
      <c r="D267" s="27" t="s">
        <v>852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182000</f>
        <v>182000.0</v>
      </c>
      <c r="L267" s="34" t="s">
        <v>48</v>
      </c>
      <c r="M267" s="33" t="n">
        <f>183600</f>
        <v>183600.0</v>
      </c>
      <c r="N267" s="34" t="s">
        <v>48</v>
      </c>
      <c r="O267" s="33" t="n">
        <f>171200</f>
        <v>171200.0</v>
      </c>
      <c r="P267" s="34" t="s">
        <v>173</v>
      </c>
      <c r="Q267" s="33" t="n">
        <f>177600</f>
        <v>177600.0</v>
      </c>
      <c r="R267" s="34" t="s">
        <v>50</v>
      </c>
      <c r="S267" s="35" t="n">
        <f>177038.1</f>
        <v>177038.1</v>
      </c>
      <c r="T267" s="32" t="n">
        <f>140022</f>
        <v>140022.0</v>
      </c>
      <c r="U267" s="32" t="n">
        <f>31576</f>
        <v>31576.0</v>
      </c>
      <c r="V267" s="32" t="n">
        <f>24787309925</f>
        <v>2.4787309925E10</v>
      </c>
      <c r="W267" s="32" t="n">
        <f>5580009525</f>
        <v>5.580009525E9</v>
      </c>
      <c r="X267" s="36" t="n">
        <f>21</f>
        <v>21.0</v>
      </c>
    </row>
    <row r="268">
      <c r="A268" s="27" t="s">
        <v>42</v>
      </c>
      <c r="B268" s="27" t="s">
        <v>853</v>
      </c>
      <c r="C268" s="27" t="s">
        <v>854</v>
      </c>
      <c r="D268" s="27" t="s">
        <v>855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308500</f>
        <v>308500.0</v>
      </c>
      <c r="L268" s="34" t="s">
        <v>48</v>
      </c>
      <c r="M268" s="33" t="n">
        <f>312500</f>
        <v>312500.0</v>
      </c>
      <c r="N268" s="34" t="s">
        <v>48</v>
      </c>
      <c r="O268" s="33" t="n">
        <f>289300</f>
        <v>289300.0</v>
      </c>
      <c r="P268" s="34" t="s">
        <v>60</v>
      </c>
      <c r="Q268" s="33" t="n">
        <f>305000</f>
        <v>305000.0</v>
      </c>
      <c r="R268" s="34" t="s">
        <v>50</v>
      </c>
      <c r="S268" s="35" t="n">
        <f>296733.33</f>
        <v>296733.33</v>
      </c>
      <c r="T268" s="32" t="n">
        <f>100040</f>
        <v>100040.0</v>
      </c>
      <c r="U268" s="32" t="n">
        <f>19825</f>
        <v>19825.0</v>
      </c>
      <c r="V268" s="32" t="n">
        <f>29729350835</f>
        <v>2.9729350835E10</v>
      </c>
      <c r="W268" s="32" t="n">
        <f>5894473035</f>
        <v>5.894473035E9</v>
      </c>
      <c r="X268" s="36" t="n">
        <f>21</f>
        <v>21.0</v>
      </c>
    </row>
    <row r="269">
      <c r="A269" s="27" t="s">
        <v>42</v>
      </c>
      <c r="B269" s="27" t="s">
        <v>856</v>
      </c>
      <c r="C269" s="27" t="s">
        <v>857</v>
      </c>
      <c r="D269" s="27" t="s">
        <v>858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185900</f>
        <v>185900.0</v>
      </c>
      <c r="L269" s="34" t="s">
        <v>48</v>
      </c>
      <c r="M269" s="33" t="n">
        <f>186800</f>
        <v>186800.0</v>
      </c>
      <c r="N269" s="34" t="s">
        <v>48</v>
      </c>
      <c r="O269" s="33" t="n">
        <f>168700</f>
        <v>168700.0</v>
      </c>
      <c r="P269" s="34" t="s">
        <v>132</v>
      </c>
      <c r="Q269" s="33" t="n">
        <f>170700</f>
        <v>170700.0</v>
      </c>
      <c r="R269" s="34" t="s">
        <v>50</v>
      </c>
      <c r="S269" s="35" t="n">
        <f>173785.71</f>
        <v>173785.71</v>
      </c>
      <c r="T269" s="32" t="n">
        <f>78986</f>
        <v>78986.0</v>
      </c>
      <c r="U269" s="32" t="n">
        <f>13215</f>
        <v>13215.0</v>
      </c>
      <c r="V269" s="32" t="n">
        <f>13765198310</f>
        <v>1.376519831E10</v>
      </c>
      <c r="W269" s="32" t="n">
        <f>2302512810</f>
        <v>2.30251281E9</v>
      </c>
      <c r="X269" s="36" t="n">
        <f>21</f>
        <v>21.0</v>
      </c>
    </row>
    <row r="270">
      <c r="A270" s="27" t="s">
        <v>42</v>
      </c>
      <c r="B270" s="27" t="s">
        <v>859</v>
      </c>
      <c r="C270" s="27" t="s">
        <v>860</v>
      </c>
      <c r="D270" s="27" t="s">
        <v>861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406500</f>
        <v>406500.0</v>
      </c>
      <c r="L270" s="34" t="s">
        <v>48</v>
      </c>
      <c r="M270" s="33" t="n">
        <f>425500</f>
        <v>425500.0</v>
      </c>
      <c r="N270" s="34" t="s">
        <v>116</v>
      </c>
      <c r="O270" s="33" t="n">
        <f>371500</f>
        <v>371500.0</v>
      </c>
      <c r="P270" s="34" t="s">
        <v>68</v>
      </c>
      <c r="Q270" s="33" t="n">
        <f>377000</f>
        <v>377000.0</v>
      </c>
      <c r="R270" s="34" t="s">
        <v>50</v>
      </c>
      <c r="S270" s="35" t="n">
        <f>403642.86</f>
        <v>403642.86</v>
      </c>
      <c r="T270" s="32" t="n">
        <f>54494</f>
        <v>54494.0</v>
      </c>
      <c r="U270" s="32" t="n">
        <f>12167</f>
        <v>12167.0</v>
      </c>
      <c r="V270" s="32" t="n">
        <f>21948385189</f>
        <v>2.1948385189E10</v>
      </c>
      <c r="W270" s="32" t="n">
        <f>4898869689</f>
        <v>4.898869689E9</v>
      </c>
      <c r="X270" s="36" t="n">
        <f>21</f>
        <v>21.0</v>
      </c>
    </row>
    <row r="271">
      <c r="A271" s="27" t="s">
        <v>42</v>
      </c>
      <c r="B271" s="27" t="s">
        <v>862</v>
      </c>
      <c r="C271" s="27" t="s">
        <v>863</v>
      </c>
      <c r="D271" s="27" t="s">
        <v>864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160900</f>
        <v>160900.0</v>
      </c>
      <c r="L271" s="34" t="s">
        <v>48</v>
      </c>
      <c r="M271" s="33" t="n">
        <f>165700</f>
        <v>165700.0</v>
      </c>
      <c r="N271" s="34" t="s">
        <v>356</v>
      </c>
      <c r="O271" s="33" t="n">
        <f>152300</f>
        <v>152300.0</v>
      </c>
      <c r="P271" s="34" t="s">
        <v>103</v>
      </c>
      <c r="Q271" s="33" t="n">
        <f>161000</f>
        <v>161000.0</v>
      </c>
      <c r="R271" s="34" t="s">
        <v>50</v>
      </c>
      <c r="S271" s="35" t="n">
        <f>160395.24</f>
        <v>160395.24</v>
      </c>
      <c r="T271" s="32" t="n">
        <f>296137</f>
        <v>296137.0</v>
      </c>
      <c r="U271" s="32" t="n">
        <f>74954</f>
        <v>74954.0</v>
      </c>
      <c r="V271" s="32" t="n">
        <f>47405773684</f>
        <v>4.7405773684E10</v>
      </c>
      <c r="W271" s="32" t="n">
        <f>11973364684</f>
        <v>1.1973364684E10</v>
      </c>
      <c r="X271" s="36" t="n">
        <f>21</f>
        <v>21.0</v>
      </c>
    </row>
    <row r="272">
      <c r="A272" s="27" t="s">
        <v>42</v>
      </c>
      <c r="B272" s="27" t="s">
        <v>865</v>
      </c>
      <c r="C272" s="27" t="s">
        <v>866</v>
      </c>
      <c r="D272" s="27" t="s">
        <v>867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307500</f>
        <v>307500.0</v>
      </c>
      <c r="L272" s="34" t="s">
        <v>48</v>
      </c>
      <c r="M272" s="33" t="n">
        <f>309500</f>
        <v>309500.0</v>
      </c>
      <c r="N272" s="34" t="s">
        <v>48</v>
      </c>
      <c r="O272" s="33" t="n">
        <f>286700</f>
        <v>286700.0</v>
      </c>
      <c r="P272" s="34" t="s">
        <v>116</v>
      </c>
      <c r="Q272" s="33" t="n">
        <f>298800</f>
        <v>298800.0</v>
      </c>
      <c r="R272" s="34" t="s">
        <v>50</v>
      </c>
      <c r="S272" s="35" t="n">
        <f>295319.05</f>
        <v>295319.05</v>
      </c>
      <c r="T272" s="32" t="n">
        <f>76727</f>
        <v>76727.0</v>
      </c>
      <c r="U272" s="32" t="n">
        <f>14639</f>
        <v>14639.0</v>
      </c>
      <c r="V272" s="32" t="n">
        <f>22636121526</f>
        <v>2.2636121526E10</v>
      </c>
      <c r="W272" s="32" t="n">
        <f>4313043426</f>
        <v>4.313043426E9</v>
      </c>
      <c r="X272" s="36" t="n">
        <f>21</f>
        <v>21.0</v>
      </c>
    </row>
    <row r="273">
      <c r="A273" s="27" t="s">
        <v>42</v>
      </c>
      <c r="B273" s="27" t="s">
        <v>868</v>
      </c>
      <c r="C273" s="27" t="s">
        <v>869</v>
      </c>
      <c r="D273" s="27" t="s">
        <v>870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358500</f>
        <v>358500.0</v>
      </c>
      <c r="L273" s="34" t="s">
        <v>48</v>
      </c>
      <c r="M273" s="33" t="n">
        <f>362000</f>
        <v>362000.0</v>
      </c>
      <c r="N273" s="34" t="s">
        <v>48</v>
      </c>
      <c r="O273" s="33" t="n">
        <f>333500</f>
        <v>333500.0</v>
      </c>
      <c r="P273" s="34" t="s">
        <v>85</v>
      </c>
      <c r="Q273" s="33" t="n">
        <f>344000</f>
        <v>344000.0</v>
      </c>
      <c r="R273" s="34" t="s">
        <v>50</v>
      </c>
      <c r="S273" s="35" t="n">
        <f>343880.95</f>
        <v>343880.95</v>
      </c>
      <c r="T273" s="32" t="n">
        <f>145973</f>
        <v>145973.0</v>
      </c>
      <c r="U273" s="32" t="n">
        <f>37495</f>
        <v>37495.0</v>
      </c>
      <c r="V273" s="32" t="n">
        <f>50229354367</f>
        <v>5.0229354367E10</v>
      </c>
      <c r="W273" s="32" t="n">
        <f>12904497367</f>
        <v>1.2904497367E10</v>
      </c>
      <c r="X273" s="36" t="n">
        <f>21</f>
        <v>21.0</v>
      </c>
    </row>
    <row r="274">
      <c r="A274" s="27" t="s">
        <v>42</v>
      </c>
      <c r="B274" s="27" t="s">
        <v>871</v>
      </c>
      <c r="C274" s="27" t="s">
        <v>872</v>
      </c>
      <c r="D274" s="27" t="s">
        <v>873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534000</f>
        <v>534000.0</v>
      </c>
      <c r="L274" s="34" t="s">
        <v>48</v>
      </c>
      <c r="M274" s="33" t="n">
        <f>554000</f>
        <v>554000.0</v>
      </c>
      <c r="N274" s="34" t="s">
        <v>96</v>
      </c>
      <c r="O274" s="33" t="n">
        <f>486500</f>
        <v>486500.0</v>
      </c>
      <c r="P274" s="34" t="s">
        <v>68</v>
      </c>
      <c r="Q274" s="33" t="n">
        <f>492000</f>
        <v>492000.0</v>
      </c>
      <c r="R274" s="34" t="s">
        <v>50</v>
      </c>
      <c r="S274" s="35" t="n">
        <f>529023.81</f>
        <v>529023.81</v>
      </c>
      <c r="T274" s="32" t="n">
        <f>35498</f>
        <v>35498.0</v>
      </c>
      <c r="U274" s="32" t="n">
        <f>5384</f>
        <v>5384.0</v>
      </c>
      <c r="V274" s="32" t="n">
        <f>18705652908</f>
        <v>1.8705652908E10</v>
      </c>
      <c r="W274" s="32" t="n">
        <f>2837966408</f>
        <v>2.837966408E9</v>
      </c>
      <c r="X274" s="36" t="n">
        <f>21</f>
        <v>21.0</v>
      </c>
    </row>
    <row r="275">
      <c r="A275" s="27" t="s">
        <v>42</v>
      </c>
      <c r="B275" s="27" t="s">
        <v>874</v>
      </c>
      <c r="C275" s="27" t="s">
        <v>875</v>
      </c>
      <c r="D275" s="27" t="s">
        <v>876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249000</f>
        <v>249000.0</v>
      </c>
      <c r="L275" s="34" t="s">
        <v>48</v>
      </c>
      <c r="M275" s="33" t="n">
        <f>257700</f>
        <v>257700.0</v>
      </c>
      <c r="N275" s="34" t="s">
        <v>116</v>
      </c>
      <c r="O275" s="33" t="n">
        <f>235800</f>
        <v>235800.0</v>
      </c>
      <c r="P275" s="34" t="s">
        <v>68</v>
      </c>
      <c r="Q275" s="33" t="n">
        <f>241000</f>
        <v>241000.0</v>
      </c>
      <c r="R275" s="34" t="s">
        <v>50</v>
      </c>
      <c r="S275" s="35" t="n">
        <f>249428.57</f>
        <v>249428.57</v>
      </c>
      <c r="T275" s="32" t="n">
        <f>13430</f>
        <v>13430.0</v>
      </c>
      <c r="U275" s="32" t="n">
        <f>2053</f>
        <v>2053.0</v>
      </c>
      <c r="V275" s="32" t="n">
        <f>3344053145</f>
        <v>3.344053145E9</v>
      </c>
      <c r="W275" s="32" t="n">
        <f>509259445</f>
        <v>5.09259445E8</v>
      </c>
      <c r="X275" s="36" t="n">
        <f>21</f>
        <v>21.0</v>
      </c>
    </row>
    <row r="276">
      <c r="A276" s="27" t="s">
        <v>42</v>
      </c>
      <c r="B276" s="27" t="s">
        <v>877</v>
      </c>
      <c r="C276" s="27" t="s">
        <v>878</v>
      </c>
      <c r="D276" s="27" t="s">
        <v>879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121400</f>
        <v>121400.0</v>
      </c>
      <c r="L276" s="34" t="s">
        <v>48</v>
      </c>
      <c r="M276" s="33" t="n">
        <f>124900</f>
        <v>124900.0</v>
      </c>
      <c r="N276" s="34" t="s">
        <v>116</v>
      </c>
      <c r="O276" s="33" t="n">
        <f>115500</f>
        <v>115500.0</v>
      </c>
      <c r="P276" s="34" t="s">
        <v>68</v>
      </c>
      <c r="Q276" s="33" t="n">
        <f>118000</f>
        <v>118000.0</v>
      </c>
      <c r="R276" s="34" t="s">
        <v>50</v>
      </c>
      <c r="S276" s="35" t="n">
        <f>121000</f>
        <v>121000.0</v>
      </c>
      <c r="T276" s="32" t="n">
        <f>128606</f>
        <v>128606.0</v>
      </c>
      <c r="U276" s="32" t="n">
        <f>30873</f>
        <v>30873.0</v>
      </c>
      <c r="V276" s="32" t="n">
        <f>15529738446</f>
        <v>1.5529738446E10</v>
      </c>
      <c r="W276" s="32" t="n">
        <f>3718694146</f>
        <v>3.718694146E9</v>
      </c>
      <c r="X276" s="36" t="n">
        <f>21</f>
        <v>21.0</v>
      </c>
    </row>
    <row r="277">
      <c r="A277" s="27" t="s">
        <v>42</v>
      </c>
      <c r="B277" s="27" t="s">
        <v>880</v>
      </c>
      <c r="C277" s="27" t="s">
        <v>881</v>
      </c>
      <c r="D277" s="27" t="s">
        <v>882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139600</f>
        <v>139600.0</v>
      </c>
      <c r="L277" s="34" t="s">
        <v>48</v>
      </c>
      <c r="M277" s="33" t="n">
        <f>147100</f>
        <v>147100.0</v>
      </c>
      <c r="N277" s="34" t="s">
        <v>116</v>
      </c>
      <c r="O277" s="33" t="n">
        <f>136000</f>
        <v>136000.0</v>
      </c>
      <c r="P277" s="34" t="s">
        <v>50</v>
      </c>
      <c r="Q277" s="33" t="n">
        <f>137200</f>
        <v>137200.0</v>
      </c>
      <c r="R277" s="34" t="s">
        <v>50</v>
      </c>
      <c r="S277" s="35" t="n">
        <f>141366.67</f>
        <v>141366.67</v>
      </c>
      <c r="T277" s="32" t="n">
        <f>101539</f>
        <v>101539.0</v>
      </c>
      <c r="U277" s="32" t="n">
        <f>23969</f>
        <v>23969.0</v>
      </c>
      <c r="V277" s="32" t="n">
        <f>14314872958</f>
        <v>1.4314872958E10</v>
      </c>
      <c r="W277" s="32" t="n">
        <f>3371008658</f>
        <v>3.371008658E9</v>
      </c>
      <c r="X277" s="36" t="n">
        <f>21</f>
        <v>21.0</v>
      </c>
    </row>
    <row r="278">
      <c r="A278" s="27" t="s">
        <v>42</v>
      </c>
      <c r="B278" s="27" t="s">
        <v>883</v>
      </c>
      <c r="C278" s="27" t="s">
        <v>884</v>
      </c>
      <c r="D278" s="27" t="s">
        <v>885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353000</f>
        <v>353000.0</v>
      </c>
      <c r="L278" s="34" t="s">
        <v>48</v>
      </c>
      <c r="M278" s="33" t="n">
        <f>365500</f>
        <v>365500.0</v>
      </c>
      <c r="N278" s="34" t="s">
        <v>116</v>
      </c>
      <c r="O278" s="33" t="n">
        <f>328500</f>
        <v>328500.0</v>
      </c>
      <c r="P278" s="34" t="s">
        <v>85</v>
      </c>
      <c r="Q278" s="33" t="n">
        <f>334500</f>
        <v>334500.0</v>
      </c>
      <c r="R278" s="34" t="s">
        <v>50</v>
      </c>
      <c r="S278" s="35" t="n">
        <f>348761.9</f>
        <v>348761.9</v>
      </c>
      <c r="T278" s="32" t="n">
        <f>37085</f>
        <v>37085.0</v>
      </c>
      <c r="U278" s="32" t="n">
        <f>7095</f>
        <v>7095.0</v>
      </c>
      <c r="V278" s="32" t="n">
        <f>12853726102</f>
        <v>1.2853726102E10</v>
      </c>
      <c r="W278" s="32" t="n">
        <f>2460717102</f>
        <v>2.460717102E9</v>
      </c>
      <c r="X278" s="36" t="n">
        <f>21</f>
        <v>21.0</v>
      </c>
    </row>
    <row r="279">
      <c r="A279" s="27" t="s">
        <v>42</v>
      </c>
      <c r="B279" s="27" t="s">
        <v>886</v>
      </c>
      <c r="C279" s="27" t="s">
        <v>887</v>
      </c>
      <c r="D279" s="27" t="s">
        <v>888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14730</f>
        <v>14730.0</v>
      </c>
      <c r="L279" s="34" t="s">
        <v>48</v>
      </c>
      <c r="M279" s="33" t="n">
        <f>15420</f>
        <v>15420.0</v>
      </c>
      <c r="N279" s="34" t="s">
        <v>116</v>
      </c>
      <c r="O279" s="33" t="n">
        <f>12610</f>
        <v>12610.0</v>
      </c>
      <c r="P279" s="34" t="s">
        <v>68</v>
      </c>
      <c r="Q279" s="33" t="n">
        <f>12940</f>
        <v>12940.0</v>
      </c>
      <c r="R279" s="34" t="s">
        <v>50</v>
      </c>
      <c r="S279" s="35" t="n">
        <f>14077.14</f>
        <v>14077.14</v>
      </c>
      <c r="T279" s="32" t="n">
        <f>1134527</f>
        <v>1134527.0</v>
      </c>
      <c r="U279" s="32" t="n">
        <f>270981</f>
        <v>270981.0</v>
      </c>
      <c r="V279" s="32" t="n">
        <f>15906051463</f>
        <v>1.5906051463E10</v>
      </c>
      <c r="W279" s="32" t="n">
        <f>3805236143</f>
        <v>3.805236143E9</v>
      </c>
      <c r="X279" s="36" t="n">
        <f>21</f>
        <v>21.0</v>
      </c>
    </row>
    <row r="280">
      <c r="A280" s="27" t="s">
        <v>42</v>
      </c>
      <c r="B280" s="27" t="s">
        <v>889</v>
      </c>
      <c r="C280" s="27" t="s">
        <v>890</v>
      </c>
      <c r="D280" s="27" t="s">
        <v>891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77400</f>
        <v>77400.0</v>
      </c>
      <c r="L280" s="34" t="s">
        <v>48</v>
      </c>
      <c r="M280" s="33" t="n">
        <f>78800</f>
        <v>78800.0</v>
      </c>
      <c r="N280" s="34" t="s">
        <v>96</v>
      </c>
      <c r="O280" s="33" t="n">
        <f>70500</f>
        <v>70500.0</v>
      </c>
      <c r="P280" s="34" t="s">
        <v>68</v>
      </c>
      <c r="Q280" s="33" t="n">
        <f>73000</f>
        <v>73000.0</v>
      </c>
      <c r="R280" s="34" t="s">
        <v>50</v>
      </c>
      <c r="S280" s="35" t="n">
        <f>75485.71</f>
        <v>75485.71</v>
      </c>
      <c r="T280" s="32" t="n">
        <f>375749</f>
        <v>375749.0</v>
      </c>
      <c r="U280" s="32" t="n">
        <f>94820</f>
        <v>94820.0</v>
      </c>
      <c r="V280" s="32" t="n">
        <f>28225813056</f>
        <v>2.8225813056E10</v>
      </c>
      <c r="W280" s="32" t="n">
        <f>7103310256</f>
        <v>7.103310256E9</v>
      </c>
      <c r="X280" s="36" t="n">
        <f>21</f>
        <v>21.0</v>
      </c>
    </row>
    <row r="281">
      <c r="A281" s="27" t="s">
        <v>42</v>
      </c>
      <c r="B281" s="27" t="s">
        <v>892</v>
      </c>
      <c r="C281" s="27" t="s">
        <v>893</v>
      </c>
      <c r="D281" s="27" t="s">
        <v>894</v>
      </c>
      <c r="E281" s="28" t="s">
        <v>46</v>
      </c>
      <c r="F281" s="29" t="s">
        <v>46</v>
      </c>
      <c r="G281" s="30" t="s">
        <v>46</v>
      </c>
      <c r="H281" s="31"/>
      <c r="I281" s="31" t="s">
        <v>630</v>
      </c>
      <c r="J281" s="32" t="n">
        <v>1.0</v>
      </c>
      <c r="K281" s="33" t="n">
        <f>110400</f>
        <v>110400.0</v>
      </c>
      <c r="L281" s="34" t="s">
        <v>48</v>
      </c>
      <c r="M281" s="33" t="n">
        <f>115100</f>
        <v>115100.0</v>
      </c>
      <c r="N281" s="34" t="s">
        <v>116</v>
      </c>
      <c r="O281" s="33" t="n">
        <f>103000</f>
        <v>103000.0</v>
      </c>
      <c r="P281" s="34" t="s">
        <v>50</v>
      </c>
      <c r="Q281" s="33" t="n">
        <f>103700</f>
        <v>103700.0</v>
      </c>
      <c r="R281" s="34" t="s">
        <v>50</v>
      </c>
      <c r="S281" s="35" t="n">
        <f>112085.71</f>
        <v>112085.71</v>
      </c>
      <c r="T281" s="32" t="n">
        <f>34861</f>
        <v>34861.0</v>
      </c>
      <c r="U281" s="32" t="n">
        <f>3546</f>
        <v>3546.0</v>
      </c>
      <c r="V281" s="32" t="n">
        <f>3897590070</f>
        <v>3.89759007E9</v>
      </c>
      <c r="W281" s="32" t="n">
        <f>397174370</f>
        <v>3.9717437E8</v>
      </c>
      <c r="X281" s="36" t="n">
        <f>21</f>
        <v>21.0</v>
      </c>
    </row>
    <row r="282">
      <c r="A282" s="27" t="s">
        <v>42</v>
      </c>
      <c r="B282" s="27" t="s">
        <v>895</v>
      </c>
      <c r="C282" s="27" t="s">
        <v>896</v>
      </c>
      <c r="D282" s="27" t="s">
        <v>897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214800</f>
        <v>214800.0</v>
      </c>
      <c r="L282" s="34" t="s">
        <v>48</v>
      </c>
      <c r="M282" s="33" t="n">
        <f>216500</f>
        <v>216500.0</v>
      </c>
      <c r="N282" s="34" t="s">
        <v>48</v>
      </c>
      <c r="O282" s="33" t="n">
        <f>198700</f>
        <v>198700.0</v>
      </c>
      <c r="P282" s="34" t="s">
        <v>50</v>
      </c>
      <c r="Q282" s="33" t="n">
        <f>199200</f>
        <v>199200.0</v>
      </c>
      <c r="R282" s="34" t="s">
        <v>50</v>
      </c>
      <c r="S282" s="35" t="n">
        <f>208423.81</f>
        <v>208423.81</v>
      </c>
      <c r="T282" s="32" t="n">
        <f>91484</f>
        <v>91484.0</v>
      </c>
      <c r="U282" s="32" t="n">
        <f>15351</f>
        <v>15351.0</v>
      </c>
      <c r="V282" s="32" t="n">
        <f>19145817757</f>
        <v>1.9145817757E10</v>
      </c>
      <c r="W282" s="32" t="n">
        <f>3214861557</f>
        <v>3.214861557E9</v>
      </c>
      <c r="X282" s="36" t="n">
        <f>21</f>
        <v>21.0</v>
      </c>
    </row>
    <row r="283">
      <c r="A283" s="27" t="s">
        <v>42</v>
      </c>
      <c r="B283" s="27" t="s">
        <v>898</v>
      </c>
      <c r="C283" s="27" t="s">
        <v>899</v>
      </c>
      <c r="D283" s="27" t="s">
        <v>900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126100</f>
        <v>126100.0</v>
      </c>
      <c r="L283" s="34" t="s">
        <v>48</v>
      </c>
      <c r="M283" s="33" t="n">
        <f>129900</f>
        <v>129900.0</v>
      </c>
      <c r="N283" s="34" t="s">
        <v>307</v>
      </c>
      <c r="O283" s="33" t="n">
        <f>121700</f>
        <v>121700.0</v>
      </c>
      <c r="P283" s="34" t="s">
        <v>177</v>
      </c>
      <c r="Q283" s="33" t="n">
        <f>124800</f>
        <v>124800.0</v>
      </c>
      <c r="R283" s="34" t="s">
        <v>50</v>
      </c>
      <c r="S283" s="35" t="n">
        <f>126704.76</f>
        <v>126704.76</v>
      </c>
      <c r="T283" s="32" t="n">
        <f>14632</f>
        <v>14632.0</v>
      </c>
      <c r="U283" s="32" t="n">
        <f>2995</f>
        <v>2995.0</v>
      </c>
      <c r="V283" s="32" t="n">
        <f>1850937380</f>
        <v>1.85093738E9</v>
      </c>
      <c r="W283" s="32" t="n">
        <f>378542080</f>
        <v>3.7854208E8</v>
      </c>
      <c r="X283" s="36" t="n">
        <f>21</f>
        <v>21.0</v>
      </c>
    </row>
    <row r="284">
      <c r="A284" s="27" t="s">
        <v>42</v>
      </c>
      <c r="B284" s="27" t="s">
        <v>901</v>
      </c>
      <c r="C284" s="27" t="s">
        <v>902</v>
      </c>
      <c r="D284" s="27" t="s">
        <v>903</v>
      </c>
      <c r="E284" s="28" t="s">
        <v>46</v>
      </c>
      <c r="F284" s="29" t="s">
        <v>46</v>
      </c>
      <c r="G284" s="30" t="s">
        <v>46</v>
      </c>
      <c r="H284" s="31"/>
      <c r="I284" s="31" t="s">
        <v>630</v>
      </c>
      <c r="J284" s="32" t="n">
        <v>1.0</v>
      </c>
      <c r="K284" s="33" t="n">
        <f>101800</f>
        <v>101800.0</v>
      </c>
      <c r="L284" s="34" t="s">
        <v>48</v>
      </c>
      <c r="M284" s="33" t="n">
        <f>106100</f>
        <v>106100.0</v>
      </c>
      <c r="N284" s="34" t="s">
        <v>92</v>
      </c>
      <c r="O284" s="33" t="n">
        <f>99800</f>
        <v>99800.0</v>
      </c>
      <c r="P284" s="34" t="s">
        <v>50</v>
      </c>
      <c r="Q284" s="33" t="n">
        <f>100200</f>
        <v>100200.0</v>
      </c>
      <c r="R284" s="34" t="s">
        <v>50</v>
      </c>
      <c r="S284" s="35" t="n">
        <f>102723.81</f>
        <v>102723.81</v>
      </c>
      <c r="T284" s="32" t="n">
        <f>21090</f>
        <v>21090.0</v>
      </c>
      <c r="U284" s="32" t="n">
        <f>2653</f>
        <v>2653.0</v>
      </c>
      <c r="V284" s="32" t="n">
        <f>2168502612</f>
        <v>2.168502612E9</v>
      </c>
      <c r="W284" s="32" t="n">
        <f>271599812</f>
        <v>2.71599812E8</v>
      </c>
      <c r="X284" s="36" t="n">
        <f>21</f>
        <v>21.0</v>
      </c>
    </row>
    <row r="285">
      <c r="A285" s="27" t="s">
        <v>42</v>
      </c>
      <c r="B285" s="27" t="s">
        <v>904</v>
      </c>
      <c r="C285" s="27" t="s">
        <v>905</v>
      </c>
      <c r="D285" s="27" t="s">
        <v>906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133100</f>
        <v>133100.0</v>
      </c>
      <c r="L285" s="34" t="s">
        <v>48</v>
      </c>
      <c r="M285" s="33" t="n">
        <f>138900</f>
        <v>138900.0</v>
      </c>
      <c r="N285" s="34" t="s">
        <v>173</v>
      </c>
      <c r="O285" s="33" t="n">
        <f>123900</f>
        <v>123900.0</v>
      </c>
      <c r="P285" s="34" t="s">
        <v>68</v>
      </c>
      <c r="Q285" s="33" t="n">
        <f>124600</f>
        <v>124600.0</v>
      </c>
      <c r="R285" s="34" t="s">
        <v>50</v>
      </c>
      <c r="S285" s="35" t="n">
        <f>133371.43</f>
        <v>133371.43</v>
      </c>
      <c r="T285" s="32" t="n">
        <f>385342</f>
        <v>385342.0</v>
      </c>
      <c r="U285" s="32" t="n">
        <f>83238</f>
        <v>83238.0</v>
      </c>
      <c r="V285" s="32" t="n">
        <f>51334098174</f>
        <v>5.1334098174E10</v>
      </c>
      <c r="W285" s="32" t="n">
        <f>11038532574</f>
        <v>1.1038532574E10</v>
      </c>
      <c r="X285" s="36" t="n">
        <f>21</f>
        <v>21.0</v>
      </c>
    </row>
    <row r="286">
      <c r="A286" s="27" t="s">
        <v>42</v>
      </c>
      <c r="B286" s="27" t="s">
        <v>907</v>
      </c>
      <c r="C286" s="27" t="s">
        <v>908</v>
      </c>
      <c r="D286" s="27" t="s">
        <v>909</v>
      </c>
      <c r="E286" s="28" t="s">
        <v>46</v>
      </c>
      <c r="F286" s="29" t="s">
        <v>46</v>
      </c>
      <c r="G286" s="30" t="s">
        <v>46</v>
      </c>
      <c r="H286" s="31"/>
      <c r="I286" s="31" t="s">
        <v>630</v>
      </c>
      <c r="J286" s="32" t="n">
        <v>1.0</v>
      </c>
      <c r="K286" s="33" t="n">
        <f>68500</f>
        <v>68500.0</v>
      </c>
      <c r="L286" s="34" t="s">
        <v>48</v>
      </c>
      <c r="M286" s="33" t="n">
        <f>79200</f>
        <v>79200.0</v>
      </c>
      <c r="N286" s="34" t="s">
        <v>67</v>
      </c>
      <c r="O286" s="33" t="n">
        <f>68200</f>
        <v>68200.0</v>
      </c>
      <c r="P286" s="34" t="s">
        <v>50</v>
      </c>
      <c r="Q286" s="33" t="n">
        <f>69300</f>
        <v>69300.0</v>
      </c>
      <c r="R286" s="34" t="s">
        <v>50</v>
      </c>
      <c r="S286" s="35" t="n">
        <f>74452.38</f>
        <v>74452.38</v>
      </c>
      <c r="T286" s="32" t="n">
        <f>36913</f>
        <v>36913.0</v>
      </c>
      <c r="U286" s="32" t="n">
        <f>3144</f>
        <v>3144.0</v>
      </c>
      <c r="V286" s="32" t="n">
        <f>2746256446</f>
        <v>2.746256446E9</v>
      </c>
      <c r="W286" s="32" t="n">
        <f>233769446</f>
        <v>2.33769446E8</v>
      </c>
      <c r="X286" s="36" t="n">
        <f>21</f>
        <v>21.0</v>
      </c>
    </row>
    <row r="287">
      <c r="A287" s="27" t="s">
        <v>42</v>
      </c>
      <c r="B287" s="27" t="s">
        <v>910</v>
      </c>
      <c r="C287" s="27" t="s">
        <v>911</v>
      </c>
      <c r="D287" s="27" t="s">
        <v>912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178000</f>
        <v>178000.0</v>
      </c>
      <c r="L287" s="34" t="s">
        <v>48</v>
      </c>
      <c r="M287" s="33" t="n">
        <f>178100</f>
        <v>178100.0</v>
      </c>
      <c r="N287" s="34" t="s">
        <v>48</v>
      </c>
      <c r="O287" s="33" t="n">
        <f>156800</f>
        <v>156800.0</v>
      </c>
      <c r="P287" s="34" t="s">
        <v>68</v>
      </c>
      <c r="Q287" s="33" t="n">
        <f>162600</f>
        <v>162600.0</v>
      </c>
      <c r="R287" s="34" t="s">
        <v>50</v>
      </c>
      <c r="S287" s="35" t="n">
        <f>166523.81</f>
        <v>166523.81</v>
      </c>
      <c r="T287" s="32" t="n">
        <f>161678</f>
        <v>161678.0</v>
      </c>
      <c r="U287" s="32" t="n">
        <f>46118</f>
        <v>46118.0</v>
      </c>
      <c r="V287" s="32" t="n">
        <f>26874587806</f>
        <v>2.6874587806E10</v>
      </c>
      <c r="W287" s="32" t="n">
        <f>7629405906</f>
        <v>7.629405906E9</v>
      </c>
      <c r="X287" s="36" t="n">
        <f>21</f>
        <v>21.0</v>
      </c>
    </row>
    <row r="288">
      <c r="A288" s="27" t="s">
        <v>42</v>
      </c>
      <c r="B288" s="27" t="s">
        <v>913</v>
      </c>
      <c r="C288" s="27" t="s">
        <v>914</v>
      </c>
      <c r="D288" s="27" t="s">
        <v>915</v>
      </c>
      <c r="E288" s="28" t="s">
        <v>46</v>
      </c>
      <c r="F288" s="29" t="s">
        <v>46</v>
      </c>
      <c r="G288" s="30" t="s">
        <v>46</v>
      </c>
      <c r="H288" s="31"/>
      <c r="I288" s="31" t="s">
        <v>630</v>
      </c>
      <c r="J288" s="32" t="n">
        <v>1.0</v>
      </c>
      <c r="K288" s="33" t="n">
        <f>44050</f>
        <v>44050.0</v>
      </c>
      <c r="L288" s="34" t="s">
        <v>48</v>
      </c>
      <c r="M288" s="33" t="n">
        <f>47750</f>
        <v>47750.0</v>
      </c>
      <c r="N288" s="34" t="s">
        <v>132</v>
      </c>
      <c r="O288" s="33" t="n">
        <f>44000</f>
        <v>44000.0</v>
      </c>
      <c r="P288" s="34" t="s">
        <v>48</v>
      </c>
      <c r="Q288" s="33" t="n">
        <f>44300</f>
        <v>44300.0</v>
      </c>
      <c r="R288" s="34" t="s">
        <v>50</v>
      </c>
      <c r="S288" s="35" t="n">
        <f>46026.19</f>
        <v>46026.19</v>
      </c>
      <c r="T288" s="32" t="n">
        <f>110957</f>
        <v>110957.0</v>
      </c>
      <c r="U288" s="32" t="n">
        <f>16458</f>
        <v>16458.0</v>
      </c>
      <c r="V288" s="32" t="n">
        <f>5114454592</f>
        <v>5.114454592E9</v>
      </c>
      <c r="W288" s="32" t="n">
        <f>757249992</f>
        <v>7.57249992E8</v>
      </c>
      <c r="X288" s="36" t="n">
        <f>21</f>
        <v>21.0</v>
      </c>
    </row>
    <row r="289">
      <c r="A289" s="27" t="s">
        <v>42</v>
      </c>
      <c r="B289" s="27" t="s">
        <v>916</v>
      </c>
      <c r="C289" s="27" t="s">
        <v>917</v>
      </c>
      <c r="D289" s="27" t="s">
        <v>918</v>
      </c>
      <c r="E289" s="28" t="s">
        <v>46</v>
      </c>
      <c r="F289" s="29" t="s">
        <v>46</v>
      </c>
      <c r="G289" s="30" t="s">
        <v>46</v>
      </c>
      <c r="H289" s="31"/>
      <c r="I289" s="31" t="s">
        <v>630</v>
      </c>
      <c r="J289" s="32" t="n">
        <v>1.0</v>
      </c>
      <c r="K289" s="33" t="n">
        <f>106900</f>
        <v>106900.0</v>
      </c>
      <c r="L289" s="34" t="s">
        <v>48</v>
      </c>
      <c r="M289" s="33" t="n">
        <f>113000</f>
        <v>113000.0</v>
      </c>
      <c r="N289" s="34" t="s">
        <v>356</v>
      </c>
      <c r="O289" s="33" t="n">
        <f>104800</f>
        <v>104800.0</v>
      </c>
      <c r="P289" s="34" t="s">
        <v>68</v>
      </c>
      <c r="Q289" s="33" t="n">
        <f>106700</f>
        <v>106700.0</v>
      </c>
      <c r="R289" s="34" t="s">
        <v>50</v>
      </c>
      <c r="S289" s="35" t="n">
        <f>110071.43</f>
        <v>110071.43</v>
      </c>
      <c r="T289" s="32" t="n">
        <f>10050</f>
        <v>10050.0</v>
      </c>
      <c r="U289" s="32" t="n">
        <f>1149</f>
        <v>1149.0</v>
      </c>
      <c r="V289" s="32" t="n">
        <f>1102492933</f>
        <v>1.102492933E9</v>
      </c>
      <c r="W289" s="32" t="n">
        <f>125517833</f>
        <v>1.25517833E8</v>
      </c>
      <c r="X289" s="36" t="n">
        <f>21</f>
        <v>21.0</v>
      </c>
    </row>
    <row r="290">
      <c r="A290" s="27" t="s">
        <v>42</v>
      </c>
      <c r="B290" s="27" t="s">
        <v>919</v>
      </c>
      <c r="C290" s="27" t="s">
        <v>920</v>
      </c>
      <c r="D290" s="27" t="s">
        <v>921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499500</f>
        <v>499500.0</v>
      </c>
      <c r="L290" s="34" t="s">
        <v>48</v>
      </c>
      <c r="M290" s="33" t="n">
        <f>507000</f>
        <v>507000.0</v>
      </c>
      <c r="N290" s="34" t="s">
        <v>72</v>
      </c>
      <c r="O290" s="33" t="n">
        <f>478500</f>
        <v>478500.0</v>
      </c>
      <c r="P290" s="34" t="s">
        <v>68</v>
      </c>
      <c r="Q290" s="33" t="n">
        <f>499000</f>
        <v>499000.0</v>
      </c>
      <c r="R290" s="34" t="s">
        <v>50</v>
      </c>
      <c r="S290" s="35" t="n">
        <f>493190.48</f>
        <v>493190.48</v>
      </c>
      <c r="T290" s="32" t="n">
        <f>147600</f>
        <v>147600.0</v>
      </c>
      <c r="U290" s="32" t="n">
        <f>27317</f>
        <v>27317.0</v>
      </c>
      <c r="V290" s="32" t="n">
        <f>73537236993</f>
        <v>7.3537236993E10</v>
      </c>
      <c r="W290" s="32" t="n">
        <f>13626822493</f>
        <v>1.3626822493E10</v>
      </c>
      <c r="X290" s="36" t="n">
        <f>21</f>
        <v>21.0</v>
      </c>
    </row>
    <row r="291">
      <c r="A291" s="27" t="s">
        <v>42</v>
      </c>
      <c r="B291" s="27" t="s">
        <v>922</v>
      </c>
      <c r="C291" s="27" t="s">
        <v>923</v>
      </c>
      <c r="D291" s="27" t="s">
        <v>924</v>
      </c>
      <c r="E291" s="28" t="s">
        <v>46</v>
      </c>
      <c r="F291" s="29" t="s">
        <v>46</v>
      </c>
      <c r="G291" s="30" t="s">
        <v>46</v>
      </c>
      <c r="H291" s="31"/>
      <c r="I291" s="31" t="s">
        <v>630</v>
      </c>
      <c r="J291" s="32" t="n">
        <v>1.0</v>
      </c>
      <c r="K291" s="33" t="n">
        <f>69900</f>
        <v>69900.0</v>
      </c>
      <c r="L291" s="34" t="s">
        <v>48</v>
      </c>
      <c r="M291" s="33" t="n">
        <f>74900</f>
        <v>74900.0</v>
      </c>
      <c r="N291" s="34" t="s">
        <v>49</v>
      </c>
      <c r="O291" s="33" t="n">
        <f>68300</f>
        <v>68300.0</v>
      </c>
      <c r="P291" s="34" t="s">
        <v>68</v>
      </c>
      <c r="Q291" s="33" t="n">
        <f>69700</f>
        <v>69700.0</v>
      </c>
      <c r="R291" s="34" t="s">
        <v>50</v>
      </c>
      <c r="S291" s="35" t="n">
        <f>72157.14</f>
        <v>72157.14</v>
      </c>
      <c r="T291" s="32" t="n">
        <f>21439</f>
        <v>21439.0</v>
      </c>
      <c r="U291" s="32" t="n">
        <f>2435</f>
        <v>2435.0</v>
      </c>
      <c r="V291" s="32" t="n">
        <f>1544949168</f>
        <v>1.544949168E9</v>
      </c>
      <c r="W291" s="32" t="n">
        <f>174853668</f>
        <v>1.74853668E8</v>
      </c>
      <c r="X291" s="36" t="n">
        <f>21</f>
        <v>21.0</v>
      </c>
    </row>
    <row r="292">
      <c r="A292" s="27" t="s">
        <v>42</v>
      </c>
      <c r="B292" s="27" t="s">
        <v>925</v>
      </c>
      <c r="C292" s="27" t="s">
        <v>926</v>
      </c>
      <c r="D292" s="27" t="s">
        <v>927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40050</f>
        <v>40050.0</v>
      </c>
      <c r="L292" s="34" t="s">
        <v>48</v>
      </c>
      <c r="M292" s="33" t="n">
        <f>41350</f>
        <v>41350.0</v>
      </c>
      <c r="N292" s="34" t="s">
        <v>49</v>
      </c>
      <c r="O292" s="33" t="n">
        <f>35750</f>
        <v>35750.0</v>
      </c>
      <c r="P292" s="34" t="s">
        <v>68</v>
      </c>
      <c r="Q292" s="33" t="n">
        <f>36050</f>
        <v>36050.0</v>
      </c>
      <c r="R292" s="34" t="s">
        <v>50</v>
      </c>
      <c r="S292" s="35" t="n">
        <f>39600</f>
        <v>39600.0</v>
      </c>
      <c r="T292" s="32" t="n">
        <f>272073</f>
        <v>272073.0</v>
      </c>
      <c r="U292" s="32" t="n">
        <f>20379</f>
        <v>20379.0</v>
      </c>
      <c r="V292" s="32" t="n">
        <f>10720963711</f>
        <v>1.0720963711E10</v>
      </c>
      <c r="W292" s="32" t="n">
        <f>806228611</f>
        <v>8.06228611E8</v>
      </c>
      <c r="X292" s="36" t="n">
        <f>21</f>
        <v>21.0</v>
      </c>
    </row>
    <row r="293">
      <c r="A293" s="27" t="s">
        <v>42</v>
      </c>
      <c r="B293" s="27" t="s">
        <v>928</v>
      </c>
      <c r="C293" s="27" t="s">
        <v>929</v>
      </c>
      <c r="D293" s="27" t="s">
        <v>930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110200</f>
        <v>110200.0</v>
      </c>
      <c r="L293" s="34" t="s">
        <v>48</v>
      </c>
      <c r="M293" s="33" t="n">
        <f>124300</f>
        <v>124300.0</v>
      </c>
      <c r="N293" s="34" t="s">
        <v>116</v>
      </c>
      <c r="O293" s="33" t="n">
        <f>106500</f>
        <v>106500.0</v>
      </c>
      <c r="P293" s="34" t="s">
        <v>50</v>
      </c>
      <c r="Q293" s="33" t="n">
        <f>107700</f>
        <v>107700.0</v>
      </c>
      <c r="R293" s="34" t="s">
        <v>50</v>
      </c>
      <c r="S293" s="35" t="n">
        <f>118400</f>
        <v>118400.0</v>
      </c>
      <c r="T293" s="32" t="n">
        <f>31379</f>
        <v>31379.0</v>
      </c>
      <c r="U293" s="32" t="n">
        <f>3942</f>
        <v>3942.0</v>
      </c>
      <c r="V293" s="32" t="n">
        <f>3708952294</f>
        <v>3.708952294E9</v>
      </c>
      <c r="W293" s="32" t="n">
        <f>463526594</f>
        <v>4.63526594E8</v>
      </c>
      <c r="X293" s="36" t="n">
        <f>21</f>
        <v>21.0</v>
      </c>
    </row>
    <row r="294">
      <c r="A294" s="27" t="s">
        <v>42</v>
      </c>
      <c r="B294" s="27" t="s">
        <v>931</v>
      </c>
      <c r="C294" s="27" t="s">
        <v>932</v>
      </c>
      <c r="D294" s="27" t="s">
        <v>933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428500</f>
        <v>428500.0</v>
      </c>
      <c r="L294" s="34" t="s">
        <v>48</v>
      </c>
      <c r="M294" s="33" t="n">
        <f>433000</f>
        <v>433000.0</v>
      </c>
      <c r="N294" s="34" t="s">
        <v>48</v>
      </c>
      <c r="O294" s="33" t="n">
        <f>397500</f>
        <v>397500.0</v>
      </c>
      <c r="P294" s="34" t="s">
        <v>60</v>
      </c>
      <c r="Q294" s="33" t="n">
        <f>416000</f>
        <v>416000.0</v>
      </c>
      <c r="R294" s="34" t="s">
        <v>50</v>
      </c>
      <c r="S294" s="35" t="n">
        <f>414261.9</f>
        <v>414261.9</v>
      </c>
      <c r="T294" s="32" t="n">
        <f>27475</f>
        <v>27475.0</v>
      </c>
      <c r="U294" s="32" t="n">
        <f>4818</f>
        <v>4818.0</v>
      </c>
      <c r="V294" s="32" t="n">
        <f>11373805688</f>
        <v>1.1373805688E10</v>
      </c>
      <c r="W294" s="32" t="n">
        <f>1998917688</f>
        <v>1.998917688E9</v>
      </c>
      <c r="X294" s="36" t="n">
        <f>21</f>
        <v>21.0</v>
      </c>
    </row>
    <row r="295">
      <c r="A295" s="27" t="s">
        <v>42</v>
      </c>
      <c r="B295" s="27" t="s">
        <v>934</v>
      </c>
      <c r="C295" s="27" t="s">
        <v>935</v>
      </c>
      <c r="D295" s="27" t="s">
        <v>936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156200</f>
        <v>156200.0</v>
      </c>
      <c r="L295" s="34" t="s">
        <v>48</v>
      </c>
      <c r="M295" s="33" t="n">
        <f>165500</f>
        <v>165500.0</v>
      </c>
      <c r="N295" s="34" t="s">
        <v>220</v>
      </c>
      <c r="O295" s="33" t="n">
        <f>149400</f>
        <v>149400.0</v>
      </c>
      <c r="P295" s="34" t="s">
        <v>85</v>
      </c>
      <c r="Q295" s="33" t="n">
        <f>152600</f>
        <v>152600.0</v>
      </c>
      <c r="R295" s="34" t="s">
        <v>50</v>
      </c>
      <c r="S295" s="35" t="n">
        <f>157095.24</f>
        <v>157095.24</v>
      </c>
      <c r="T295" s="32" t="n">
        <f>44455</f>
        <v>44455.0</v>
      </c>
      <c r="U295" s="32" t="n">
        <f>5347</f>
        <v>5347.0</v>
      </c>
      <c r="V295" s="32" t="n">
        <f>7010074747</f>
        <v>7.010074747E9</v>
      </c>
      <c r="W295" s="32" t="n">
        <f>839226947</f>
        <v>8.39226947E8</v>
      </c>
      <c r="X295" s="36" t="n">
        <f>21</f>
        <v>21.0</v>
      </c>
    </row>
    <row r="296">
      <c r="A296" s="27" t="s">
        <v>42</v>
      </c>
      <c r="B296" s="27" t="s">
        <v>937</v>
      </c>
      <c r="C296" s="27" t="s">
        <v>938</v>
      </c>
      <c r="D296" s="27" t="s">
        <v>939</v>
      </c>
      <c r="E296" s="28" t="s">
        <v>46</v>
      </c>
      <c r="F296" s="29" t="s">
        <v>46</v>
      </c>
      <c r="G296" s="30" t="s">
        <v>46</v>
      </c>
      <c r="H296" s="31"/>
      <c r="I296" s="31" t="s">
        <v>630</v>
      </c>
      <c r="J296" s="32" t="n">
        <v>1.0</v>
      </c>
      <c r="K296" s="33" t="n">
        <f>92900</f>
        <v>92900.0</v>
      </c>
      <c r="L296" s="34" t="s">
        <v>48</v>
      </c>
      <c r="M296" s="33" t="n">
        <f>97200</f>
        <v>97200.0</v>
      </c>
      <c r="N296" s="34" t="s">
        <v>67</v>
      </c>
      <c r="O296" s="33" t="n">
        <f>85400</f>
        <v>85400.0</v>
      </c>
      <c r="P296" s="34" t="s">
        <v>50</v>
      </c>
      <c r="Q296" s="33" t="n">
        <f>85900</f>
        <v>85900.0</v>
      </c>
      <c r="R296" s="34" t="s">
        <v>50</v>
      </c>
      <c r="S296" s="35" t="n">
        <f>92185.71</f>
        <v>92185.71</v>
      </c>
      <c r="T296" s="32" t="n">
        <f>32415</f>
        <v>32415.0</v>
      </c>
      <c r="U296" s="32" t="n">
        <f>2286</f>
        <v>2286.0</v>
      </c>
      <c r="V296" s="32" t="n">
        <f>2972680221</f>
        <v>2.972680221E9</v>
      </c>
      <c r="W296" s="32" t="n">
        <f>210538621</f>
        <v>2.10538621E8</v>
      </c>
      <c r="X296" s="36" t="n">
        <f>21</f>
        <v>21.0</v>
      </c>
    </row>
    <row r="297">
      <c r="A297" s="27" t="s">
        <v>42</v>
      </c>
      <c r="B297" s="27" t="s">
        <v>940</v>
      </c>
      <c r="C297" s="27" t="s">
        <v>941</v>
      </c>
      <c r="D297" s="27" t="s">
        <v>942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87700</f>
        <v>87700.0</v>
      </c>
      <c r="L297" s="34" t="s">
        <v>48</v>
      </c>
      <c r="M297" s="33" t="n">
        <f>91100</f>
        <v>91100.0</v>
      </c>
      <c r="N297" s="34" t="s">
        <v>116</v>
      </c>
      <c r="O297" s="33" t="n">
        <f>82700</f>
        <v>82700.0</v>
      </c>
      <c r="P297" s="34" t="s">
        <v>50</v>
      </c>
      <c r="Q297" s="33" t="n">
        <f>83300</f>
        <v>83300.0</v>
      </c>
      <c r="R297" s="34" t="s">
        <v>50</v>
      </c>
      <c r="S297" s="35" t="n">
        <f>87714.29</f>
        <v>87714.29</v>
      </c>
      <c r="T297" s="32" t="n">
        <f>58819</f>
        <v>58819.0</v>
      </c>
      <c r="U297" s="32" t="n">
        <f>5461</f>
        <v>5461.0</v>
      </c>
      <c r="V297" s="32" t="n">
        <f>5150549775</f>
        <v>5.150549775E9</v>
      </c>
      <c r="W297" s="32" t="n">
        <f>476761375</f>
        <v>4.76761375E8</v>
      </c>
      <c r="X297" s="36" t="n">
        <f>21</f>
        <v>21.0</v>
      </c>
    </row>
    <row r="298">
      <c r="A298" s="27" t="s">
        <v>42</v>
      </c>
      <c r="B298" s="27" t="s">
        <v>943</v>
      </c>
      <c r="C298" s="27" t="s">
        <v>944</v>
      </c>
      <c r="D298" s="27" t="s">
        <v>945</v>
      </c>
      <c r="E298" s="28" t="s">
        <v>46</v>
      </c>
      <c r="F298" s="29" t="s">
        <v>46</v>
      </c>
      <c r="G298" s="30" t="s">
        <v>46</v>
      </c>
      <c r="H298" s="31"/>
      <c r="I298" s="31" t="s">
        <v>630</v>
      </c>
      <c r="J298" s="32" t="n">
        <v>1.0</v>
      </c>
      <c r="K298" s="33" t="n">
        <f>148700</f>
        <v>148700.0</v>
      </c>
      <c r="L298" s="34" t="s">
        <v>48</v>
      </c>
      <c r="M298" s="33" t="n">
        <f>150400</f>
        <v>150400.0</v>
      </c>
      <c r="N298" s="34" t="s">
        <v>116</v>
      </c>
      <c r="O298" s="33" t="n">
        <f>133800</f>
        <v>133800.0</v>
      </c>
      <c r="P298" s="34" t="s">
        <v>85</v>
      </c>
      <c r="Q298" s="33" t="n">
        <f>142600</f>
        <v>142600.0</v>
      </c>
      <c r="R298" s="34" t="s">
        <v>50</v>
      </c>
      <c r="S298" s="35" t="n">
        <f>143152.38</f>
        <v>143152.38</v>
      </c>
      <c r="T298" s="32" t="n">
        <f>40235</f>
        <v>40235.0</v>
      </c>
      <c r="U298" s="32" t="n">
        <f>7375</f>
        <v>7375.0</v>
      </c>
      <c r="V298" s="32" t="n">
        <f>5764216867</f>
        <v>5.764216867E9</v>
      </c>
      <c r="W298" s="32" t="n">
        <f>1046751667</f>
        <v>1.046751667E9</v>
      </c>
      <c r="X298" s="36" t="n">
        <f>21</f>
        <v>21.0</v>
      </c>
    </row>
    <row r="299">
      <c r="A299" s="27" t="s">
        <v>42</v>
      </c>
      <c r="B299" s="27" t="s">
        <v>946</v>
      </c>
      <c r="C299" s="27" t="s">
        <v>947</v>
      </c>
      <c r="D299" s="27" t="s">
        <v>948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597000</f>
        <v>597000.0</v>
      </c>
      <c r="L299" s="34" t="s">
        <v>48</v>
      </c>
      <c r="M299" s="33" t="n">
        <f>613000</f>
        <v>613000.0</v>
      </c>
      <c r="N299" s="34" t="s">
        <v>48</v>
      </c>
      <c r="O299" s="33" t="n">
        <f>522000</f>
        <v>522000.0</v>
      </c>
      <c r="P299" s="34" t="s">
        <v>68</v>
      </c>
      <c r="Q299" s="33" t="n">
        <f>528000</f>
        <v>528000.0</v>
      </c>
      <c r="R299" s="34" t="s">
        <v>50</v>
      </c>
      <c r="S299" s="35" t="n">
        <f>565428.57</f>
        <v>565428.57</v>
      </c>
      <c r="T299" s="32" t="n">
        <f>495773</f>
        <v>495773.0</v>
      </c>
      <c r="U299" s="32" t="n">
        <f>69388</f>
        <v>69388.0</v>
      </c>
      <c r="V299" s="32" t="n">
        <f>272843121562</f>
        <v>2.72843121562E11</v>
      </c>
      <c r="W299" s="32" t="n">
        <f>38436923562</f>
        <v>3.8436923562E10</v>
      </c>
      <c r="X299" s="36" t="n">
        <f>21</f>
        <v>21.0</v>
      </c>
    </row>
    <row r="300">
      <c r="A300" s="27" t="s">
        <v>42</v>
      </c>
      <c r="B300" s="27" t="s">
        <v>949</v>
      </c>
      <c r="C300" s="27" t="s">
        <v>950</v>
      </c>
      <c r="D300" s="27" t="s">
        <v>951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540000</f>
        <v>540000.0</v>
      </c>
      <c r="L300" s="34" t="s">
        <v>48</v>
      </c>
      <c r="M300" s="33" t="n">
        <f>554000</f>
        <v>554000.0</v>
      </c>
      <c r="N300" s="34" t="s">
        <v>116</v>
      </c>
      <c r="O300" s="33" t="n">
        <f>503000</f>
        <v>503000.0</v>
      </c>
      <c r="P300" s="34" t="s">
        <v>68</v>
      </c>
      <c r="Q300" s="33" t="n">
        <f>512000</f>
        <v>512000.0</v>
      </c>
      <c r="R300" s="34" t="s">
        <v>50</v>
      </c>
      <c r="S300" s="35" t="n">
        <f>527333.33</f>
        <v>527333.33</v>
      </c>
      <c r="T300" s="32" t="n">
        <f>115229</f>
        <v>115229.0</v>
      </c>
      <c r="U300" s="32" t="n">
        <f>25136</f>
        <v>25136.0</v>
      </c>
      <c r="V300" s="32" t="n">
        <f>60735691166</f>
        <v>6.0735691166E10</v>
      </c>
      <c r="W300" s="32" t="n">
        <f>13259971166</f>
        <v>1.3259971166E10</v>
      </c>
      <c r="X300" s="36" t="n">
        <f>21</f>
        <v>21.0</v>
      </c>
    </row>
    <row r="301">
      <c r="A301" s="27" t="s">
        <v>42</v>
      </c>
      <c r="B301" s="27" t="s">
        <v>952</v>
      </c>
      <c r="C301" s="27" t="s">
        <v>953</v>
      </c>
      <c r="D301" s="27" t="s">
        <v>954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161900</f>
        <v>161900.0</v>
      </c>
      <c r="L301" s="34" t="s">
        <v>48</v>
      </c>
      <c r="M301" s="33" t="n">
        <f>172400</f>
        <v>172400.0</v>
      </c>
      <c r="N301" s="34" t="s">
        <v>356</v>
      </c>
      <c r="O301" s="33" t="n">
        <f>149600</f>
        <v>149600.0</v>
      </c>
      <c r="P301" s="34" t="s">
        <v>50</v>
      </c>
      <c r="Q301" s="33" t="n">
        <f>150300</f>
        <v>150300.0</v>
      </c>
      <c r="R301" s="34" t="s">
        <v>50</v>
      </c>
      <c r="S301" s="35" t="n">
        <f>163728.57</f>
        <v>163728.57</v>
      </c>
      <c r="T301" s="32" t="n">
        <f>381211</f>
        <v>381211.0</v>
      </c>
      <c r="U301" s="32" t="n">
        <f>61920</f>
        <v>61920.0</v>
      </c>
      <c r="V301" s="32" t="n">
        <f>62390501537</f>
        <v>6.2390501537E10</v>
      </c>
      <c r="W301" s="32" t="n">
        <f>10138893937</f>
        <v>1.0138893937E10</v>
      </c>
      <c r="X301" s="36" t="n">
        <f>21</f>
        <v>21.0</v>
      </c>
    </row>
    <row r="302">
      <c r="A302" s="27" t="s">
        <v>42</v>
      </c>
      <c r="B302" s="27" t="s">
        <v>955</v>
      </c>
      <c r="C302" s="27" t="s">
        <v>956</v>
      </c>
      <c r="D302" s="27" t="s">
        <v>957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160300</f>
        <v>160300.0</v>
      </c>
      <c r="L302" s="34" t="s">
        <v>48</v>
      </c>
      <c r="M302" s="33" t="n">
        <f>164700</f>
        <v>164700.0</v>
      </c>
      <c r="N302" s="34" t="s">
        <v>96</v>
      </c>
      <c r="O302" s="33" t="n">
        <f>145800</f>
        <v>145800.0</v>
      </c>
      <c r="P302" s="34" t="s">
        <v>50</v>
      </c>
      <c r="Q302" s="33" t="n">
        <f>146500</f>
        <v>146500.0</v>
      </c>
      <c r="R302" s="34" t="s">
        <v>50</v>
      </c>
      <c r="S302" s="35" t="n">
        <f>155785.71</f>
        <v>155785.71</v>
      </c>
      <c r="T302" s="32" t="n">
        <f>268674</f>
        <v>268674.0</v>
      </c>
      <c r="U302" s="32" t="n">
        <f>48202</f>
        <v>48202.0</v>
      </c>
      <c r="V302" s="32" t="n">
        <f>41890380572</f>
        <v>4.1890380572E10</v>
      </c>
      <c r="W302" s="32" t="n">
        <f>7521605372</f>
        <v>7.521605372E9</v>
      </c>
      <c r="X302" s="36" t="n">
        <f>21</f>
        <v>21.0</v>
      </c>
    </row>
    <row r="303">
      <c r="A303" s="27" t="s">
        <v>42</v>
      </c>
      <c r="B303" s="27" t="s">
        <v>958</v>
      </c>
      <c r="C303" s="27" t="s">
        <v>959</v>
      </c>
      <c r="D303" s="27" t="s">
        <v>960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324000</f>
        <v>324000.0</v>
      </c>
      <c r="L303" s="34" t="s">
        <v>48</v>
      </c>
      <c r="M303" s="33" t="n">
        <f>340000</f>
        <v>340000.0</v>
      </c>
      <c r="N303" s="34" t="s">
        <v>116</v>
      </c>
      <c r="O303" s="33" t="n">
        <f>280400</f>
        <v>280400.0</v>
      </c>
      <c r="P303" s="34" t="s">
        <v>50</v>
      </c>
      <c r="Q303" s="33" t="n">
        <f>282500</f>
        <v>282500.0</v>
      </c>
      <c r="R303" s="34" t="s">
        <v>50</v>
      </c>
      <c r="S303" s="35" t="n">
        <f>315257.14</f>
        <v>315257.14</v>
      </c>
      <c r="T303" s="32" t="n">
        <f>107889</f>
        <v>107889.0</v>
      </c>
      <c r="U303" s="32" t="n">
        <f>21918</f>
        <v>21918.0</v>
      </c>
      <c r="V303" s="32" t="n">
        <f>33527311758</f>
        <v>3.3527311758E10</v>
      </c>
      <c r="W303" s="32" t="n">
        <f>6828896158</f>
        <v>6.828896158E9</v>
      </c>
      <c r="X303" s="36" t="n">
        <f>21</f>
        <v>21.0</v>
      </c>
    </row>
    <row r="304">
      <c r="A304" s="27" t="s">
        <v>42</v>
      </c>
      <c r="B304" s="27" t="s">
        <v>961</v>
      </c>
      <c r="C304" s="27" t="s">
        <v>962</v>
      </c>
      <c r="D304" s="27" t="s">
        <v>963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124300</f>
        <v>124300.0</v>
      </c>
      <c r="L304" s="34" t="s">
        <v>48</v>
      </c>
      <c r="M304" s="33" t="n">
        <f>127400</f>
        <v>127400.0</v>
      </c>
      <c r="N304" s="34" t="s">
        <v>116</v>
      </c>
      <c r="O304" s="33" t="n">
        <f>112500</f>
        <v>112500.0</v>
      </c>
      <c r="P304" s="34" t="s">
        <v>68</v>
      </c>
      <c r="Q304" s="33" t="n">
        <f>114700</f>
        <v>114700.0</v>
      </c>
      <c r="R304" s="34" t="s">
        <v>50</v>
      </c>
      <c r="S304" s="35" t="n">
        <f>122266.67</f>
        <v>122266.67</v>
      </c>
      <c r="T304" s="32" t="n">
        <f>127640</f>
        <v>127640.0</v>
      </c>
      <c r="U304" s="32" t="n">
        <f>30199</f>
        <v>30199.0</v>
      </c>
      <c r="V304" s="32" t="n">
        <f>15518078457</f>
        <v>1.5518078457E10</v>
      </c>
      <c r="W304" s="32" t="n">
        <f>3661669957</f>
        <v>3.661669957E9</v>
      </c>
      <c r="X304" s="36" t="n">
        <f>21</f>
        <v>21.0</v>
      </c>
    </row>
    <row r="305">
      <c r="A305" s="27" t="s">
        <v>42</v>
      </c>
      <c r="B305" s="27" t="s">
        <v>964</v>
      </c>
      <c r="C305" s="27" t="s">
        <v>965</v>
      </c>
      <c r="D305" s="27" t="s">
        <v>966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148400</f>
        <v>148400.0</v>
      </c>
      <c r="L305" s="34" t="s">
        <v>48</v>
      </c>
      <c r="M305" s="33" t="n">
        <f>153700</f>
        <v>153700.0</v>
      </c>
      <c r="N305" s="34" t="s">
        <v>96</v>
      </c>
      <c r="O305" s="33" t="n">
        <f>140300</f>
        <v>140300.0</v>
      </c>
      <c r="P305" s="34" t="s">
        <v>50</v>
      </c>
      <c r="Q305" s="33" t="n">
        <f>141800</f>
        <v>141800.0</v>
      </c>
      <c r="R305" s="34" t="s">
        <v>50</v>
      </c>
      <c r="S305" s="35" t="n">
        <f>147204.76</f>
        <v>147204.76</v>
      </c>
      <c r="T305" s="32" t="n">
        <f>66365</f>
        <v>66365.0</v>
      </c>
      <c r="U305" s="32" t="n">
        <f>13744</f>
        <v>13744.0</v>
      </c>
      <c r="V305" s="32" t="n">
        <f>9762715777</f>
        <v>9.762715777E9</v>
      </c>
      <c r="W305" s="32" t="n">
        <f>2012660077</f>
        <v>2.012660077E9</v>
      </c>
      <c r="X305" s="36" t="n">
        <f>21</f>
        <v>21.0</v>
      </c>
    </row>
    <row r="306">
      <c r="A306" s="27" t="s">
        <v>42</v>
      </c>
      <c r="B306" s="27" t="s">
        <v>967</v>
      </c>
      <c r="C306" s="27" t="s">
        <v>968</v>
      </c>
      <c r="D306" s="27" t="s">
        <v>969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101900</f>
        <v>101900.0</v>
      </c>
      <c r="L306" s="34" t="s">
        <v>48</v>
      </c>
      <c r="M306" s="33" t="n">
        <f>105400</f>
        <v>105400.0</v>
      </c>
      <c r="N306" s="34" t="s">
        <v>116</v>
      </c>
      <c r="O306" s="33" t="n">
        <f>93100</f>
        <v>93100.0</v>
      </c>
      <c r="P306" s="34" t="s">
        <v>68</v>
      </c>
      <c r="Q306" s="33" t="n">
        <f>94200</f>
        <v>94200.0</v>
      </c>
      <c r="R306" s="34" t="s">
        <v>50</v>
      </c>
      <c r="S306" s="35" t="n">
        <f>99180.95</f>
        <v>99180.95</v>
      </c>
      <c r="T306" s="32" t="n">
        <f>84374</f>
        <v>84374.0</v>
      </c>
      <c r="U306" s="32" t="n">
        <f>23117</f>
        <v>23117.0</v>
      </c>
      <c r="V306" s="32" t="n">
        <f>8373960541</f>
        <v>8.373960541E9</v>
      </c>
      <c r="W306" s="32" t="n">
        <f>2291585941</f>
        <v>2.291585941E9</v>
      </c>
      <c r="X306" s="36" t="n">
        <f>21</f>
        <v>21.0</v>
      </c>
    </row>
    <row r="307">
      <c r="A307" s="27" t="s">
        <v>42</v>
      </c>
      <c r="B307" s="27" t="s">
        <v>970</v>
      </c>
      <c r="C307" s="27" t="s">
        <v>971</v>
      </c>
      <c r="D307" s="27" t="s">
        <v>972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117800</f>
        <v>117800.0</v>
      </c>
      <c r="L307" s="34" t="s">
        <v>48</v>
      </c>
      <c r="M307" s="33" t="n">
        <f>126300</f>
        <v>126300.0</v>
      </c>
      <c r="N307" s="34" t="s">
        <v>220</v>
      </c>
      <c r="O307" s="33" t="n">
        <f>109600</f>
        <v>109600.0</v>
      </c>
      <c r="P307" s="34" t="s">
        <v>68</v>
      </c>
      <c r="Q307" s="33" t="n">
        <f>111300</f>
        <v>111300.0</v>
      </c>
      <c r="R307" s="34" t="s">
        <v>50</v>
      </c>
      <c r="S307" s="35" t="n">
        <f>119695.24</f>
        <v>119695.24</v>
      </c>
      <c r="T307" s="32" t="n">
        <f>253081</f>
        <v>253081.0</v>
      </c>
      <c r="U307" s="32" t="n">
        <f>52073</f>
        <v>52073.0</v>
      </c>
      <c r="V307" s="32" t="n">
        <f>30270977676</f>
        <v>3.0270977676E10</v>
      </c>
      <c r="W307" s="32" t="n">
        <f>6201166276</f>
        <v>6.201166276E9</v>
      </c>
      <c r="X307" s="36" t="n">
        <f>21</f>
        <v>21.0</v>
      </c>
    </row>
    <row r="308">
      <c r="A308" s="27" t="s">
        <v>42</v>
      </c>
      <c r="B308" s="27" t="s">
        <v>973</v>
      </c>
      <c r="C308" s="27" t="s">
        <v>974</v>
      </c>
      <c r="D308" s="27" t="s">
        <v>975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134000</f>
        <v>134000.0</v>
      </c>
      <c r="L308" s="34" t="s">
        <v>48</v>
      </c>
      <c r="M308" s="33" t="n">
        <f>137900</f>
        <v>137900.0</v>
      </c>
      <c r="N308" s="34" t="s">
        <v>116</v>
      </c>
      <c r="O308" s="33" t="n">
        <f>123300</f>
        <v>123300.0</v>
      </c>
      <c r="P308" s="34" t="s">
        <v>68</v>
      </c>
      <c r="Q308" s="33" t="n">
        <f>124600</f>
        <v>124600.0</v>
      </c>
      <c r="R308" s="34" t="s">
        <v>50</v>
      </c>
      <c r="S308" s="35" t="n">
        <f>131180.95</f>
        <v>131180.95</v>
      </c>
      <c r="T308" s="32" t="n">
        <f>81301</f>
        <v>81301.0</v>
      </c>
      <c r="U308" s="32" t="n">
        <f>14391</f>
        <v>14391.0</v>
      </c>
      <c r="V308" s="32" t="n">
        <f>10662849499</f>
        <v>1.0662849499E10</v>
      </c>
      <c r="W308" s="32" t="n">
        <f>1886339699</f>
        <v>1.886339699E9</v>
      </c>
      <c r="X308" s="36" t="n">
        <f>21</f>
        <v>21.0</v>
      </c>
    </row>
    <row r="309">
      <c r="A309" s="27" t="s">
        <v>42</v>
      </c>
      <c r="B309" s="27" t="s">
        <v>976</v>
      </c>
      <c r="C309" s="27" t="s">
        <v>977</v>
      </c>
      <c r="D309" s="27" t="s">
        <v>978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31700</f>
        <v>31700.0</v>
      </c>
      <c r="L309" s="34" t="s">
        <v>48</v>
      </c>
      <c r="M309" s="33" t="n">
        <f>37350</f>
        <v>37350.0</v>
      </c>
      <c r="N309" s="34" t="s">
        <v>103</v>
      </c>
      <c r="O309" s="33" t="n">
        <f>31550</f>
        <v>31550.0</v>
      </c>
      <c r="P309" s="34" t="s">
        <v>48</v>
      </c>
      <c r="Q309" s="33" t="n">
        <f>33250</f>
        <v>33250.0</v>
      </c>
      <c r="R309" s="34" t="s">
        <v>50</v>
      </c>
      <c r="S309" s="35" t="n">
        <f>35345.24</f>
        <v>35345.24</v>
      </c>
      <c r="T309" s="32" t="n">
        <f>957237</f>
        <v>957237.0</v>
      </c>
      <c r="U309" s="32" t="n">
        <f>150986</f>
        <v>150986.0</v>
      </c>
      <c r="V309" s="32" t="n">
        <f>33700548906</f>
        <v>3.3700548906E10</v>
      </c>
      <c r="W309" s="32" t="n">
        <f>5318508656</f>
        <v>5.318508656E9</v>
      </c>
      <c r="X309" s="36" t="n">
        <f>21</f>
        <v>21.0</v>
      </c>
    </row>
    <row r="310">
      <c r="A310" s="27" t="s">
        <v>42</v>
      </c>
      <c r="B310" s="27" t="s">
        <v>979</v>
      </c>
      <c r="C310" s="27" t="s">
        <v>980</v>
      </c>
      <c r="D310" s="27" t="s">
        <v>981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360000</f>
        <v>360000.0</v>
      </c>
      <c r="L310" s="34" t="s">
        <v>48</v>
      </c>
      <c r="M310" s="33" t="n">
        <f>376500</f>
        <v>376500.0</v>
      </c>
      <c r="N310" s="34" t="s">
        <v>132</v>
      </c>
      <c r="O310" s="33" t="n">
        <f>346000</f>
        <v>346000.0</v>
      </c>
      <c r="P310" s="34" t="s">
        <v>50</v>
      </c>
      <c r="Q310" s="33" t="n">
        <f>349500</f>
        <v>349500.0</v>
      </c>
      <c r="R310" s="34" t="s">
        <v>50</v>
      </c>
      <c r="S310" s="35" t="n">
        <f>366380.95</f>
        <v>366380.95</v>
      </c>
      <c r="T310" s="32" t="n">
        <f>43521</f>
        <v>43521.0</v>
      </c>
      <c r="U310" s="32" t="n">
        <f>6741</f>
        <v>6741.0</v>
      </c>
      <c r="V310" s="32" t="n">
        <f>15937787118</f>
        <v>1.5937787118E10</v>
      </c>
      <c r="W310" s="32" t="n">
        <f>2471601118</f>
        <v>2.471601118E9</v>
      </c>
      <c r="X310" s="36" t="n">
        <f>21</f>
        <v>21.0</v>
      </c>
    </row>
    <row r="311">
      <c r="A311" s="27" t="s">
        <v>42</v>
      </c>
      <c r="B311" s="27" t="s">
        <v>982</v>
      </c>
      <c r="C311" s="27" t="s">
        <v>983</v>
      </c>
      <c r="D311" s="27" t="s">
        <v>984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116800</f>
        <v>116800.0</v>
      </c>
      <c r="L311" s="34" t="s">
        <v>48</v>
      </c>
      <c r="M311" s="33" t="n">
        <f>119200</f>
        <v>119200.0</v>
      </c>
      <c r="N311" s="34" t="s">
        <v>72</v>
      </c>
      <c r="O311" s="33" t="n">
        <f>111900</f>
        <v>111900.0</v>
      </c>
      <c r="P311" s="34" t="s">
        <v>68</v>
      </c>
      <c r="Q311" s="33" t="n">
        <f>112900</f>
        <v>112900.0</v>
      </c>
      <c r="R311" s="34" t="s">
        <v>50</v>
      </c>
      <c r="S311" s="35" t="n">
        <f>115280.95</f>
        <v>115280.95</v>
      </c>
      <c r="T311" s="32" t="n">
        <f>73653</f>
        <v>73653.0</v>
      </c>
      <c r="U311" s="32" t="n">
        <f>14758</f>
        <v>14758.0</v>
      </c>
      <c r="V311" s="32" t="n">
        <f>8483189391</f>
        <v>8.483189391E9</v>
      </c>
      <c r="W311" s="32" t="n">
        <f>1697298891</f>
        <v>1.697298891E9</v>
      </c>
      <c r="X311" s="36" t="n">
        <f>21</f>
        <v>21.0</v>
      </c>
    </row>
    <row r="312">
      <c r="A312" s="27" t="s">
        <v>42</v>
      </c>
      <c r="B312" s="27" t="s">
        <v>985</v>
      </c>
      <c r="C312" s="27" t="s">
        <v>986</v>
      </c>
      <c r="D312" s="27" t="s">
        <v>987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306500</f>
        <v>306500.0</v>
      </c>
      <c r="L312" s="34" t="s">
        <v>48</v>
      </c>
      <c r="M312" s="33" t="n">
        <f>309500</f>
        <v>309500.0</v>
      </c>
      <c r="N312" s="34" t="s">
        <v>48</v>
      </c>
      <c r="O312" s="33" t="n">
        <f>280600</f>
        <v>280600.0</v>
      </c>
      <c r="P312" s="34" t="s">
        <v>103</v>
      </c>
      <c r="Q312" s="33" t="n">
        <f>293100</f>
        <v>293100.0</v>
      </c>
      <c r="R312" s="34" t="s">
        <v>50</v>
      </c>
      <c r="S312" s="35" t="n">
        <f>294271.43</f>
        <v>294271.43</v>
      </c>
      <c r="T312" s="32" t="n">
        <f>71418</f>
        <v>71418.0</v>
      </c>
      <c r="U312" s="32" t="n">
        <f>15561</f>
        <v>15561.0</v>
      </c>
      <c r="V312" s="32" t="n">
        <f>20970915126</f>
        <v>2.0970915126E10</v>
      </c>
      <c r="W312" s="32" t="n">
        <f>4572369926</f>
        <v>4.572369926E9</v>
      </c>
      <c r="X312" s="36" t="n">
        <f>21</f>
        <v>21.0</v>
      </c>
    </row>
    <row r="313">
      <c r="A313" s="27" t="s">
        <v>42</v>
      </c>
      <c r="B313" s="27" t="s">
        <v>988</v>
      </c>
      <c r="C313" s="27" t="s">
        <v>989</v>
      </c>
      <c r="D313" s="27" t="s">
        <v>990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136100</f>
        <v>136100.0</v>
      </c>
      <c r="L313" s="34" t="s">
        <v>48</v>
      </c>
      <c r="M313" s="33" t="n">
        <f>139300</f>
        <v>139300.0</v>
      </c>
      <c r="N313" s="34" t="s">
        <v>116</v>
      </c>
      <c r="O313" s="33" t="n">
        <f>126000</f>
        <v>126000.0</v>
      </c>
      <c r="P313" s="34" t="s">
        <v>68</v>
      </c>
      <c r="Q313" s="33" t="n">
        <f>126300</f>
        <v>126300.0</v>
      </c>
      <c r="R313" s="34" t="s">
        <v>50</v>
      </c>
      <c r="S313" s="35" t="n">
        <f>134009.52</f>
        <v>134009.52</v>
      </c>
      <c r="T313" s="32" t="n">
        <f>60820</f>
        <v>60820.0</v>
      </c>
      <c r="U313" s="32" t="n">
        <f>14294</f>
        <v>14294.0</v>
      </c>
      <c r="V313" s="32" t="n">
        <f>8119253589</f>
        <v>8.119253589E9</v>
      </c>
      <c r="W313" s="32" t="n">
        <f>1907166389</f>
        <v>1.907166389E9</v>
      </c>
      <c r="X313" s="36" t="n">
        <f>21</f>
        <v>21.0</v>
      </c>
    </row>
    <row r="314">
      <c r="A314" s="27" t="s">
        <v>42</v>
      </c>
      <c r="B314" s="27" t="s">
        <v>991</v>
      </c>
      <c r="C314" s="27" t="s">
        <v>992</v>
      </c>
      <c r="D314" s="27" t="s">
        <v>993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627000</f>
        <v>627000.0</v>
      </c>
      <c r="L314" s="34" t="s">
        <v>48</v>
      </c>
      <c r="M314" s="33" t="n">
        <f>649000</f>
        <v>649000.0</v>
      </c>
      <c r="N314" s="34" t="s">
        <v>356</v>
      </c>
      <c r="O314" s="33" t="n">
        <f>586000</f>
        <v>586000.0</v>
      </c>
      <c r="P314" s="34" t="s">
        <v>68</v>
      </c>
      <c r="Q314" s="33" t="n">
        <f>604000</f>
        <v>604000.0</v>
      </c>
      <c r="R314" s="34" t="s">
        <v>50</v>
      </c>
      <c r="S314" s="35" t="n">
        <f>629571.43</f>
        <v>629571.43</v>
      </c>
      <c r="T314" s="32" t="n">
        <f>37495</f>
        <v>37495.0</v>
      </c>
      <c r="U314" s="32" t="n">
        <f>8592</f>
        <v>8592.0</v>
      </c>
      <c r="V314" s="32" t="n">
        <f>23522171797</f>
        <v>2.3522171797E10</v>
      </c>
      <c r="W314" s="32" t="n">
        <f>5395832797</f>
        <v>5.395832797E9</v>
      </c>
      <c r="X314" s="36" t="n">
        <f>21</f>
        <v>21.0</v>
      </c>
    </row>
    <row r="315">
      <c r="A315" s="27" t="s">
        <v>42</v>
      </c>
      <c r="B315" s="27" t="s">
        <v>994</v>
      </c>
      <c r="C315" s="27" t="s">
        <v>995</v>
      </c>
      <c r="D315" s="27" t="s">
        <v>996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75600</f>
        <v>75600.0</v>
      </c>
      <c r="L315" s="34" t="s">
        <v>48</v>
      </c>
      <c r="M315" s="33" t="n">
        <f>79700</f>
        <v>79700.0</v>
      </c>
      <c r="N315" s="34" t="s">
        <v>116</v>
      </c>
      <c r="O315" s="33" t="n">
        <f>66100</f>
        <v>66100.0</v>
      </c>
      <c r="P315" s="34" t="s">
        <v>68</v>
      </c>
      <c r="Q315" s="33" t="n">
        <f>67500</f>
        <v>67500.0</v>
      </c>
      <c r="R315" s="34" t="s">
        <v>50</v>
      </c>
      <c r="S315" s="35" t="n">
        <f>74719.05</f>
        <v>74719.05</v>
      </c>
      <c r="T315" s="32" t="n">
        <f>113810</f>
        <v>113810.0</v>
      </c>
      <c r="U315" s="32" t="n">
        <f>17649</f>
        <v>17649.0</v>
      </c>
      <c r="V315" s="32" t="n">
        <f>8448712830</f>
        <v>8.44871283E9</v>
      </c>
      <c r="W315" s="32" t="n">
        <f>1315492630</f>
        <v>1.31549263E9</v>
      </c>
      <c r="X315" s="36" t="n">
        <f>21</f>
        <v>21.0</v>
      </c>
    </row>
    <row r="316">
      <c r="A316" s="27" t="s">
        <v>42</v>
      </c>
      <c r="B316" s="27" t="s">
        <v>997</v>
      </c>
      <c r="C316" s="27" t="s">
        <v>998</v>
      </c>
      <c r="D316" s="27" t="s">
        <v>999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603000</f>
        <v>603000.0</v>
      </c>
      <c r="L316" s="34" t="s">
        <v>48</v>
      </c>
      <c r="M316" s="33" t="n">
        <f>620000</f>
        <v>620000.0</v>
      </c>
      <c r="N316" s="34" t="s">
        <v>48</v>
      </c>
      <c r="O316" s="33" t="n">
        <f>564000</f>
        <v>564000.0</v>
      </c>
      <c r="P316" s="34" t="s">
        <v>50</v>
      </c>
      <c r="Q316" s="33" t="n">
        <f>567000</f>
        <v>567000.0</v>
      </c>
      <c r="R316" s="34" t="s">
        <v>50</v>
      </c>
      <c r="S316" s="35" t="n">
        <f>597619.05</f>
        <v>597619.05</v>
      </c>
      <c r="T316" s="32" t="n">
        <f>25742</f>
        <v>25742.0</v>
      </c>
      <c r="U316" s="32" t="n">
        <f>4156</f>
        <v>4156.0</v>
      </c>
      <c r="V316" s="32" t="n">
        <f>15409882998</f>
        <v>1.5409882998E10</v>
      </c>
      <c r="W316" s="32" t="n">
        <f>2479432998</f>
        <v>2.479432998E9</v>
      </c>
      <c r="X316" s="36" t="n">
        <f>21</f>
        <v>21.0</v>
      </c>
    </row>
    <row r="317">
      <c r="A317" s="27" t="s">
        <v>42</v>
      </c>
      <c r="B317" s="27" t="s">
        <v>1000</v>
      </c>
      <c r="C317" s="27" t="s">
        <v>1001</v>
      </c>
      <c r="D317" s="27" t="s">
        <v>1002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123400</f>
        <v>123400.0</v>
      </c>
      <c r="L317" s="34" t="s">
        <v>48</v>
      </c>
      <c r="M317" s="33" t="n">
        <f>126800</f>
        <v>126800.0</v>
      </c>
      <c r="N317" s="34" t="s">
        <v>116</v>
      </c>
      <c r="O317" s="33" t="n">
        <f>114300</f>
        <v>114300.0</v>
      </c>
      <c r="P317" s="34" t="s">
        <v>50</v>
      </c>
      <c r="Q317" s="33" t="n">
        <f>115100</f>
        <v>115100.0</v>
      </c>
      <c r="R317" s="34" t="s">
        <v>50</v>
      </c>
      <c r="S317" s="35" t="n">
        <f>121342.86</f>
        <v>121342.86</v>
      </c>
      <c r="T317" s="32" t="n">
        <f>49421</f>
        <v>49421.0</v>
      </c>
      <c r="U317" s="32" t="n">
        <f>8021</f>
        <v>8021.0</v>
      </c>
      <c r="V317" s="32" t="n">
        <f>5987068887</f>
        <v>5.987068887E9</v>
      </c>
      <c r="W317" s="32" t="n">
        <f>969098987</f>
        <v>9.69098987E8</v>
      </c>
      <c r="X317" s="36" t="n">
        <f>21</f>
        <v>21.0</v>
      </c>
    </row>
    <row r="318">
      <c r="A318" s="27" t="s">
        <v>42</v>
      </c>
      <c r="B318" s="27" t="s">
        <v>1003</v>
      </c>
      <c r="C318" s="27" t="s">
        <v>1004</v>
      </c>
      <c r="D318" s="27" t="s">
        <v>1005</v>
      </c>
      <c r="E318" s="28" t="s">
        <v>46</v>
      </c>
      <c r="F318" s="29" t="s">
        <v>46</v>
      </c>
      <c r="G318" s="30" t="s">
        <v>46</v>
      </c>
      <c r="H318" s="31"/>
      <c r="I318" s="31" t="s">
        <v>630</v>
      </c>
      <c r="J318" s="32" t="n">
        <v>1.0</v>
      </c>
      <c r="K318" s="33" t="n">
        <f>210000</f>
        <v>210000.0</v>
      </c>
      <c r="L318" s="34" t="s">
        <v>48</v>
      </c>
      <c r="M318" s="33" t="n">
        <f>213900</f>
        <v>213900.0</v>
      </c>
      <c r="N318" s="34" t="s">
        <v>96</v>
      </c>
      <c r="O318" s="33" t="n">
        <f>192100</f>
        <v>192100.0</v>
      </c>
      <c r="P318" s="34" t="s">
        <v>68</v>
      </c>
      <c r="Q318" s="33" t="n">
        <f>198900</f>
        <v>198900.0</v>
      </c>
      <c r="R318" s="34" t="s">
        <v>50</v>
      </c>
      <c r="S318" s="35" t="n">
        <f>205566.67</f>
        <v>205566.67</v>
      </c>
      <c r="T318" s="32" t="n">
        <f>17758</f>
        <v>17758.0</v>
      </c>
      <c r="U318" s="32" t="n">
        <f>2491</f>
        <v>2491.0</v>
      </c>
      <c r="V318" s="32" t="n">
        <f>3647927416</f>
        <v>3.647927416E9</v>
      </c>
      <c r="W318" s="32" t="n">
        <f>512362416</f>
        <v>5.12362416E8</v>
      </c>
      <c r="X318" s="36" t="n">
        <f>21</f>
        <v>21.0</v>
      </c>
    </row>
    <row r="319">
      <c r="A319" s="27" t="s">
        <v>42</v>
      </c>
      <c r="B319" s="27" t="s">
        <v>1006</v>
      </c>
      <c r="C319" s="27" t="s">
        <v>1007</v>
      </c>
      <c r="D319" s="27" t="s">
        <v>1008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268400</f>
        <v>268400.0</v>
      </c>
      <c r="L319" s="34" t="s">
        <v>48</v>
      </c>
      <c r="M319" s="33" t="n">
        <f>271500</f>
        <v>271500.0</v>
      </c>
      <c r="N319" s="34" t="s">
        <v>116</v>
      </c>
      <c r="O319" s="33" t="n">
        <f>240200</f>
        <v>240200.0</v>
      </c>
      <c r="P319" s="34" t="s">
        <v>68</v>
      </c>
      <c r="Q319" s="33" t="n">
        <f>241900</f>
        <v>241900.0</v>
      </c>
      <c r="R319" s="34" t="s">
        <v>50</v>
      </c>
      <c r="S319" s="35" t="n">
        <f>255447.62</f>
        <v>255447.62</v>
      </c>
      <c r="T319" s="32" t="n">
        <f>141607</f>
        <v>141607.0</v>
      </c>
      <c r="U319" s="32" t="n">
        <f>29441</f>
        <v>29441.0</v>
      </c>
      <c r="V319" s="32" t="n">
        <f>36127645452</f>
        <v>3.6127645452E10</v>
      </c>
      <c r="W319" s="32" t="n">
        <f>7526141452</f>
        <v>7.526141452E9</v>
      </c>
      <c r="X319" s="36" t="n">
        <f>21</f>
        <v>21.0</v>
      </c>
    </row>
    <row r="320">
      <c r="A320" s="27" t="s">
        <v>42</v>
      </c>
      <c r="B320" s="27" t="s">
        <v>1009</v>
      </c>
      <c r="C320" s="27" t="s">
        <v>1010</v>
      </c>
      <c r="D320" s="27" t="s">
        <v>1011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52500</f>
        <v>52500.0</v>
      </c>
      <c r="L320" s="34" t="s">
        <v>48</v>
      </c>
      <c r="M320" s="33" t="n">
        <f>58600</f>
        <v>58600.0</v>
      </c>
      <c r="N320" s="34" t="s">
        <v>116</v>
      </c>
      <c r="O320" s="33" t="n">
        <f>49600</f>
        <v>49600.0</v>
      </c>
      <c r="P320" s="34" t="s">
        <v>68</v>
      </c>
      <c r="Q320" s="33" t="n">
        <f>50300</f>
        <v>50300.0</v>
      </c>
      <c r="R320" s="34" t="s">
        <v>50</v>
      </c>
      <c r="S320" s="35" t="n">
        <f>55000</f>
        <v>55000.0</v>
      </c>
      <c r="T320" s="32" t="n">
        <f>801443</f>
        <v>801443.0</v>
      </c>
      <c r="U320" s="32" t="n">
        <f>118880</f>
        <v>118880.0</v>
      </c>
      <c r="V320" s="32" t="n">
        <f>43882367748</f>
        <v>4.3882367748E10</v>
      </c>
      <c r="W320" s="32" t="n">
        <f>6509487748</f>
        <v>6.509487748E9</v>
      </c>
      <c r="X320" s="36" t="n">
        <f>21</f>
        <v>21.0</v>
      </c>
    </row>
    <row r="321">
      <c r="A321" s="27" t="s">
        <v>42</v>
      </c>
      <c r="B321" s="27" t="s">
        <v>1012</v>
      </c>
      <c r="C321" s="27" t="s">
        <v>1013</v>
      </c>
      <c r="D321" s="27" t="s">
        <v>1014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108400</f>
        <v>108400.0</v>
      </c>
      <c r="L321" s="34" t="s">
        <v>48</v>
      </c>
      <c r="M321" s="33" t="n">
        <f>109600</f>
        <v>109600.0</v>
      </c>
      <c r="N321" s="34" t="s">
        <v>116</v>
      </c>
      <c r="O321" s="33" t="n">
        <f>97200</f>
        <v>97200.0</v>
      </c>
      <c r="P321" s="34" t="s">
        <v>85</v>
      </c>
      <c r="Q321" s="33" t="n">
        <f>102100</f>
        <v>102100.0</v>
      </c>
      <c r="R321" s="34" t="s">
        <v>50</v>
      </c>
      <c r="S321" s="35" t="n">
        <f>103195.24</f>
        <v>103195.24</v>
      </c>
      <c r="T321" s="32" t="n">
        <f>150848</f>
        <v>150848.0</v>
      </c>
      <c r="U321" s="32" t="n">
        <f>34626</f>
        <v>34626.0</v>
      </c>
      <c r="V321" s="32" t="n">
        <f>15538038741</f>
        <v>1.5538038741E10</v>
      </c>
      <c r="W321" s="32" t="n">
        <f>3561670041</f>
        <v>3.561670041E9</v>
      </c>
      <c r="X321" s="36" t="n">
        <f>21</f>
        <v>21.0</v>
      </c>
    </row>
    <row r="322">
      <c r="A322" s="27" t="s">
        <v>42</v>
      </c>
      <c r="B322" s="27" t="s">
        <v>1015</v>
      </c>
      <c r="C322" s="27" t="s">
        <v>1016</v>
      </c>
      <c r="D322" s="27" t="s">
        <v>1017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122900</f>
        <v>122900.0</v>
      </c>
      <c r="L322" s="34" t="s">
        <v>48</v>
      </c>
      <c r="M322" s="33" t="n">
        <f>128000</f>
        <v>128000.0</v>
      </c>
      <c r="N322" s="34" t="s">
        <v>116</v>
      </c>
      <c r="O322" s="33" t="n">
        <f>115000</f>
        <v>115000.0</v>
      </c>
      <c r="P322" s="34" t="s">
        <v>50</v>
      </c>
      <c r="Q322" s="33" t="n">
        <f>115000</f>
        <v>115000.0</v>
      </c>
      <c r="R322" s="34" t="s">
        <v>50</v>
      </c>
      <c r="S322" s="35" t="n">
        <f>121609.52</f>
        <v>121609.52</v>
      </c>
      <c r="T322" s="32" t="n">
        <f>82108</f>
        <v>82108.0</v>
      </c>
      <c r="U322" s="32" t="n">
        <f>21495</f>
        <v>21495.0</v>
      </c>
      <c r="V322" s="32" t="n">
        <f>9970498899</f>
        <v>9.970498899E9</v>
      </c>
      <c r="W322" s="32" t="n">
        <f>2602661099</f>
        <v>2.602661099E9</v>
      </c>
      <c r="X322" s="36" t="n">
        <f>21</f>
        <v>21.0</v>
      </c>
    </row>
    <row r="323">
      <c r="A323" s="27" t="s">
        <v>42</v>
      </c>
      <c r="B323" s="27" t="s">
        <v>1018</v>
      </c>
      <c r="C323" s="27" t="s">
        <v>1019</v>
      </c>
      <c r="D323" s="27" t="s">
        <v>1020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118300</f>
        <v>118300.0</v>
      </c>
      <c r="L323" s="34" t="s">
        <v>48</v>
      </c>
      <c r="M323" s="33" t="n">
        <f>124600</f>
        <v>124600.0</v>
      </c>
      <c r="N323" s="34" t="s">
        <v>282</v>
      </c>
      <c r="O323" s="33" t="n">
        <f>117100</f>
        <v>117100.0</v>
      </c>
      <c r="P323" s="34" t="s">
        <v>48</v>
      </c>
      <c r="Q323" s="33" t="n">
        <f>121500</f>
        <v>121500.0</v>
      </c>
      <c r="R323" s="34" t="s">
        <v>50</v>
      </c>
      <c r="S323" s="35" t="n">
        <f>121485.71</f>
        <v>121485.71</v>
      </c>
      <c r="T323" s="32" t="n">
        <f>8099</f>
        <v>8099.0</v>
      </c>
      <c r="U323" s="32" t="n">
        <f>7</f>
        <v>7.0</v>
      </c>
      <c r="V323" s="32" t="n">
        <f>984113850</f>
        <v>9.8411385E8</v>
      </c>
      <c r="W323" s="32" t="n">
        <f>856150</f>
        <v>856150.0</v>
      </c>
      <c r="X323" s="36" t="n">
        <f>21</f>
        <v>21.0</v>
      </c>
    </row>
    <row r="324">
      <c r="A324" s="27" t="s">
        <v>42</v>
      </c>
      <c r="B324" s="27" t="s">
        <v>1021</v>
      </c>
      <c r="C324" s="27" t="s">
        <v>1022</v>
      </c>
      <c r="D324" s="27" t="s">
        <v>1023</v>
      </c>
      <c r="E324" s="28" t="s">
        <v>46</v>
      </c>
      <c r="F324" s="29" t="s">
        <v>46</v>
      </c>
      <c r="G324" s="30" t="s">
        <v>46</v>
      </c>
      <c r="H324" s="31"/>
      <c r="I324" s="31" t="s">
        <v>630</v>
      </c>
      <c r="J324" s="32" t="n">
        <v>1.0</v>
      </c>
      <c r="K324" s="33" t="n">
        <f>55800</f>
        <v>55800.0</v>
      </c>
      <c r="L324" s="34" t="s">
        <v>48</v>
      </c>
      <c r="M324" s="33" t="n">
        <f>61000</f>
        <v>61000.0</v>
      </c>
      <c r="N324" s="34" t="s">
        <v>85</v>
      </c>
      <c r="O324" s="33" t="n">
        <f>55600</f>
        <v>55600.0</v>
      </c>
      <c r="P324" s="34" t="s">
        <v>48</v>
      </c>
      <c r="Q324" s="33" t="n">
        <f>58900</f>
        <v>58900.0</v>
      </c>
      <c r="R324" s="34" t="s">
        <v>50</v>
      </c>
      <c r="S324" s="35" t="n">
        <f>58833.33</f>
        <v>58833.33</v>
      </c>
      <c r="T324" s="32" t="n">
        <f>12235</f>
        <v>12235.0</v>
      </c>
      <c r="U324" s="32" t="n">
        <f>3</f>
        <v>3.0</v>
      </c>
      <c r="V324" s="32" t="n">
        <f>718246600</f>
        <v>7.182466E8</v>
      </c>
      <c r="W324" s="32" t="n">
        <f>179100</f>
        <v>179100.0</v>
      </c>
      <c r="X324" s="36" t="n">
        <f>21</f>
        <v>21.0</v>
      </c>
    </row>
    <row r="325">
      <c r="A325" s="27" t="s">
        <v>42</v>
      </c>
      <c r="B325" s="27" t="s">
        <v>1024</v>
      </c>
      <c r="C325" s="27" t="s">
        <v>1025</v>
      </c>
      <c r="D325" s="27" t="s">
        <v>1026</v>
      </c>
      <c r="E325" s="28" t="s">
        <v>46</v>
      </c>
      <c r="F325" s="29" t="s">
        <v>46</v>
      </c>
      <c r="G325" s="30" t="s">
        <v>46</v>
      </c>
      <c r="H325" s="31"/>
      <c r="I325" s="31" t="s">
        <v>630</v>
      </c>
      <c r="J325" s="32" t="n">
        <v>1.0</v>
      </c>
      <c r="K325" s="33" t="n">
        <f>100900</f>
        <v>100900.0</v>
      </c>
      <c r="L325" s="34" t="s">
        <v>48</v>
      </c>
      <c r="M325" s="33" t="n">
        <f>108300</f>
        <v>108300.0</v>
      </c>
      <c r="N325" s="34" t="s">
        <v>132</v>
      </c>
      <c r="O325" s="33" t="n">
        <f>100700</f>
        <v>100700.0</v>
      </c>
      <c r="P325" s="34" t="s">
        <v>48</v>
      </c>
      <c r="Q325" s="33" t="n">
        <f>105800</f>
        <v>105800.0</v>
      </c>
      <c r="R325" s="34" t="s">
        <v>50</v>
      </c>
      <c r="S325" s="35" t="n">
        <f>105023.81</f>
        <v>105023.81</v>
      </c>
      <c r="T325" s="32" t="n">
        <f>9123</f>
        <v>9123.0</v>
      </c>
      <c r="U325" s="32" t="n">
        <f>84</f>
        <v>84.0</v>
      </c>
      <c r="V325" s="32" t="n">
        <f>958203898</f>
        <v>9.58203898E8</v>
      </c>
      <c r="W325" s="32" t="n">
        <f>8955498</f>
        <v>8955498.0</v>
      </c>
      <c r="X325" s="36" t="n">
        <f>21</f>
        <v>21.0</v>
      </c>
    </row>
    <row r="326">
      <c r="A326" s="27" t="s">
        <v>42</v>
      </c>
      <c r="B326" s="27" t="s">
        <v>1027</v>
      </c>
      <c r="C326" s="27" t="s">
        <v>1028</v>
      </c>
      <c r="D326" s="27" t="s">
        <v>1029</v>
      </c>
      <c r="E326" s="28" t="s">
        <v>46</v>
      </c>
      <c r="F326" s="29" t="s">
        <v>46</v>
      </c>
      <c r="G326" s="30" t="s">
        <v>46</v>
      </c>
      <c r="H326" s="31"/>
      <c r="I326" s="31" t="s">
        <v>630</v>
      </c>
      <c r="J326" s="32" t="n">
        <v>1.0</v>
      </c>
      <c r="K326" s="33" t="n">
        <f>121600</f>
        <v>121600.0</v>
      </c>
      <c r="L326" s="34" t="s">
        <v>48</v>
      </c>
      <c r="M326" s="33" t="n">
        <f>132800</f>
        <v>132800.0</v>
      </c>
      <c r="N326" s="34" t="s">
        <v>278</v>
      </c>
      <c r="O326" s="33" t="n">
        <f>120100</f>
        <v>120100.0</v>
      </c>
      <c r="P326" s="34" t="s">
        <v>96</v>
      </c>
      <c r="Q326" s="33" t="n">
        <f>129800</f>
        <v>129800.0</v>
      </c>
      <c r="R326" s="34" t="s">
        <v>50</v>
      </c>
      <c r="S326" s="35" t="n">
        <f>128757.14</f>
        <v>128757.14</v>
      </c>
      <c r="T326" s="32" t="n">
        <f>9836</f>
        <v>9836.0</v>
      </c>
      <c r="U326" s="32" t="n">
        <f>49</f>
        <v>49.0</v>
      </c>
      <c r="V326" s="32" t="n">
        <f>1257704400</f>
        <v>1.2577044E9</v>
      </c>
      <c r="W326" s="32" t="n">
        <f>6235600</f>
        <v>6235600.0</v>
      </c>
      <c r="X326" s="36" t="n">
        <f>21</f>
        <v>21.0</v>
      </c>
    </row>
    <row r="327">
      <c r="A327" s="27" t="s">
        <v>42</v>
      </c>
      <c r="B327" s="27" t="s">
        <v>1030</v>
      </c>
      <c r="C327" s="27" t="s">
        <v>1031</v>
      </c>
      <c r="D327" s="27" t="s">
        <v>1032</v>
      </c>
      <c r="E327" s="28" t="s">
        <v>46</v>
      </c>
      <c r="F327" s="29" t="s">
        <v>46</v>
      </c>
      <c r="G327" s="30" t="s">
        <v>46</v>
      </c>
      <c r="H327" s="31"/>
      <c r="I327" s="31" t="s">
        <v>630</v>
      </c>
      <c r="J327" s="32" t="n">
        <v>1.0</v>
      </c>
      <c r="K327" s="33" t="n">
        <f>91000</f>
        <v>91000.0</v>
      </c>
      <c r="L327" s="34" t="s">
        <v>48</v>
      </c>
      <c r="M327" s="33" t="n">
        <f>95500</f>
        <v>95500.0</v>
      </c>
      <c r="N327" s="34" t="s">
        <v>49</v>
      </c>
      <c r="O327" s="33" t="n">
        <f>90900</f>
        <v>90900.0</v>
      </c>
      <c r="P327" s="34" t="s">
        <v>48</v>
      </c>
      <c r="Q327" s="33" t="n">
        <f>93700</f>
        <v>93700.0</v>
      </c>
      <c r="R327" s="34" t="s">
        <v>50</v>
      </c>
      <c r="S327" s="35" t="n">
        <f>93719.05</f>
        <v>93719.05</v>
      </c>
      <c r="T327" s="32" t="n">
        <f>18812</f>
        <v>18812.0</v>
      </c>
      <c r="U327" s="32" t="n">
        <f>36</f>
        <v>36.0</v>
      </c>
      <c r="V327" s="32" t="n">
        <f>1761286450</f>
        <v>1.76128645E9</v>
      </c>
      <c r="W327" s="32" t="n">
        <f>3386550</f>
        <v>3386550.0</v>
      </c>
      <c r="X327" s="36" t="n">
        <f>21</f>
        <v>21.0</v>
      </c>
    </row>
    <row r="328">
      <c r="A328" s="27" t="s">
        <v>42</v>
      </c>
      <c r="B328" s="27" t="s">
        <v>1033</v>
      </c>
      <c r="C328" s="27" t="s">
        <v>1034</v>
      </c>
      <c r="D328" s="27" t="s">
        <v>1035</v>
      </c>
      <c r="E328" s="28" t="s">
        <v>46</v>
      </c>
      <c r="F328" s="29" t="s">
        <v>46</v>
      </c>
      <c r="G328" s="30" t="s">
        <v>46</v>
      </c>
      <c r="H328" s="31"/>
      <c r="I328" s="31" t="s">
        <v>630</v>
      </c>
      <c r="J328" s="32" t="n">
        <v>1.0</v>
      </c>
      <c r="K328" s="33" t="n">
        <f>101800</f>
        <v>101800.0</v>
      </c>
      <c r="L328" s="34" t="s">
        <v>48</v>
      </c>
      <c r="M328" s="33" t="n">
        <f>107700</f>
        <v>107700.0</v>
      </c>
      <c r="N328" s="34" t="s">
        <v>92</v>
      </c>
      <c r="O328" s="33" t="n">
        <f>101300</f>
        <v>101300.0</v>
      </c>
      <c r="P328" s="34" t="s">
        <v>48</v>
      </c>
      <c r="Q328" s="33" t="n">
        <f>103800</f>
        <v>103800.0</v>
      </c>
      <c r="R328" s="34" t="s">
        <v>50</v>
      </c>
      <c r="S328" s="35" t="n">
        <f>105257.14</f>
        <v>105257.14</v>
      </c>
      <c r="T328" s="32" t="n">
        <f>8807</f>
        <v>8807.0</v>
      </c>
      <c r="U328" s="32" t="n">
        <f>81</f>
        <v>81.0</v>
      </c>
      <c r="V328" s="32" t="n">
        <f>925952898</f>
        <v>9.25952898E8</v>
      </c>
      <c r="W328" s="32" t="n">
        <f>8527598</f>
        <v>8527598.0</v>
      </c>
      <c r="X328" s="36" t="n">
        <f>21</f>
        <v>21.0</v>
      </c>
    </row>
    <row r="329">
      <c r="A329" s="27" t="s">
        <v>42</v>
      </c>
      <c r="B329" s="27" t="s">
        <v>1036</v>
      </c>
      <c r="C329" s="27" t="s">
        <v>1037</v>
      </c>
      <c r="D329" s="27" t="s">
        <v>1038</v>
      </c>
      <c r="E329" s="28" t="s">
        <v>46</v>
      </c>
      <c r="F329" s="29" t="s">
        <v>46</v>
      </c>
      <c r="G329" s="30" t="s">
        <v>46</v>
      </c>
      <c r="H329" s="31"/>
      <c r="I329" s="31" t="s">
        <v>630</v>
      </c>
      <c r="J329" s="32" t="n">
        <v>1.0</v>
      </c>
      <c r="K329" s="33" t="n">
        <f>95600</f>
        <v>95600.0</v>
      </c>
      <c r="L329" s="34" t="s">
        <v>48</v>
      </c>
      <c r="M329" s="33" t="n">
        <f>106000</f>
        <v>106000.0</v>
      </c>
      <c r="N329" s="34" t="s">
        <v>282</v>
      </c>
      <c r="O329" s="33" t="n">
        <f>95000</f>
        <v>95000.0</v>
      </c>
      <c r="P329" s="34" t="s">
        <v>48</v>
      </c>
      <c r="Q329" s="33" t="n">
        <f>101500</f>
        <v>101500.0</v>
      </c>
      <c r="R329" s="34" t="s">
        <v>50</v>
      </c>
      <c r="S329" s="35" t="n">
        <f>101471.43</f>
        <v>101471.43</v>
      </c>
      <c r="T329" s="32" t="n">
        <f>9970</f>
        <v>9970.0</v>
      </c>
      <c r="U329" s="32" t="n">
        <f>3</f>
        <v>3.0</v>
      </c>
      <c r="V329" s="32" t="n">
        <f>1010552900</f>
        <v>1.0105529E9</v>
      </c>
      <c r="W329" s="32" t="n">
        <f>294600</f>
        <v>294600.0</v>
      </c>
      <c r="X329" s="36" t="n">
        <f>21</f>
        <v>21.0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