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<sst xmlns="http://schemas.openxmlformats.org/spreadsheetml/2006/main" count="3993" uniqueCount="1053">
  <si>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</si>
  <si>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</si>
  <si>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</si>
  <si>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</si>
  <si>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</si>
  <si>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</si>
  <si>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</si>
  <si>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</si>
  <si>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</si>
  <si>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</si>
  <si>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</si>
  <si>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</si>
  <si>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</si>
  <si>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</si>
  <si>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</si>
  <si>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</si>
  <si>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</si>
  <si>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</si>
  <si>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</si>
  <si>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</si>
  <si>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</si>
  <si>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</si>
  <si>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</si>
  <si>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</si>
  <si>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</si>
  <si>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</si>
  <si>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</si>
  <si>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</si>
  <si>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</si>
  <si>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</si>
  <si>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</si>
  <si>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</si>
  <si>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</si>
  <si>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</si>
  <si>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</si>
  <si>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</si>
  <si>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</si>
  <si>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</si>
  <si>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</si>
  <si>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</si>
  <si>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</si>
  <si>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</si>
  <si>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2020/11</t>
  </si>
  <si>
    <t>1305</t>
  </si>
  <si>
    <t>ダイワ上場投信－トピックス　受益証券</t>
  </si>
  <si>
    <t>Daiwa ETF-TOPIX</t>
  </si>
  <si>
    <t/>
  </si>
  <si>
    <t>貸借</t>
  </si>
  <si>
    <t>2</t>
  </si>
  <si>
    <t>27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</si>
  <si>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</si>
  <si>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</si>
  <si>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</si>
  <si>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</si>
  <si>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</si>
  <si>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</si>
  <si>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</si>
  <si>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</si>
  <si>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</si>
  <si>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</si>
  <si>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</si>
  <si>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</si>
  <si>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</si>
  <si>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</si>
  <si>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</si>
  <si>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</si>
  <si>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25</t>
  </si>
  <si>
    <t>1313</t>
  </si>
  <si>
    <t>サムスンＫＯＤＥＸ２００証券上場指数投資信託[株式]　受益証券</t>
  </si>
  <si>
    <t>SAMSUNG KODEX200 SECURITIES EXCHANGE TRADED FUND [STOCK]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</si>
  <si>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</si>
  <si>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</si>
  <si>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</si>
  <si>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</si>
  <si>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</si>
  <si>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</si>
  <si>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</si>
  <si>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</si>
  <si>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</si>
  <si>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</si>
  <si>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</si>
  <si>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</si>
  <si>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18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</si>
  <si>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</si>
  <si>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</si>
  <si>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</si>
  <si>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24</t>
  </si>
  <si>
    <t>1324</t>
  </si>
  <si>
    <t>ＮＥＸＴ　ＦＵＮＤＳ　ロシア株式指数・ＲＴＳ連動型上場投信　受益証券</t>
  </si>
  <si>
    <t>NEXT FUNDS Russia RTS Linked Exchange Traded Fund</t>
  </si>
  <si>
    <t>26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</si>
  <si>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</si>
  <si>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</si>
  <si>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</si>
  <si>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</si>
  <si>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</si>
  <si>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</si>
  <si>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9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</si>
  <si>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</si>
  <si>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</si>
  <si>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</si>
  <si>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</si>
  <si>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</si>
  <si>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</si>
  <si>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</si>
  <si>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</si>
  <si>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</si>
  <si>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</si>
  <si>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</si>
  <si>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</si>
  <si>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</si>
  <si>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</si>
  <si>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</si>
  <si>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11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</si>
  <si>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</si>
  <si>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</si>
  <si>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</si>
  <si>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</si>
  <si>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</si>
  <si>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</si>
  <si>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</si>
  <si>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</si>
  <si>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</si>
  <si>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</si>
  <si>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</si>
  <si>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</si>
  <si>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</si>
  <si>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</si>
  <si>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</si>
  <si>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17</t>
  </si>
  <si>
    <t>20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</si>
  <si>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</si>
  <si>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</si>
  <si>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</si>
  <si>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</si>
  <si>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</si>
  <si>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</si>
  <si>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</si>
  <si>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</si>
  <si>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</si>
  <si>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</si>
  <si>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</si>
  <si>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</si>
  <si>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</si>
  <si>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</si>
  <si>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</si>
  <si>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</si>
  <si>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</si>
  <si>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</si>
  <si>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</si>
  <si>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</si>
  <si>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</si>
  <si>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</si>
  <si>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</si>
  <si>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</si>
  <si>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</si>
  <si>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</si>
  <si>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</si>
  <si>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</si>
  <si>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</si>
  <si>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</si>
  <si>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</si>
  <si>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</si>
  <si>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</si>
  <si>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12</t>
  </si>
  <si>
    <t>1386</t>
  </si>
  <si>
    <t>ＵＢＳ　ＥＴＦ　欧州株（ＭＳＣＩヨーロッパ）　受益証券</t>
  </si>
  <si>
    <t>UBS ETF MSCI Europe UCITS ETF-JDR</t>
  </si>
  <si>
    <t>16</t>
  </si>
  <si>
    <t>1387</t>
  </si>
  <si>
    <t>ＵＢＳ　ＥＴＦ　ユーロ圏株（ＭＳＣＩ　ＥＭＵ）　受益証券</t>
  </si>
  <si>
    <t>UBS ETF MSCI EMU UCITS ETF-JDR</t>
  </si>
  <si>
    <t>10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</si>
  <si>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</si>
  <si>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</si>
  <si>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</si>
  <si>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</si>
  <si>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</si>
  <si>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</si>
  <si>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</si>
  <si>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</si>
  <si>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</si>
  <si>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</si>
  <si>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</si>
  <si>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</si>
  <si>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</si>
  <si>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</si>
  <si>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</si>
  <si>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</si>
  <si>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</si>
  <si>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</si>
  <si>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</si>
  <si>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</si>
  <si>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</si>
  <si>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</si>
  <si>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</si>
  <si>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</si>
  <si>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</si>
  <si>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</si>
  <si>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</si>
  <si>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</si>
  <si>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</si>
  <si>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</si>
  <si>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</si>
  <si>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</si>
  <si>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</si>
  <si>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</si>
  <si>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</si>
  <si>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</si>
  <si>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</si>
  <si>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</si>
  <si>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</si>
  <si>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</si>
  <si>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</si>
  <si>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</si>
  <si>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</si>
  <si>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</si>
  <si>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</si>
  <si>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6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</si>
  <si>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</si>
  <si>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</si>
  <si>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</si>
  <si>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</si>
  <si>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</si>
  <si>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</si>
  <si>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4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</si>
  <si>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</si>
  <si>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</si>
  <si>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</si>
  <si>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</si>
  <si>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</si>
  <si>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</si>
  <si>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</si>
  <si>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</si>
  <si>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</si>
  <si>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</si>
  <si>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</si>
  <si>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</si>
  <si>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</si>
  <si>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</si>
  <si>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</si>
  <si>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</si>
  <si>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</si>
  <si>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</si>
  <si>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</si>
  <si>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</si>
  <si>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</si>
  <si>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</si>
  <si>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</si>
  <si>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</si>
  <si>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</si>
  <si>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</si>
  <si>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</si>
  <si>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</si>
  <si>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</si>
  <si>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</si>
  <si>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</si>
  <si>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</si>
  <si>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</si>
  <si>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</si>
  <si>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</si>
  <si>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</si>
  <si>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</si>
  <si>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</si>
  <si>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</si>
  <si>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</si>
  <si>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</si>
  <si>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</si>
  <si>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</si>
  <si>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</si>
  <si>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</si>
  <si>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</si>
  <si>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</si>
  <si>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</si>
  <si>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</si>
  <si>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</si>
  <si>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</si>
  <si>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5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</si>
  <si>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</si>
  <si>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</si>
  <si>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</si>
  <si>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</si>
  <si>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</si>
  <si>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</si>
  <si>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</si>
  <si>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</si>
  <si>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</si>
  <si>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</si>
  <si>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</si>
  <si>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</si>
  <si>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</si>
  <si>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</si>
  <si>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</si>
  <si>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</si>
  <si>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</si>
  <si>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</si>
  <si>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</si>
  <si>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</si>
  <si>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</si>
  <si>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</si>
  <si>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</si>
  <si>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</si>
  <si>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</si>
  <si>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</si>
  <si>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</si>
  <si>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</si>
  <si>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</si>
  <si>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</si>
  <si>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</si>
  <si>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</si>
  <si>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</si>
  <si>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</si>
  <si>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</si>
  <si>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</si>
  <si>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19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</si>
  <si>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</si>
  <si>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</si>
  <si>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</si>
  <si>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</si>
  <si>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</si>
  <si>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</si>
  <si>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</si>
  <si>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</si>
  <si>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</si>
  <si>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</si>
  <si>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</si>
  <si>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</si>
  <si>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</si>
  <si>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</si>
  <si>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</si>
  <si>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</si>
  <si>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</si>
  <si>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</si>
  <si>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</si>
  <si>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</si>
  <si>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</si>
  <si>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</si>
  <si>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</si>
  <si>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</si>
  <si>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</si>
  <si>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</si>
  <si>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</si>
  <si>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</si>
  <si>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</si>
  <si>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</si>
  <si>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</si>
  <si>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</si>
  <si>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</si>
  <si>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</si>
  <si>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</si>
  <si>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</si>
  <si>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</si>
  <si>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</si>
  <si>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</si>
  <si>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</si>
  <si>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</si>
  <si>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</si>
  <si>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</si>
  <si>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</si>
  <si>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</si>
  <si>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</si>
  <si>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</si>
  <si>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</si>
  <si>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</si>
  <si>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</si>
  <si>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</si>
  <si>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</si>
  <si>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</si>
  <si>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</si>
  <si>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</si>
  <si>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</si>
  <si>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</si>
  <si>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</si>
  <si>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</si>
  <si>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</si>
  <si>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</si>
  <si>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</si>
  <si>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</si>
  <si>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</si>
  <si>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</si>
  <si>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</si>
  <si>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</si>
  <si>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</si>
  <si>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</si>
  <si>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</si>
  <si>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</si>
  <si>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</si>
  <si>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</si>
  <si>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</si>
  <si>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</si>
  <si>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</si>
  <si>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</si>
  <si>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</si>
  <si>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</si>
  <si>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</si>
  <si>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</si>
  <si>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</si>
  <si>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</si>
  <si>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</si>
  <si>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</si>
  <si>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</si>
  <si>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</si>
  <si>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</si>
  <si>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</si>
  <si>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</si>
  <si>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</si>
  <si>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</si>
  <si>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</si>
  <si>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</si>
  <si>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</si>
  <si>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</si>
  <si>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</si>
  <si>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</si>
  <si>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</si>
  <si>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</si>
  <si>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</si>
  <si>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</si>
  <si>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</si>
  <si>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</si>
  <si>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</si>
  <si>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</si>
  <si>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</si>
  <si>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</si>
  <si>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</si>
  <si>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</si>
  <si>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</si>
  <si>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</si>
  <si>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</si>
  <si>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</si>
  <si>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</si>
  <si>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</si>
  <si>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</si>
  <si>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</si>
  <si>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</si>
  <si>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</si>
  <si>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</si>
  <si>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</si>
  <si>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</si>
  <si>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</si>
  <si>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</si>
  <si>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</si>
  <si>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</si>
  <si>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</si>
  <si>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</si>
  <si>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</si>
  <si>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</si>
  <si>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</si>
  <si>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</si>
  <si>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</si>
  <si>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</si>
  <si>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</si>
  <si>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</si>
  <si>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</si>
  <si>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</si>
  <si>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</si>
  <si>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</si>
  <si>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</si>
  <si>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</si>
  <si>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</si>
  <si>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</si>
  <si>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</si>
  <si>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</si>
  <si>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</si>
  <si>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</si>
  <si>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</si>
  <si>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</si>
  <si>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</si>
  <si>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</si>
  <si>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</si>
  <si>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</si>
  <si>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</si>
  <si>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</si>
  <si>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</si>
  <si>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</si>
  <si>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</si>
  <si>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</si>
  <si>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</si>
  <si>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</si>
  <si>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</si>
  <si>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</si>
  <si>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</si>
  <si>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</si>
  <si>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</si>
  <si>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</si>
  <si>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</si>
  <si>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</si>
  <si>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</si>
  <si>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</si>
  <si>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</si>
  <si>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</si>
  <si>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</si>
  <si>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</si>
  <si>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</si>
  <si>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</si>
  <si>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</si>
  <si>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</si>
  <si>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</si>
  <si>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</si>
  <si>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</si>
  <si>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</si>
  <si>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</si>
  <si>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</si>
  <si>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</si>
  <si>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</si>
  <si>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</si>
  <si>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</si>
  <si>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</si>
  <si>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</si>
  <si>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</si>
  <si>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</si>
  <si>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</si>
  <si>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</si>
  <si>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</si>
  <si>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</si>
  <si>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</si>
  <si>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</si>
  <si>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</si>
  <si>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</si>
  <si>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</si>
  <si>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</si>
  <si>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</si>
  <si>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</si>
  <si>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</si>
  <si>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</si>
  <si>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</si>
  <si>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</si>
  <si>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</si>
  <si>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</si>
  <si>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</si>
  <si>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</si>
  <si>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</si>
  <si>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</si>
  <si>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</si>
  <si>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</si>
  <si>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</si>
  <si>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</si>
  <si>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</si>
  <si>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</si>
  <si>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</si>
  <si>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</si>
  <si>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</si>
  <si>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</si>
  <si>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</si>
  <si>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</si>
  <si>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</si>
  <si>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</si>
  <si>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</si>
  <si>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</si>
  <si>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</si>
  <si>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</si>
  <si>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</si>
  <si>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</si>
  <si>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</si>
  <si>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</si>
  <si>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</si>
  <si>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13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</si>
  <si>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</si>
  <si>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</si>
  <si>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</si>
  <si>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</si>
  <si>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</si>
  <si>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</si>
  <si>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</si>
  <si>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</si>
  <si>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</si>
  <si>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</si>
  <si>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</si>
  <si>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</si>
  <si>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</si>
  <si>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</si>
  <si>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</si>
  <si>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</si>
  <si>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</si>
  <si>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</si>
  <si>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</si>
  <si>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</si>
  <si>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</si>
  <si>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</si>
  <si>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</si>
  <si>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</si>
  <si>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</si>
  <si>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</si>
  <si>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</si>
  <si>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</si>
  <si>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</si>
  <si>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</si>
  <si>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</si>
  <si>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</si>
  <si>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</si>
  <si>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</si>
  <si>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</si>
  <si>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</si>
  <si>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</si>
  <si>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</si>
  <si>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</si>
  <si>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</si>
  <si>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</si>
  <si>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</si>
  <si>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</si>
  <si>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</si>
  <si>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</si>
  <si>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</si>
  <si>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</si>
  <si>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</si>
  <si>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</si>
  <si>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</si>
  <si>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</si>
  <si>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</si>
  <si>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</si>
  <si>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</si>
  <si>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</si>
  <si>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</si>
  <si>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</si>
  <si>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</si>
  <si>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</si>
  <si>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</si>
  <si>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</si>
  <si>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</si>
  <si>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</si>
  <si>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</si>
  <si>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</si>
  <si>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</si>
  <si>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</si>
  <si>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</si>
  <si>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</si>
  <si>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</si>
  <si>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</si>
  <si>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</si>
  <si>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</si>
  <si>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</si>
  <si>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</si>
  <si>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</si>
  <si>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</si>
  <si>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</si>
  <si>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</si>
  <si>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</si>
  <si>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</si>
  <si>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</si>
  <si>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</si>
  <si>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</si>
  <si>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</si>
  <si>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</si>
  <si>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</si>
  <si>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</si>
  <si>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</si>
  <si>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</si>
  <si>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</si>
  <si>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</si>
  <si>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</si>
  <si>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</si>
  <si>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</si>
  <si>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</si>
  <si>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</si>
  <si>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</si>
  <si>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</si>
  <si>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</si>
  <si>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</si>
  <si>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</si>
  <si>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</si>
  <si>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</si>
  <si>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</si>
  <si>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</si>
  <si>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</si>
  <si>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</si>
  <si>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</si>
  <si>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</si>
  <si>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</si>
  <si>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</si>
  <si>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</si>
  <si>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</si>
  <si>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</si>
  <si>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</si>
  <si>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</si>
  <si>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</si>
  <si>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</si>
  <si>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</si>
  <si>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</si>
  <si>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</si>
  <si>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</si>
  <si>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</si>
  <si>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</si>
  <si>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</si>
  <si>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</si>
  <si>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</si>
  <si>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</si>
  <si>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</si>
  <si>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</si>
  <si>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</si>
  <si>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</si>
  <si>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</si>
  <si>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</si>
  <si>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</si>
  <si>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</si>
  <si>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</si>
  <si>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</si>
  <si>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</si>
  <si>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</si>
  <si>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</si>
  <si>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</si>
  <si>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</si>
  <si>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</si>
  <si>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 xml:space="preserve">新規上場  </t>
  </si>
  <si>
    <t xml:space="preserve">New Listing  </t>
  </si>
  <si>
    <t xml:space="preserve">2020/11/26  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</si>
  <si>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</si>
  <si>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</si>
  <si>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</si>
  <si>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</si>
  <si>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</si>
  <si>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</si>
  <si>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</si>
  <si>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</si>
  <si>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</si>
  <si>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</si>
  <si>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</si>
  <si>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</si>
  <si>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</si>
  <si>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</si>
  <si>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</si>
  <si>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</si>
  <si>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</si>
  <si>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</si>
  <si>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</si>
  <si>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</si>
  <si>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</si>
  <si>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</si>
  <si>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</si>
  <si>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</si>
  <si>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</si>
  <si>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</si>
  <si>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</si>
  <si>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</si>
  <si>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</si>
  <si>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</si>
  <si>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</si>
  <si>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</si>
  <si>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</si>
  <si>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</si>
  <si>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</si>
  <si>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</si>
  <si>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</si>
  <si>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</si>
  <si>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</si>
  <si>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</si>
  <si>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</si>
  <si>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</si>
  <si>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</si>
  <si>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</si>
  <si>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</si>
  <si>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</si>
  <si>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</si>
  <si>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</si>
  <si>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</si>
  <si>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</si>
  <si>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</si>
  <si>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</si>
  <si>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</si>
  <si>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</si>
  <si>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</si>
  <si>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</si>
  <si>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</si>
  <si>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</si>
  <si>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</si>
  <si>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</si>
  <si>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</si>
  <si>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</si>
  <si>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</si>
  <si>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</si>
  <si>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</si>
  <si>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</si>
  <si>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</si>
  <si>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</si>
  <si>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</si>
  <si>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</si>
  <si>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</si>
  <si>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</si>
  <si>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</si>
  <si>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</si>
  <si>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</si>
  <si>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</si>
  <si>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</si>
  <si>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</si>
  <si>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</si>
  <si>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</si>
  <si>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</si>
  <si>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</si>
  <si>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</si>
  <si>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</si>
  <si>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</si>
  <si>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</si>
  <si>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</si>
  <si>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</si>
  <si>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</si>
  <si>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</si>
  <si>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</si>
  <si>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</si>
  <si>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</si>
  <si>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</si>
  <si>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</si>
  <si>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</si>
  <si>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</si>
  <si>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</si>
  <si>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</si>
  <si>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</si>
  <si>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</si>
  <si>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</si>
  <si>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</si>
  <si>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</si>
  <si>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</si>
  <si>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</si>
  <si>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</si>
  <si>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</si>
  <si>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</si>
  <si>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</si>
  <si>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</si>
  <si>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</si>
  <si>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</si>
  <si>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</si>
  <si>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</si>
  <si>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</si>
  <si>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</si>
  <si>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</si>
  <si>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</si>
  <si>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</si>
  <si>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</si>
  <si>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</si>
  <si>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</si>
  <si>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</si>
  <si>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</si>
  <si>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</si>
  <si>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</si>
  <si>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</si>
  <si>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</si>
  <si>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</si>
  <si>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</si>
  <si>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</si>
  <si>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</si>
  <si>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</si>
  <si>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</si>
  <si>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</si>
  <si>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</si>
  <si>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</si>
  <si>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 xml:space="preserve">2020/11/10  </t>
  </si>
  <si>
    <t>2625</t>
  </si>
  <si>
    <t>ｉＦｒｅｅＥＴＦ　ＴＯＰＩＸ（年４回決算型）　受益証券</t>
  </si>
  <si>
    <t>iFreeETF-TOPIX(Quarterly Dividend Type)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</si>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</sst>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34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1673</f>
        <v>1673.0</v>
      </c>
      <c r="L7" s="34" t="s">
        <v>48</v>
      </c>
      <c r="M7" s="33" t="n">
        <f>1884</f>
        <v>1884.0</v>
      </c>
      <c r="N7" s="34" t="s">
        <v>49</v>
      </c>
      <c r="O7" s="33" t="n">
        <f>1672</f>
        <v>1672.0</v>
      </c>
      <c r="P7" s="34" t="s">
        <v>48</v>
      </c>
      <c r="Q7" s="33" t="n">
        <f>1841</f>
        <v>1841.0</v>
      </c>
      <c r="R7" s="34" t="s">
        <v>50</v>
      </c>
      <c r="S7" s="35" t="n">
        <f>1800.89</f>
        <v>1800.89</v>
      </c>
      <c r="T7" s="32" t="n">
        <f>15040990</f>
        <v>1.504099E7</v>
      </c>
      <c r="U7" s="32" t="n">
        <f>6842360</f>
        <v>6842360.0</v>
      </c>
      <c r="V7" s="32" t="n">
        <f>26750376711</f>
        <v>2.6750376711E10</v>
      </c>
      <c r="W7" s="32" t="n">
        <f>11916407571</f>
        <v>1.1916407571E10</v>
      </c>
      <c r="X7" s="36" t="n">
        <f>19</f>
        <v>19.0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1652</f>
        <v>1652.0</v>
      </c>
      <c r="L8" s="34" t="s">
        <v>48</v>
      </c>
      <c r="M8" s="33" t="n">
        <f>1863</f>
        <v>1863.0</v>
      </c>
      <c r="N8" s="34" t="s">
        <v>49</v>
      </c>
      <c r="O8" s="33" t="n">
        <f>1652</f>
        <v>1652.0</v>
      </c>
      <c r="P8" s="34" t="s">
        <v>48</v>
      </c>
      <c r="Q8" s="33" t="n">
        <f>1818</f>
        <v>1818.0</v>
      </c>
      <c r="R8" s="34" t="s">
        <v>50</v>
      </c>
      <c r="S8" s="35" t="n">
        <f>1779.05</f>
        <v>1779.05</v>
      </c>
      <c r="T8" s="32" t="n">
        <f>64623720</f>
        <v>6.462372E7</v>
      </c>
      <c r="U8" s="32" t="n">
        <f>16037280</f>
        <v>1.603728E7</v>
      </c>
      <c r="V8" s="32" t="n">
        <f>116167580193</f>
        <v>1.16167580193E11</v>
      </c>
      <c r="W8" s="32" t="n">
        <f>29571248553</f>
        <v>2.9571248553E10</v>
      </c>
      <c r="X8" s="36" t="n">
        <f>19</f>
        <v>19.0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1636</f>
        <v>1636.0</v>
      </c>
      <c r="L9" s="34" t="s">
        <v>48</v>
      </c>
      <c r="M9" s="33" t="n">
        <f>1845</f>
        <v>1845.0</v>
      </c>
      <c r="N9" s="34" t="s">
        <v>49</v>
      </c>
      <c r="O9" s="33" t="n">
        <f>1636</f>
        <v>1636.0</v>
      </c>
      <c r="P9" s="34" t="s">
        <v>48</v>
      </c>
      <c r="Q9" s="33" t="n">
        <f>1801</f>
        <v>1801.0</v>
      </c>
      <c r="R9" s="34" t="s">
        <v>50</v>
      </c>
      <c r="S9" s="35" t="n">
        <f>1761.63</f>
        <v>1761.63</v>
      </c>
      <c r="T9" s="32" t="n">
        <f>28424100</f>
        <v>2.84241E7</v>
      </c>
      <c r="U9" s="32" t="n">
        <f>16657400</f>
        <v>1.66574E7</v>
      </c>
      <c r="V9" s="32" t="n">
        <f>50102969650</f>
        <v>5.010296965E10</v>
      </c>
      <c r="W9" s="32" t="n">
        <f>29251802450</f>
        <v>2.925180245E10</v>
      </c>
      <c r="X9" s="36" t="n">
        <f>19</f>
        <v>19.0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38350</f>
        <v>38350.0</v>
      </c>
      <c r="L10" s="34" t="s">
        <v>48</v>
      </c>
      <c r="M10" s="33" t="n">
        <f>42450</f>
        <v>42450.0</v>
      </c>
      <c r="N10" s="34" t="s">
        <v>50</v>
      </c>
      <c r="O10" s="33" t="n">
        <f>38350</f>
        <v>38350.0</v>
      </c>
      <c r="P10" s="34" t="s">
        <v>48</v>
      </c>
      <c r="Q10" s="33" t="n">
        <f>41550</f>
        <v>41550.0</v>
      </c>
      <c r="R10" s="34" t="s">
        <v>50</v>
      </c>
      <c r="S10" s="35" t="n">
        <f>40502.63</f>
        <v>40502.63</v>
      </c>
      <c r="T10" s="32" t="n">
        <f>11214</f>
        <v>11214.0</v>
      </c>
      <c r="U10" s="32" t="str">
        <f>"－"</f>
        <v>－</v>
      </c>
      <c r="V10" s="32" t="n">
        <f>456657300</f>
        <v>4.566573E8</v>
      </c>
      <c r="W10" s="32" t="str">
        <f>"－"</f>
        <v>－</v>
      </c>
      <c r="X10" s="36" t="n">
        <f>19</f>
        <v>19.0</v>
      </c>
    </row>
    <row r="11">
      <c r="A11" s="27" t="s">
        <v>42</v>
      </c>
      <c r="B11" s="27" t="s">
        <v>60</v>
      </c>
      <c r="C11" s="27" t="s">
        <v>61</v>
      </c>
      <c r="D11" s="27" t="s">
        <v>62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725</f>
        <v>725.0</v>
      </c>
      <c r="L11" s="34" t="s">
        <v>48</v>
      </c>
      <c r="M11" s="33" t="n">
        <f>818</f>
        <v>818.0</v>
      </c>
      <c r="N11" s="34" t="s">
        <v>50</v>
      </c>
      <c r="O11" s="33" t="n">
        <f>725</f>
        <v>725.0</v>
      </c>
      <c r="P11" s="34" t="s">
        <v>48</v>
      </c>
      <c r="Q11" s="33" t="n">
        <f>797</f>
        <v>797.0</v>
      </c>
      <c r="R11" s="34" t="s">
        <v>50</v>
      </c>
      <c r="S11" s="35" t="n">
        <f>780.68</f>
        <v>780.68</v>
      </c>
      <c r="T11" s="32" t="n">
        <f>214580</f>
        <v>214580.0</v>
      </c>
      <c r="U11" s="32" t="str">
        <f>"－"</f>
        <v>－</v>
      </c>
      <c r="V11" s="32" t="n">
        <f>166418610</f>
        <v>1.6641861E8</v>
      </c>
      <c r="W11" s="32" t="str">
        <f>"－"</f>
        <v>－</v>
      </c>
      <c r="X11" s="36" t="n">
        <f>19</f>
        <v>19.0</v>
      </c>
    </row>
    <row r="12">
      <c r="A12" s="27" t="s">
        <v>42</v>
      </c>
      <c r="B12" s="27" t="s">
        <v>63</v>
      </c>
      <c r="C12" s="27" t="s">
        <v>64</v>
      </c>
      <c r="D12" s="27" t="s">
        <v>65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18730</f>
        <v>18730.0</v>
      </c>
      <c r="L12" s="34" t="s">
        <v>48</v>
      </c>
      <c r="M12" s="33" t="n">
        <f>20230</f>
        <v>20230.0</v>
      </c>
      <c r="N12" s="34" t="s">
        <v>66</v>
      </c>
      <c r="O12" s="33" t="n">
        <f>18730</f>
        <v>18730.0</v>
      </c>
      <c r="P12" s="34" t="s">
        <v>48</v>
      </c>
      <c r="Q12" s="33" t="n">
        <f>19710</f>
        <v>19710.0</v>
      </c>
      <c r="R12" s="34" t="s">
        <v>50</v>
      </c>
      <c r="S12" s="35" t="n">
        <f>19634.12</f>
        <v>19634.12</v>
      </c>
      <c r="T12" s="32" t="n">
        <f>1280</f>
        <v>1280.0</v>
      </c>
      <c r="U12" s="32" t="str">
        <f>"－"</f>
        <v>－</v>
      </c>
      <c r="V12" s="32" t="n">
        <f>25293680</f>
        <v>2.529368E7</v>
      </c>
      <c r="W12" s="32" t="str">
        <f>"－"</f>
        <v>－</v>
      </c>
      <c r="X12" s="36" t="n">
        <f>17</f>
        <v>17.0</v>
      </c>
    </row>
    <row r="13">
      <c r="A13" s="27" t="s">
        <v>42</v>
      </c>
      <c r="B13" s="27" t="s">
        <v>67</v>
      </c>
      <c r="C13" s="27" t="s">
        <v>68</v>
      </c>
      <c r="D13" s="27" t="s">
        <v>69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2829</f>
        <v>2829.0</v>
      </c>
      <c r="L13" s="34" t="s">
        <v>48</v>
      </c>
      <c r="M13" s="33" t="n">
        <f>3850</f>
        <v>3850.0</v>
      </c>
      <c r="N13" s="34" t="s">
        <v>66</v>
      </c>
      <c r="O13" s="33" t="n">
        <f>2771</f>
        <v>2771.0</v>
      </c>
      <c r="P13" s="34" t="s">
        <v>48</v>
      </c>
      <c r="Q13" s="33" t="n">
        <f>3275</f>
        <v>3275.0</v>
      </c>
      <c r="R13" s="34" t="s">
        <v>50</v>
      </c>
      <c r="S13" s="35" t="n">
        <f>3122</f>
        <v>3122.0</v>
      </c>
      <c r="T13" s="32" t="n">
        <f>7460</f>
        <v>7460.0</v>
      </c>
      <c r="U13" s="32" t="str">
        <f>"－"</f>
        <v>－</v>
      </c>
      <c r="V13" s="32" t="n">
        <f>24107640</f>
        <v>2.410764E7</v>
      </c>
      <c r="W13" s="32" t="str">
        <f>"－"</f>
        <v>－</v>
      </c>
      <c r="X13" s="36" t="n">
        <f>19</f>
        <v>19.0</v>
      </c>
    </row>
    <row r="14">
      <c r="A14" s="27" t="s">
        <v>42</v>
      </c>
      <c r="B14" s="27" t="s">
        <v>70</v>
      </c>
      <c r="C14" s="27" t="s">
        <v>71</v>
      </c>
      <c r="D14" s="27" t="s">
        <v>72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311</f>
        <v>311.0</v>
      </c>
      <c r="L14" s="34" t="s">
        <v>48</v>
      </c>
      <c r="M14" s="33" t="n">
        <f>338</f>
        <v>338.0</v>
      </c>
      <c r="N14" s="34" t="s">
        <v>49</v>
      </c>
      <c r="O14" s="33" t="n">
        <f>311</f>
        <v>311.0</v>
      </c>
      <c r="P14" s="34" t="s">
        <v>48</v>
      </c>
      <c r="Q14" s="33" t="n">
        <f>334</f>
        <v>334.0</v>
      </c>
      <c r="R14" s="34" t="s">
        <v>50</v>
      </c>
      <c r="S14" s="35" t="n">
        <f>326.89</f>
        <v>326.89</v>
      </c>
      <c r="T14" s="32" t="n">
        <f>160000</f>
        <v>160000.0</v>
      </c>
      <c r="U14" s="32" t="str">
        <f>"－"</f>
        <v>－</v>
      </c>
      <c r="V14" s="32" t="n">
        <f>52672000</f>
        <v>5.2672E7</v>
      </c>
      <c r="W14" s="32" t="str">
        <f>"－"</f>
        <v>－</v>
      </c>
      <c r="X14" s="36" t="n">
        <f>18</f>
        <v>18.0</v>
      </c>
    </row>
    <row r="15">
      <c r="A15" s="27" t="s">
        <v>42</v>
      </c>
      <c r="B15" s="27" t="s">
        <v>73</v>
      </c>
      <c r="C15" s="27" t="s">
        <v>74</v>
      </c>
      <c r="D15" s="27" t="s">
        <v>75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23730</f>
        <v>23730.0</v>
      </c>
      <c r="L15" s="34" t="s">
        <v>48</v>
      </c>
      <c r="M15" s="33" t="n">
        <f>27610</f>
        <v>27610.0</v>
      </c>
      <c r="N15" s="34" t="s">
        <v>50</v>
      </c>
      <c r="O15" s="33" t="n">
        <f>23730</f>
        <v>23730.0</v>
      </c>
      <c r="P15" s="34" t="s">
        <v>48</v>
      </c>
      <c r="Q15" s="33" t="n">
        <f>27170</f>
        <v>27170.0</v>
      </c>
      <c r="R15" s="34" t="s">
        <v>50</v>
      </c>
      <c r="S15" s="35" t="n">
        <f>26092.11</f>
        <v>26092.11</v>
      </c>
      <c r="T15" s="32" t="n">
        <f>1741935</f>
        <v>1741935.0</v>
      </c>
      <c r="U15" s="32" t="n">
        <f>403313</f>
        <v>403313.0</v>
      </c>
      <c r="V15" s="32" t="n">
        <f>45116149250</f>
        <v>4.511614925E10</v>
      </c>
      <c r="W15" s="32" t="n">
        <f>10324835250</f>
        <v>1.032483525E10</v>
      </c>
      <c r="X15" s="36" t="n">
        <f>19</f>
        <v>19.0</v>
      </c>
    </row>
    <row r="16">
      <c r="A16" s="27" t="s">
        <v>42</v>
      </c>
      <c r="B16" s="27" t="s">
        <v>76</v>
      </c>
      <c r="C16" s="27" t="s">
        <v>77</v>
      </c>
      <c r="D16" s="27" t="s">
        <v>78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23790</f>
        <v>23790.0</v>
      </c>
      <c r="L16" s="34" t="s">
        <v>48</v>
      </c>
      <c r="M16" s="33" t="n">
        <f>27680</f>
        <v>27680.0</v>
      </c>
      <c r="N16" s="34" t="s">
        <v>50</v>
      </c>
      <c r="O16" s="33" t="n">
        <f>23790</f>
        <v>23790.0</v>
      </c>
      <c r="P16" s="34" t="s">
        <v>48</v>
      </c>
      <c r="Q16" s="33" t="n">
        <f>27230</f>
        <v>27230.0</v>
      </c>
      <c r="R16" s="34" t="s">
        <v>50</v>
      </c>
      <c r="S16" s="35" t="n">
        <f>26151.58</f>
        <v>26151.58</v>
      </c>
      <c r="T16" s="32" t="n">
        <f>6128670</f>
        <v>6128670.0</v>
      </c>
      <c r="U16" s="32" t="n">
        <f>263504</f>
        <v>263504.0</v>
      </c>
      <c r="V16" s="32" t="n">
        <f>158865120677</f>
        <v>1.58865120677E11</v>
      </c>
      <c r="W16" s="32" t="n">
        <f>6798412577</f>
        <v>6.798412577E9</v>
      </c>
      <c r="X16" s="36" t="n">
        <f>19</f>
        <v>19.0</v>
      </c>
    </row>
    <row r="17">
      <c r="A17" s="27" t="s">
        <v>42</v>
      </c>
      <c r="B17" s="27" t="s">
        <v>79</v>
      </c>
      <c r="C17" s="27" t="s">
        <v>80</v>
      </c>
      <c r="D17" s="27" t="s">
        <v>81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7190</f>
        <v>7190.0</v>
      </c>
      <c r="L17" s="34" t="s">
        <v>48</v>
      </c>
      <c r="M17" s="33" t="n">
        <f>7790</f>
        <v>7790.0</v>
      </c>
      <c r="N17" s="34" t="s">
        <v>82</v>
      </c>
      <c r="O17" s="33" t="n">
        <f>7110</f>
        <v>7110.0</v>
      </c>
      <c r="P17" s="34" t="s">
        <v>48</v>
      </c>
      <c r="Q17" s="33" t="n">
        <f>7690</f>
        <v>7690.0</v>
      </c>
      <c r="R17" s="34" t="s">
        <v>50</v>
      </c>
      <c r="S17" s="35" t="n">
        <f>7562.11</f>
        <v>7562.11</v>
      </c>
      <c r="T17" s="32" t="n">
        <f>21410</f>
        <v>21410.0</v>
      </c>
      <c r="U17" s="32" t="n">
        <f>10</f>
        <v>10.0</v>
      </c>
      <c r="V17" s="32" t="n">
        <f>162213900</f>
        <v>1.622139E8</v>
      </c>
      <c r="W17" s="32" t="n">
        <f>76500</f>
        <v>76500.0</v>
      </c>
      <c r="X17" s="36" t="n">
        <f>19</f>
        <v>19.0</v>
      </c>
    </row>
    <row r="18">
      <c r="A18" s="27" t="s">
        <v>42</v>
      </c>
      <c r="B18" s="27" t="s">
        <v>83</v>
      </c>
      <c r="C18" s="27" t="s">
        <v>84</v>
      </c>
      <c r="D18" s="27" t="s">
        <v>85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306</f>
        <v>306.0</v>
      </c>
      <c r="L18" s="34" t="s">
        <v>48</v>
      </c>
      <c r="M18" s="33" t="n">
        <f>358</f>
        <v>358.0</v>
      </c>
      <c r="N18" s="34" t="s">
        <v>86</v>
      </c>
      <c r="O18" s="33" t="n">
        <f>305</f>
        <v>305.0</v>
      </c>
      <c r="P18" s="34" t="s">
        <v>48</v>
      </c>
      <c r="Q18" s="33" t="n">
        <f>347</f>
        <v>347.0</v>
      </c>
      <c r="R18" s="34" t="s">
        <v>50</v>
      </c>
      <c r="S18" s="35" t="n">
        <f>335.89</f>
        <v>335.89</v>
      </c>
      <c r="T18" s="32" t="n">
        <f>72100</f>
        <v>72100.0</v>
      </c>
      <c r="U18" s="32" t="n">
        <f>100</f>
        <v>100.0</v>
      </c>
      <c r="V18" s="32" t="n">
        <f>24508700</f>
        <v>2.45087E7</v>
      </c>
      <c r="W18" s="32" t="n">
        <f>35300</f>
        <v>35300.0</v>
      </c>
      <c r="X18" s="36" t="n">
        <f>19</f>
        <v>19.0</v>
      </c>
    </row>
    <row r="19">
      <c r="A19" s="27" t="s">
        <v>42</v>
      </c>
      <c r="B19" s="27" t="s">
        <v>87</v>
      </c>
      <c r="C19" s="27" t="s">
        <v>88</v>
      </c>
      <c r="D19" s="27" t="s">
        <v>89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127</f>
        <v>127.0</v>
      </c>
      <c r="L19" s="34" t="s">
        <v>48</v>
      </c>
      <c r="M19" s="33" t="n">
        <f>135</f>
        <v>135.0</v>
      </c>
      <c r="N19" s="34" t="s">
        <v>90</v>
      </c>
      <c r="O19" s="33" t="n">
        <f>126</f>
        <v>126.0</v>
      </c>
      <c r="P19" s="34" t="s">
        <v>48</v>
      </c>
      <c r="Q19" s="33" t="n">
        <f>132</f>
        <v>132.0</v>
      </c>
      <c r="R19" s="34" t="s">
        <v>50</v>
      </c>
      <c r="S19" s="35" t="n">
        <f>130</f>
        <v>130.0</v>
      </c>
      <c r="T19" s="32" t="n">
        <f>349800</f>
        <v>349800.0</v>
      </c>
      <c r="U19" s="32" t="n">
        <f>100</f>
        <v>100.0</v>
      </c>
      <c r="V19" s="32" t="n">
        <f>45633300</f>
        <v>4.56333E7</v>
      </c>
      <c r="W19" s="32" t="n">
        <f>13000</f>
        <v>13000.0</v>
      </c>
      <c r="X19" s="36" t="n">
        <f>19</f>
        <v>19.0</v>
      </c>
    </row>
    <row r="20">
      <c r="A20" s="27" t="s">
        <v>42</v>
      </c>
      <c r="B20" s="27" t="s">
        <v>91</v>
      </c>
      <c r="C20" s="27" t="s">
        <v>92</v>
      </c>
      <c r="D20" s="27" t="s">
        <v>93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142</f>
        <v>142.0</v>
      </c>
      <c r="L20" s="34" t="s">
        <v>48</v>
      </c>
      <c r="M20" s="33" t="n">
        <f>159</f>
        <v>159.0</v>
      </c>
      <c r="N20" s="34" t="s">
        <v>49</v>
      </c>
      <c r="O20" s="33" t="n">
        <f>141</f>
        <v>141.0</v>
      </c>
      <c r="P20" s="34" t="s">
        <v>48</v>
      </c>
      <c r="Q20" s="33" t="n">
        <f>154</f>
        <v>154.0</v>
      </c>
      <c r="R20" s="34" t="s">
        <v>50</v>
      </c>
      <c r="S20" s="35" t="n">
        <f>151.89</f>
        <v>151.89</v>
      </c>
      <c r="T20" s="32" t="n">
        <f>533500</f>
        <v>533500.0</v>
      </c>
      <c r="U20" s="32" t="n">
        <f>100</f>
        <v>100.0</v>
      </c>
      <c r="V20" s="32" t="n">
        <f>81832300</f>
        <v>8.18323E7</v>
      </c>
      <c r="W20" s="32" t="n">
        <f>15800</f>
        <v>15800.0</v>
      </c>
      <c r="X20" s="36" t="n">
        <f>19</f>
        <v>19.0</v>
      </c>
    </row>
    <row r="21">
      <c r="A21" s="27" t="s">
        <v>42</v>
      </c>
      <c r="B21" s="27" t="s">
        <v>94</v>
      </c>
      <c r="C21" s="27" t="s">
        <v>95</v>
      </c>
      <c r="D21" s="27" t="s">
        <v>96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18410</f>
        <v>18410.0</v>
      </c>
      <c r="L21" s="34" t="s">
        <v>48</v>
      </c>
      <c r="M21" s="33" t="n">
        <f>19090</f>
        <v>19090.0</v>
      </c>
      <c r="N21" s="34" t="s">
        <v>97</v>
      </c>
      <c r="O21" s="33" t="n">
        <f>17200</f>
        <v>17200.0</v>
      </c>
      <c r="P21" s="34" t="s">
        <v>50</v>
      </c>
      <c r="Q21" s="33" t="n">
        <f>17260</f>
        <v>17260.0</v>
      </c>
      <c r="R21" s="34" t="s">
        <v>50</v>
      </c>
      <c r="S21" s="35" t="n">
        <f>18313.68</f>
        <v>18313.68</v>
      </c>
      <c r="T21" s="32" t="n">
        <f>342710</f>
        <v>342710.0</v>
      </c>
      <c r="U21" s="32" t="str">
        <f>"－"</f>
        <v>－</v>
      </c>
      <c r="V21" s="32" t="n">
        <f>6263141780</f>
        <v>6.26314178E9</v>
      </c>
      <c r="W21" s="32" t="str">
        <f>"－"</f>
        <v>－</v>
      </c>
      <c r="X21" s="36" t="n">
        <f>19</f>
        <v>19.0</v>
      </c>
    </row>
    <row r="22">
      <c r="A22" s="27" t="s">
        <v>42</v>
      </c>
      <c r="B22" s="27" t="s">
        <v>98</v>
      </c>
      <c r="C22" s="27" t="s">
        <v>99</v>
      </c>
      <c r="D22" s="27" t="s">
        <v>100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2629</f>
        <v>2629.0</v>
      </c>
      <c r="L22" s="34" t="s">
        <v>48</v>
      </c>
      <c r="M22" s="33" t="n">
        <f>2800</f>
        <v>2800.0</v>
      </c>
      <c r="N22" s="34" t="s">
        <v>50</v>
      </c>
      <c r="O22" s="33" t="n">
        <f>2563</f>
        <v>2563.0</v>
      </c>
      <c r="P22" s="34" t="s">
        <v>48</v>
      </c>
      <c r="Q22" s="33" t="n">
        <f>2715</f>
        <v>2715.0</v>
      </c>
      <c r="R22" s="34" t="s">
        <v>50</v>
      </c>
      <c r="S22" s="35" t="n">
        <f>2648.74</f>
        <v>2648.74</v>
      </c>
      <c r="T22" s="32" t="n">
        <f>4303</f>
        <v>4303.0</v>
      </c>
      <c r="U22" s="32" t="n">
        <f>1</f>
        <v>1.0</v>
      </c>
      <c r="V22" s="32" t="n">
        <f>11600632</f>
        <v>1.1600632E7</v>
      </c>
      <c r="W22" s="32" t="n">
        <f>2700</f>
        <v>2700.0</v>
      </c>
      <c r="X22" s="36" t="n">
        <f>19</f>
        <v>19.0</v>
      </c>
    </row>
    <row r="23">
      <c r="A23" s="27" t="s">
        <v>42</v>
      </c>
      <c r="B23" s="27" t="s">
        <v>101</v>
      </c>
      <c r="C23" s="27" t="s">
        <v>102</v>
      </c>
      <c r="D23" s="27" t="s">
        <v>103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5030</f>
        <v>5030.0</v>
      </c>
      <c r="L23" s="34" t="s">
        <v>48</v>
      </c>
      <c r="M23" s="33" t="n">
        <f>5220</f>
        <v>5220.0</v>
      </c>
      <c r="N23" s="34" t="s">
        <v>97</v>
      </c>
      <c r="O23" s="33" t="n">
        <f>4695</f>
        <v>4695.0</v>
      </c>
      <c r="P23" s="34" t="s">
        <v>50</v>
      </c>
      <c r="Q23" s="33" t="n">
        <f>4710</f>
        <v>4710.0</v>
      </c>
      <c r="R23" s="34" t="s">
        <v>50</v>
      </c>
      <c r="S23" s="35" t="n">
        <f>5004.21</f>
        <v>5004.21</v>
      </c>
      <c r="T23" s="32" t="n">
        <f>278600</f>
        <v>278600.0</v>
      </c>
      <c r="U23" s="32" t="str">
        <f>"－"</f>
        <v>－</v>
      </c>
      <c r="V23" s="32" t="n">
        <f>1386360550</f>
        <v>1.38636055E9</v>
      </c>
      <c r="W23" s="32" t="str">
        <f>"－"</f>
        <v>－</v>
      </c>
      <c r="X23" s="36" t="n">
        <f>19</f>
        <v>19.0</v>
      </c>
    </row>
    <row r="24">
      <c r="A24" s="27" t="s">
        <v>42</v>
      </c>
      <c r="B24" s="27" t="s">
        <v>104</v>
      </c>
      <c r="C24" s="27" t="s">
        <v>105</v>
      </c>
      <c r="D24" s="27" t="s">
        <v>106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23900</f>
        <v>23900.0</v>
      </c>
      <c r="L24" s="34" t="s">
        <v>48</v>
      </c>
      <c r="M24" s="33" t="n">
        <f>27780</f>
        <v>27780.0</v>
      </c>
      <c r="N24" s="34" t="s">
        <v>50</v>
      </c>
      <c r="O24" s="33" t="n">
        <f>23890</f>
        <v>23890.0</v>
      </c>
      <c r="P24" s="34" t="s">
        <v>48</v>
      </c>
      <c r="Q24" s="33" t="n">
        <f>27370</f>
        <v>27370.0</v>
      </c>
      <c r="R24" s="34" t="s">
        <v>50</v>
      </c>
      <c r="S24" s="35" t="n">
        <f>26257.89</f>
        <v>26257.89</v>
      </c>
      <c r="T24" s="32" t="n">
        <f>920074</f>
        <v>920074.0</v>
      </c>
      <c r="U24" s="32" t="n">
        <f>498199</f>
        <v>498199.0</v>
      </c>
      <c r="V24" s="32" t="n">
        <f>24173912294</f>
        <v>2.4173912294E10</v>
      </c>
      <c r="W24" s="32" t="n">
        <f>13107859944</f>
        <v>1.3107859944E10</v>
      </c>
      <c r="X24" s="36" t="n">
        <f>19</f>
        <v>19.0</v>
      </c>
    </row>
    <row r="25">
      <c r="A25" s="27" t="s">
        <v>42</v>
      </c>
      <c r="B25" s="27" t="s">
        <v>107</v>
      </c>
      <c r="C25" s="27" t="s">
        <v>108</v>
      </c>
      <c r="D25" s="27" t="s">
        <v>109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23850</f>
        <v>23850.0</v>
      </c>
      <c r="L25" s="34" t="s">
        <v>48</v>
      </c>
      <c r="M25" s="33" t="n">
        <f>27720</f>
        <v>27720.0</v>
      </c>
      <c r="N25" s="34" t="s">
        <v>50</v>
      </c>
      <c r="O25" s="33" t="n">
        <f>23850</f>
        <v>23850.0</v>
      </c>
      <c r="P25" s="34" t="s">
        <v>48</v>
      </c>
      <c r="Q25" s="33" t="n">
        <f>27300</f>
        <v>27300.0</v>
      </c>
      <c r="R25" s="34" t="s">
        <v>50</v>
      </c>
      <c r="S25" s="35" t="n">
        <f>26201.05</f>
        <v>26201.05</v>
      </c>
      <c r="T25" s="32" t="n">
        <f>2442310</f>
        <v>2442310.0</v>
      </c>
      <c r="U25" s="32" t="n">
        <f>1165190</f>
        <v>1165190.0</v>
      </c>
      <c r="V25" s="32" t="n">
        <f>63375157802</f>
        <v>6.3375157802E10</v>
      </c>
      <c r="W25" s="32" t="n">
        <f>30039626002</f>
        <v>3.0039626002E10</v>
      </c>
      <c r="X25" s="36" t="n">
        <f>19</f>
        <v>19.0</v>
      </c>
    </row>
    <row r="26">
      <c r="A26" s="27" t="s">
        <v>42</v>
      </c>
      <c r="B26" s="27" t="s">
        <v>110</v>
      </c>
      <c r="C26" s="27" t="s">
        <v>111</v>
      </c>
      <c r="D26" s="27" t="s">
        <v>112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1751</f>
        <v>1751.0</v>
      </c>
      <c r="L26" s="34" t="s">
        <v>48</v>
      </c>
      <c r="M26" s="33" t="n">
        <f>1855</f>
        <v>1855.0</v>
      </c>
      <c r="N26" s="34" t="s">
        <v>113</v>
      </c>
      <c r="O26" s="33" t="n">
        <f>1748</f>
        <v>1748.0</v>
      </c>
      <c r="P26" s="34" t="s">
        <v>48</v>
      </c>
      <c r="Q26" s="33" t="n">
        <f>1803</f>
        <v>1803.0</v>
      </c>
      <c r="R26" s="34" t="s">
        <v>50</v>
      </c>
      <c r="S26" s="35" t="n">
        <f>1806.32</f>
        <v>1806.32</v>
      </c>
      <c r="T26" s="32" t="n">
        <f>7191040</f>
        <v>7191040.0</v>
      </c>
      <c r="U26" s="32" t="n">
        <f>403760</f>
        <v>403760.0</v>
      </c>
      <c r="V26" s="32" t="n">
        <f>12941003572</f>
        <v>1.2941003572E10</v>
      </c>
      <c r="W26" s="32" t="n">
        <f>729259482</f>
        <v>7.29259482E8</v>
      </c>
      <c r="X26" s="36" t="n">
        <f>19</f>
        <v>19.0</v>
      </c>
    </row>
    <row r="27">
      <c r="A27" s="27" t="s">
        <v>42</v>
      </c>
      <c r="B27" s="27" t="s">
        <v>114</v>
      </c>
      <c r="C27" s="27" t="s">
        <v>115</v>
      </c>
      <c r="D27" s="27" t="s">
        <v>116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708</f>
        <v>708.0</v>
      </c>
      <c r="L27" s="34" t="s">
        <v>48</v>
      </c>
      <c r="M27" s="33" t="n">
        <f>794</f>
        <v>794.0</v>
      </c>
      <c r="N27" s="34" t="s">
        <v>50</v>
      </c>
      <c r="O27" s="33" t="n">
        <f>707</f>
        <v>707.0</v>
      </c>
      <c r="P27" s="34" t="s">
        <v>48</v>
      </c>
      <c r="Q27" s="33" t="n">
        <f>775</f>
        <v>775.0</v>
      </c>
      <c r="R27" s="34" t="s">
        <v>50</v>
      </c>
      <c r="S27" s="35" t="n">
        <f>758.32</f>
        <v>758.32</v>
      </c>
      <c r="T27" s="32" t="n">
        <f>35910</f>
        <v>35910.0</v>
      </c>
      <c r="U27" s="32" t="str">
        <f>"－"</f>
        <v>－</v>
      </c>
      <c r="V27" s="32" t="n">
        <f>27563850</f>
        <v>2.756385E7</v>
      </c>
      <c r="W27" s="32" t="str">
        <f>"－"</f>
        <v>－</v>
      </c>
      <c r="X27" s="36" t="n">
        <f>19</f>
        <v>19.0</v>
      </c>
    </row>
    <row r="28">
      <c r="A28" s="27" t="s">
        <v>42</v>
      </c>
      <c r="B28" s="27" t="s">
        <v>117</v>
      </c>
      <c r="C28" s="27" t="s">
        <v>118</v>
      </c>
      <c r="D28" s="27" t="s">
        <v>119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1653</f>
        <v>1653.0</v>
      </c>
      <c r="L28" s="34" t="s">
        <v>48</v>
      </c>
      <c r="M28" s="33" t="n">
        <f>1756</f>
        <v>1756.0</v>
      </c>
      <c r="N28" s="34" t="s">
        <v>113</v>
      </c>
      <c r="O28" s="33" t="n">
        <f>1653</f>
        <v>1653.0</v>
      </c>
      <c r="P28" s="34" t="s">
        <v>48</v>
      </c>
      <c r="Q28" s="33" t="n">
        <f>1708</f>
        <v>1708.0</v>
      </c>
      <c r="R28" s="34" t="s">
        <v>50</v>
      </c>
      <c r="S28" s="35" t="n">
        <f>1706.47</f>
        <v>1706.47</v>
      </c>
      <c r="T28" s="32" t="n">
        <f>4771100</f>
        <v>4771100.0</v>
      </c>
      <c r="U28" s="32" t="n">
        <f>468500</f>
        <v>468500.0</v>
      </c>
      <c r="V28" s="32" t="n">
        <f>8125680036</f>
        <v>8.125680036E9</v>
      </c>
      <c r="W28" s="32" t="n">
        <f>797895936</f>
        <v>7.97895936E8</v>
      </c>
      <c r="X28" s="36" t="n">
        <f>19</f>
        <v>19.0</v>
      </c>
    </row>
    <row r="29">
      <c r="A29" s="27" t="s">
        <v>42</v>
      </c>
      <c r="B29" s="27" t="s">
        <v>120</v>
      </c>
      <c r="C29" s="27" t="s">
        <v>121</v>
      </c>
      <c r="D29" s="27" t="s">
        <v>122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23890</f>
        <v>23890.0</v>
      </c>
      <c r="L29" s="34" t="s">
        <v>48</v>
      </c>
      <c r="M29" s="33" t="n">
        <f>27800</f>
        <v>27800.0</v>
      </c>
      <c r="N29" s="34" t="s">
        <v>50</v>
      </c>
      <c r="O29" s="33" t="n">
        <f>23890</f>
        <v>23890.0</v>
      </c>
      <c r="P29" s="34" t="s">
        <v>48</v>
      </c>
      <c r="Q29" s="33" t="n">
        <f>27390</f>
        <v>27390.0</v>
      </c>
      <c r="R29" s="34" t="s">
        <v>50</v>
      </c>
      <c r="S29" s="35" t="n">
        <f>26276.84</f>
        <v>26276.84</v>
      </c>
      <c r="T29" s="32" t="n">
        <f>678181</f>
        <v>678181.0</v>
      </c>
      <c r="U29" s="32" t="n">
        <f>105946</f>
        <v>105946.0</v>
      </c>
      <c r="V29" s="32" t="n">
        <f>17677615320</f>
        <v>1.767761532E10</v>
      </c>
      <c r="W29" s="32" t="n">
        <f>2710360310</f>
        <v>2.71036031E9</v>
      </c>
      <c r="X29" s="36" t="n">
        <f>19</f>
        <v>19.0</v>
      </c>
    </row>
    <row r="30">
      <c r="A30" s="27" t="s">
        <v>42</v>
      </c>
      <c r="B30" s="27" t="s">
        <v>123</v>
      </c>
      <c r="C30" s="27" t="s">
        <v>124</v>
      </c>
      <c r="D30" s="27" t="s">
        <v>125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1654</f>
        <v>1654.0</v>
      </c>
      <c r="L30" s="34" t="s">
        <v>48</v>
      </c>
      <c r="M30" s="33" t="n">
        <f>1862</f>
        <v>1862.0</v>
      </c>
      <c r="N30" s="34" t="s">
        <v>49</v>
      </c>
      <c r="O30" s="33" t="n">
        <f>1654</f>
        <v>1654.0</v>
      </c>
      <c r="P30" s="34" t="s">
        <v>48</v>
      </c>
      <c r="Q30" s="33" t="n">
        <f>1818</f>
        <v>1818.0</v>
      </c>
      <c r="R30" s="34" t="s">
        <v>50</v>
      </c>
      <c r="S30" s="35" t="n">
        <f>1780.21</f>
        <v>1780.21</v>
      </c>
      <c r="T30" s="32" t="n">
        <f>9585170</f>
        <v>9585170.0</v>
      </c>
      <c r="U30" s="32" t="n">
        <f>5683030</f>
        <v>5683030.0</v>
      </c>
      <c r="V30" s="32" t="n">
        <f>17122356900</f>
        <v>1.71223569E10</v>
      </c>
      <c r="W30" s="32" t="n">
        <f>10174394790</f>
        <v>1.017439479E10</v>
      </c>
      <c r="X30" s="36" t="n">
        <f>19</f>
        <v>19.0</v>
      </c>
    </row>
    <row r="31">
      <c r="A31" s="27" t="s">
        <v>42</v>
      </c>
      <c r="B31" s="27" t="s">
        <v>126</v>
      </c>
      <c r="C31" s="27" t="s">
        <v>127</v>
      </c>
      <c r="D31" s="27" t="s">
        <v>128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12870</f>
        <v>12870.0</v>
      </c>
      <c r="L31" s="34" t="s">
        <v>48</v>
      </c>
      <c r="M31" s="33" t="n">
        <f>13160</f>
        <v>13160.0</v>
      </c>
      <c r="N31" s="34" t="s">
        <v>129</v>
      </c>
      <c r="O31" s="33" t="n">
        <f>12800</f>
        <v>12800.0</v>
      </c>
      <c r="P31" s="34" t="s">
        <v>130</v>
      </c>
      <c r="Q31" s="33" t="n">
        <f>13060</f>
        <v>13060.0</v>
      </c>
      <c r="R31" s="34" t="s">
        <v>50</v>
      </c>
      <c r="S31" s="35" t="n">
        <f>12999.47</f>
        <v>12999.47</v>
      </c>
      <c r="T31" s="32" t="n">
        <f>1986</f>
        <v>1986.0</v>
      </c>
      <c r="U31" s="32" t="n">
        <f>1</f>
        <v>1.0</v>
      </c>
      <c r="V31" s="32" t="n">
        <f>25792380</f>
        <v>2.579238E7</v>
      </c>
      <c r="W31" s="32" t="n">
        <f>13130</f>
        <v>13130.0</v>
      </c>
      <c r="X31" s="36" t="n">
        <f>19</f>
        <v>19.0</v>
      </c>
    </row>
    <row r="32">
      <c r="A32" s="27" t="s">
        <v>42</v>
      </c>
      <c r="B32" s="27" t="s">
        <v>131</v>
      </c>
      <c r="C32" s="27" t="s">
        <v>132</v>
      </c>
      <c r="D32" s="27" t="s">
        <v>133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1861</f>
        <v>1861.0</v>
      </c>
      <c r="L32" s="34" t="s">
        <v>48</v>
      </c>
      <c r="M32" s="33" t="n">
        <f>1861</f>
        <v>1861.0</v>
      </c>
      <c r="N32" s="34" t="s">
        <v>48</v>
      </c>
      <c r="O32" s="33" t="n">
        <f>1453</f>
        <v>1453.0</v>
      </c>
      <c r="P32" s="34" t="s">
        <v>49</v>
      </c>
      <c r="Q32" s="33" t="n">
        <f>1524</f>
        <v>1524.0</v>
      </c>
      <c r="R32" s="34" t="s">
        <v>50</v>
      </c>
      <c r="S32" s="35" t="n">
        <f>1600.32</f>
        <v>1600.32</v>
      </c>
      <c r="T32" s="32" t="n">
        <f>9607930</f>
        <v>9607930.0</v>
      </c>
      <c r="U32" s="32" t="n">
        <f>37020</f>
        <v>37020.0</v>
      </c>
      <c r="V32" s="32" t="n">
        <f>15422034675</f>
        <v>1.5422034675E10</v>
      </c>
      <c r="W32" s="32" t="n">
        <f>59813735</f>
        <v>5.9813735E7</v>
      </c>
      <c r="X32" s="36" t="n">
        <f>19</f>
        <v>19.0</v>
      </c>
    </row>
    <row r="33">
      <c r="A33" s="27" t="s">
        <v>42</v>
      </c>
      <c r="B33" s="27" t="s">
        <v>134</v>
      </c>
      <c r="C33" s="27" t="s">
        <v>135</v>
      </c>
      <c r="D33" s="27" t="s">
        <v>136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714</f>
        <v>714.0</v>
      </c>
      <c r="L33" s="34" t="s">
        <v>48</v>
      </c>
      <c r="M33" s="33" t="n">
        <f>714</f>
        <v>714.0</v>
      </c>
      <c r="N33" s="34" t="s">
        <v>48</v>
      </c>
      <c r="O33" s="33" t="n">
        <f>521</f>
        <v>521.0</v>
      </c>
      <c r="P33" s="34" t="s">
        <v>50</v>
      </c>
      <c r="Q33" s="33" t="n">
        <f>537</f>
        <v>537.0</v>
      </c>
      <c r="R33" s="34" t="s">
        <v>50</v>
      </c>
      <c r="S33" s="35" t="n">
        <f>588.53</f>
        <v>588.53</v>
      </c>
      <c r="T33" s="32" t="n">
        <f>1236109532</f>
        <v>1.236109532E9</v>
      </c>
      <c r="U33" s="32" t="n">
        <f>1658975</f>
        <v>1658975.0</v>
      </c>
      <c r="V33" s="32" t="n">
        <f>734570442145</f>
        <v>7.34570442145E11</v>
      </c>
      <c r="W33" s="32" t="n">
        <f>1001898916</f>
        <v>1.001898916E9</v>
      </c>
      <c r="X33" s="36" t="n">
        <f>19</f>
        <v>19.0</v>
      </c>
    </row>
    <row r="34">
      <c r="A34" s="27" t="s">
        <v>42</v>
      </c>
      <c r="B34" s="27" t="s">
        <v>137</v>
      </c>
      <c r="C34" s="27" t="s">
        <v>138</v>
      </c>
      <c r="D34" s="27" t="s">
        <v>139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19170</f>
        <v>19170.0</v>
      </c>
      <c r="L34" s="34" t="s">
        <v>48</v>
      </c>
      <c r="M34" s="33" t="n">
        <f>25750</f>
        <v>25750.0</v>
      </c>
      <c r="N34" s="34" t="s">
        <v>50</v>
      </c>
      <c r="O34" s="33" t="n">
        <f>19170</f>
        <v>19170.0</v>
      </c>
      <c r="P34" s="34" t="s">
        <v>48</v>
      </c>
      <c r="Q34" s="33" t="n">
        <f>24940</f>
        <v>24940.0</v>
      </c>
      <c r="R34" s="34" t="s">
        <v>50</v>
      </c>
      <c r="S34" s="35" t="n">
        <f>23093.68</f>
        <v>23093.68</v>
      </c>
      <c r="T34" s="32" t="n">
        <f>394458</f>
        <v>394458.0</v>
      </c>
      <c r="U34" s="32" t="str">
        <f>"－"</f>
        <v>－</v>
      </c>
      <c r="V34" s="32" t="n">
        <f>8977448880</f>
        <v>8.97744888E9</v>
      </c>
      <c r="W34" s="32" t="str">
        <f>"－"</f>
        <v>－</v>
      </c>
      <c r="X34" s="36" t="n">
        <f>19</f>
        <v>19.0</v>
      </c>
    </row>
    <row r="35">
      <c r="A35" s="27" t="s">
        <v>42</v>
      </c>
      <c r="B35" s="27" t="s">
        <v>140</v>
      </c>
      <c r="C35" s="27" t="s">
        <v>141</v>
      </c>
      <c r="D35" s="27" t="s">
        <v>142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1738</f>
        <v>1738.0</v>
      </c>
      <c r="L35" s="34" t="s">
        <v>48</v>
      </c>
      <c r="M35" s="33" t="n">
        <f>1738</f>
        <v>1738.0</v>
      </c>
      <c r="N35" s="34" t="s">
        <v>48</v>
      </c>
      <c r="O35" s="33" t="n">
        <f>1267</f>
        <v>1267.0</v>
      </c>
      <c r="P35" s="34" t="s">
        <v>50</v>
      </c>
      <c r="Q35" s="33" t="n">
        <f>1308</f>
        <v>1308.0</v>
      </c>
      <c r="R35" s="34" t="s">
        <v>50</v>
      </c>
      <c r="S35" s="35" t="n">
        <f>1431.63</f>
        <v>1431.63</v>
      </c>
      <c r="T35" s="32" t="n">
        <f>116468210</f>
        <v>1.1646821E8</v>
      </c>
      <c r="U35" s="32" t="n">
        <f>41380</f>
        <v>41380.0</v>
      </c>
      <c r="V35" s="32" t="n">
        <f>165832551500</f>
        <v>1.658325515E11</v>
      </c>
      <c r="W35" s="32" t="n">
        <f>59855990</f>
        <v>5.985599E7</v>
      </c>
      <c r="X35" s="36" t="n">
        <f>19</f>
        <v>19.0</v>
      </c>
    </row>
    <row r="36">
      <c r="A36" s="27" t="s">
        <v>42</v>
      </c>
      <c r="B36" s="27" t="s">
        <v>143</v>
      </c>
      <c r="C36" s="27" t="s">
        <v>144</v>
      </c>
      <c r="D36" s="27" t="s">
        <v>145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14650</f>
        <v>14650.0</v>
      </c>
      <c r="L36" s="34" t="s">
        <v>48</v>
      </c>
      <c r="M36" s="33" t="n">
        <f>16670</f>
        <v>16670.0</v>
      </c>
      <c r="N36" s="34" t="s">
        <v>50</v>
      </c>
      <c r="O36" s="33" t="n">
        <f>14650</f>
        <v>14650.0</v>
      </c>
      <c r="P36" s="34" t="s">
        <v>48</v>
      </c>
      <c r="Q36" s="33" t="n">
        <f>16380</f>
        <v>16380.0</v>
      </c>
      <c r="R36" s="34" t="s">
        <v>50</v>
      </c>
      <c r="S36" s="35" t="n">
        <f>15848.95</f>
        <v>15848.95</v>
      </c>
      <c r="T36" s="32" t="n">
        <f>70318</f>
        <v>70318.0</v>
      </c>
      <c r="U36" s="32" t="n">
        <f>14000</f>
        <v>14000.0</v>
      </c>
      <c r="V36" s="32" t="n">
        <f>1120530280</f>
        <v>1.12053028E9</v>
      </c>
      <c r="W36" s="32" t="n">
        <f>223958000</f>
        <v>2.23958E8</v>
      </c>
      <c r="X36" s="36" t="n">
        <f>19</f>
        <v>19.0</v>
      </c>
    </row>
    <row r="37">
      <c r="A37" s="27" t="s">
        <v>42</v>
      </c>
      <c r="B37" s="27" t="s">
        <v>146</v>
      </c>
      <c r="C37" s="27" t="s">
        <v>147</v>
      </c>
      <c r="D37" s="27" t="s">
        <v>148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15720</f>
        <v>15720.0</v>
      </c>
      <c r="L37" s="34" t="s">
        <v>48</v>
      </c>
      <c r="M37" s="33" t="n">
        <f>21220</f>
        <v>21220.0</v>
      </c>
      <c r="N37" s="34" t="s">
        <v>50</v>
      </c>
      <c r="O37" s="33" t="n">
        <f>15720</f>
        <v>15720.0</v>
      </c>
      <c r="P37" s="34" t="s">
        <v>48</v>
      </c>
      <c r="Q37" s="33" t="n">
        <f>20590</f>
        <v>20590.0</v>
      </c>
      <c r="R37" s="34" t="s">
        <v>50</v>
      </c>
      <c r="S37" s="35" t="n">
        <f>19001.05</f>
        <v>19001.05</v>
      </c>
      <c r="T37" s="32" t="n">
        <f>1004660</f>
        <v>1004660.0</v>
      </c>
      <c r="U37" s="32" t="str">
        <f>"－"</f>
        <v>－</v>
      </c>
      <c r="V37" s="32" t="n">
        <f>18863929910</f>
        <v>1.886392991E10</v>
      </c>
      <c r="W37" s="32" t="str">
        <f>"－"</f>
        <v>－</v>
      </c>
      <c r="X37" s="36" t="n">
        <f>19</f>
        <v>19.0</v>
      </c>
    </row>
    <row r="38">
      <c r="A38" s="27" t="s">
        <v>42</v>
      </c>
      <c r="B38" s="27" t="s">
        <v>149</v>
      </c>
      <c r="C38" s="27" t="s">
        <v>150</v>
      </c>
      <c r="D38" s="27" t="s">
        <v>151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1860</f>
        <v>1860.0</v>
      </c>
      <c r="L38" s="34" t="s">
        <v>48</v>
      </c>
      <c r="M38" s="33" t="n">
        <f>1860</f>
        <v>1860.0</v>
      </c>
      <c r="N38" s="34" t="s">
        <v>48</v>
      </c>
      <c r="O38" s="33" t="n">
        <f>1358</f>
        <v>1358.0</v>
      </c>
      <c r="P38" s="34" t="s">
        <v>50</v>
      </c>
      <c r="Q38" s="33" t="n">
        <f>1400</f>
        <v>1400.0</v>
      </c>
      <c r="R38" s="34" t="s">
        <v>50</v>
      </c>
      <c r="S38" s="35" t="n">
        <f>1534.16</f>
        <v>1534.16</v>
      </c>
      <c r="T38" s="32" t="n">
        <f>13226269</f>
        <v>1.3226269E7</v>
      </c>
      <c r="U38" s="32" t="n">
        <f>30732</f>
        <v>30732.0</v>
      </c>
      <c r="V38" s="32" t="n">
        <f>20478228304</f>
        <v>2.0478228304E10</v>
      </c>
      <c r="W38" s="32" t="n">
        <f>43767613</f>
        <v>4.3767613E7</v>
      </c>
      <c r="X38" s="36" t="n">
        <f>19</f>
        <v>19.0</v>
      </c>
    </row>
    <row r="39">
      <c r="A39" s="27" t="s">
        <v>42</v>
      </c>
      <c r="B39" s="27" t="s">
        <v>152</v>
      </c>
      <c r="C39" s="27" t="s">
        <v>153</v>
      </c>
      <c r="D39" s="27" t="s">
        <v>154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12400</f>
        <v>12400.0</v>
      </c>
      <c r="L39" s="34" t="s">
        <v>48</v>
      </c>
      <c r="M39" s="33" t="n">
        <f>15700</f>
        <v>15700.0</v>
      </c>
      <c r="N39" s="34" t="s">
        <v>49</v>
      </c>
      <c r="O39" s="33" t="n">
        <f>12400</f>
        <v>12400.0</v>
      </c>
      <c r="P39" s="34" t="s">
        <v>48</v>
      </c>
      <c r="Q39" s="33" t="n">
        <f>14990</f>
        <v>14990.0</v>
      </c>
      <c r="R39" s="34" t="s">
        <v>50</v>
      </c>
      <c r="S39" s="35" t="n">
        <f>14370</f>
        <v>14370.0</v>
      </c>
      <c r="T39" s="32" t="n">
        <f>441067</f>
        <v>441067.0</v>
      </c>
      <c r="U39" s="32" t="n">
        <f>500</f>
        <v>500.0</v>
      </c>
      <c r="V39" s="32" t="n">
        <f>6319891430</f>
        <v>6.31989143E9</v>
      </c>
      <c r="W39" s="32" t="n">
        <f>7808200</f>
        <v>7808200.0</v>
      </c>
      <c r="X39" s="36" t="n">
        <f>19</f>
        <v>19.0</v>
      </c>
    </row>
    <row r="40">
      <c r="A40" s="27" t="s">
        <v>42</v>
      </c>
      <c r="B40" s="27" t="s">
        <v>155</v>
      </c>
      <c r="C40" s="27" t="s">
        <v>156</v>
      </c>
      <c r="D40" s="27" t="s">
        <v>157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2704</f>
        <v>2704.0</v>
      </c>
      <c r="L40" s="34" t="s">
        <v>48</v>
      </c>
      <c r="M40" s="33" t="n">
        <f>2704</f>
        <v>2704.0</v>
      </c>
      <c r="N40" s="34" t="s">
        <v>48</v>
      </c>
      <c r="O40" s="33" t="n">
        <f>2111</f>
        <v>2111.0</v>
      </c>
      <c r="P40" s="34" t="s">
        <v>49</v>
      </c>
      <c r="Q40" s="33" t="n">
        <f>2212</f>
        <v>2212.0</v>
      </c>
      <c r="R40" s="34" t="s">
        <v>50</v>
      </c>
      <c r="S40" s="35" t="n">
        <f>2322.11</f>
        <v>2322.11</v>
      </c>
      <c r="T40" s="32" t="n">
        <f>1566963</f>
        <v>1566963.0</v>
      </c>
      <c r="U40" s="32" t="n">
        <f>5794</f>
        <v>5794.0</v>
      </c>
      <c r="V40" s="32" t="n">
        <f>3641261491</f>
        <v>3.641261491E9</v>
      </c>
      <c r="W40" s="32" t="n">
        <f>13605311</f>
        <v>1.3605311E7</v>
      </c>
      <c r="X40" s="36" t="n">
        <f>19</f>
        <v>19.0</v>
      </c>
    </row>
    <row r="41">
      <c r="A41" s="27" t="s">
        <v>42</v>
      </c>
      <c r="B41" s="27" t="s">
        <v>158</v>
      </c>
      <c r="C41" s="27" t="s">
        <v>159</v>
      </c>
      <c r="D41" s="27" t="s">
        <v>160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23230</f>
        <v>23230.0</v>
      </c>
      <c r="L41" s="34" t="s">
        <v>48</v>
      </c>
      <c r="M41" s="33" t="n">
        <f>27030</f>
        <v>27030.0</v>
      </c>
      <c r="N41" s="34" t="s">
        <v>50</v>
      </c>
      <c r="O41" s="33" t="n">
        <f>23230</f>
        <v>23230.0</v>
      </c>
      <c r="P41" s="34" t="s">
        <v>48</v>
      </c>
      <c r="Q41" s="33" t="n">
        <f>26630</f>
        <v>26630.0</v>
      </c>
      <c r="R41" s="34" t="s">
        <v>50</v>
      </c>
      <c r="S41" s="35" t="n">
        <f>25547.89</f>
        <v>25547.89</v>
      </c>
      <c r="T41" s="32" t="n">
        <f>217972</f>
        <v>217972.0</v>
      </c>
      <c r="U41" s="32" t="n">
        <f>149201</f>
        <v>149201.0</v>
      </c>
      <c r="V41" s="32" t="n">
        <f>5631643647</f>
        <v>5.631643647E9</v>
      </c>
      <c r="W41" s="32" t="n">
        <f>3910339417</f>
        <v>3.910339417E9</v>
      </c>
      <c r="X41" s="36" t="n">
        <f>19</f>
        <v>19.0</v>
      </c>
    </row>
    <row r="42">
      <c r="A42" s="27" t="s">
        <v>42</v>
      </c>
      <c r="B42" s="27" t="s">
        <v>161</v>
      </c>
      <c r="C42" s="27" t="s">
        <v>162</v>
      </c>
      <c r="D42" s="27" t="s">
        <v>163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3660</f>
        <v>3660.0</v>
      </c>
      <c r="L42" s="34" t="s">
        <v>48</v>
      </c>
      <c r="M42" s="33" t="n">
        <f>4525</f>
        <v>4525.0</v>
      </c>
      <c r="N42" s="34" t="s">
        <v>164</v>
      </c>
      <c r="O42" s="33" t="n">
        <f>3660</f>
        <v>3660.0</v>
      </c>
      <c r="P42" s="34" t="s">
        <v>48</v>
      </c>
      <c r="Q42" s="33" t="n">
        <f>4380</f>
        <v>4380.0</v>
      </c>
      <c r="R42" s="34" t="s">
        <v>50</v>
      </c>
      <c r="S42" s="35" t="n">
        <f>4211.05</f>
        <v>4211.05</v>
      </c>
      <c r="T42" s="32" t="n">
        <f>11345</f>
        <v>11345.0</v>
      </c>
      <c r="U42" s="32" t="n">
        <f>1</f>
        <v>1.0</v>
      </c>
      <c r="V42" s="32" t="n">
        <f>47651935</f>
        <v>4.7651935E7</v>
      </c>
      <c r="W42" s="32" t="n">
        <f>3950</f>
        <v>3950.0</v>
      </c>
      <c r="X42" s="36" t="n">
        <f>19</f>
        <v>19.0</v>
      </c>
    </row>
    <row r="43">
      <c r="A43" s="27" t="s">
        <v>42</v>
      </c>
      <c r="B43" s="27" t="s">
        <v>165</v>
      </c>
      <c r="C43" s="27" t="s">
        <v>166</v>
      </c>
      <c r="D43" s="27" t="s">
        <v>167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6890</f>
        <v>6890.0</v>
      </c>
      <c r="L43" s="34" t="s">
        <v>48</v>
      </c>
      <c r="M43" s="33" t="n">
        <f>8200</f>
        <v>8200.0</v>
      </c>
      <c r="N43" s="34" t="s">
        <v>168</v>
      </c>
      <c r="O43" s="33" t="n">
        <f>6890</f>
        <v>6890.0</v>
      </c>
      <c r="P43" s="34" t="s">
        <v>48</v>
      </c>
      <c r="Q43" s="33" t="n">
        <f>8180</f>
        <v>8180.0</v>
      </c>
      <c r="R43" s="34" t="s">
        <v>50</v>
      </c>
      <c r="S43" s="35" t="n">
        <f>7797.37</f>
        <v>7797.37</v>
      </c>
      <c r="T43" s="32" t="n">
        <f>3672</f>
        <v>3672.0</v>
      </c>
      <c r="U43" s="32" t="str">
        <f>"－"</f>
        <v>－</v>
      </c>
      <c r="V43" s="32" t="n">
        <f>28824130</f>
        <v>2.882413E7</v>
      </c>
      <c r="W43" s="32" t="str">
        <f>"－"</f>
        <v>－</v>
      </c>
      <c r="X43" s="36" t="n">
        <f>19</f>
        <v>19.0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12610</f>
        <v>12610.0</v>
      </c>
      <c r="L44" s="34" t="s">
        <v>48</v>
      </c>
      <c r="M44" s="33" t="n">
        <f>15700</f>
        <v>15700.0</v>
      </c>
      <c r="N44" s="34" t="s">
        <v>172</v>
      </c>
      <c r="O44" s="33" t="n">
        <f>12610</f>
        <v>12610.0</v>
      </c>
      <c r="P44" s="34" t="s">
        <v>48</v>
      </c>
      <c r="Q44" s="33" t="n">
        <f>15500</f>
        <v>15500.0</v>
      </c>
      <c r="R44" s="34" t="s">
        <v>66</v>
      </c>
      <c r="S44" s="35" t="n">
        <f>14849.29</f>
        <v>14849.29</v>
      </c>
      <c r="T44" s="32" t="n">
        <f>236</f>
        <v>236.0</v>
      </c>
      <c r="U44" s="32" t="str">
        <f>"－"</f>
        <v>－</v>
      </c>
      <c r="V44" s="32" t="n">
        <f>3509100</f>
        <v>3509100.0</v>
      </c>
      <c r="W44" s="32" t="str">
        <f>"－"</f>
        <v>－</v>
      </c>
      <c r="X44" s="36" t="n">
        <f>14</f>
        <v>14.0</v>
      </c>
    </row>
    <row r="45">
      <c r="A45" s="27" t="s">
        <v>42</v>
      </c>
      <c r="B45" s="27" t="s">
        <v>173</v>
      </c>
      <c r="C45" s="27" t="s">
        <v>174</v>
      </c>
      <c r="D45" s="27" t="s">
        <v>175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10700</f>
        <v>10700.0</v>
      </c>
      <c r="L45" s="34" t="s">
        <v>48</v>
      </c>
      <c r="M45" s="33" t="n">
        <f>12980</f>
        <v>12980.0</v>
      </c>
      <c r="N45" s="34" t="s">
        <v>49</v>
      </c>
      <c r="O45" s="33" t="n">
        <f>10700</f>
        <v>10700.0</v>
      </c>
      <c r="P45" s="34" t="s">
        <v>48</v>
      </c>
      <c r="Q45" s="33" t="n">
        <f>12790</f>
        <v>12790.0</v>
      </c>
      <c r="R45" s="34" t="s">
        <v>50</v>
      </c>
      <c r="S45" s="35" t="n">
        <f>12070</f>
        <v>12070.0</v>
      </c>
      <c r="T45" s="32" t="n">
        <f>259</f>
        <v>259.0</v>
      </c>
      <c r="U45" s="32" t="str">
        <f>"－"</f>
        <v>－</v>
      </c>
      <c r="V45" s="32" t="n">
        <f>3168610</f>
        <v>3168610.0</v>
      </c>
      <c r="W45" s="32" t="str">
        <f>"－"</f>
        <v>－</v>
      </c>
      <c r="X45" s="36" t="n">
        <f>16</f>
        <v>16.0</v>
      </c>
    </row>
    <row r="46">
      <c r="A46" s="27" t="s">
        <v>42</v>
      </c>
      <c r="B46" s="27" t="s">
        <v>176</v>
      </c>
      <c r="C46" s="27" t="s">
        <v>177</v>
      </c>
      <c r="D46" s="27" t="s">
        <v>178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7270</f>
        <v>7270.0</v>
      </c>
      <c r="L46" s="34" t="s">
        <v>48</v>
      </c>
      <c r="M46" s="33" t="n">
        <f>8860</f>
        <v>8860.0</v>
      </c>
      <c r="N46" s="34" t="s">
        <v>164</v>
      </c>
      <c r="O46" s="33" t="n">
        <f>7250</f>
        <v>7250.0</v>
      </c>
      <c r="P46" s="34" t="s">
        <v>48</v>
      </c>
      <c r="Q46" s="33" t="n">
        <f>8370</f>
        <v>8370.0</v>
      </c>
      <c r="R46" s="34" t="s">
        <v>50</v>
      </c>
      <c r="S46" s="35" t="n">
        <f>8158.42</f>
        <v>8158.42</v>
      </c>
      <c r="T46" s="32" t="n">
        <f>11222</f>
        <v>11222.0</v>
      </c>
      <c r="U46" s="32" t="str">
        <f>"－"</f>
        <v>－</v>
      </c>
      <c r="V46" s="32" t="n">
        <f>93815030</f>
        <v>9.381503E7</v>
      </c>
      <c r="W46" s="32" t="str">
        <f>"－"</f>
        <v>－</v>
      </c>
      <c r="X46" s="36" t="n">
        <f>19</f>
        <v>19.0</v>
      </c>
    </row>
    <row r="47">
      <c r="A47" s="27" t="s">
        <v>42</v>
      </c>
      <c r="B47" s="27" t="s">
        <v>179</v>
      </c>
      <c r="C47" s="27" t="s">
        <v>180</v>
      </c>
      <c r="D47" s="27" t="s">
        <v>181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4230</f>
        <v>4230.0</v>
      </c>
      <c r="L47" s="34" t="s">
        <v>48</v>
      </c>
      <c r="M47" s="33" t="n">
        <f>4635</f>
        <v>4635.0</v>
      </c>
      <c r="N47" s="34" t="s">
        <v>50</v>
      </c>
      <c r="O47" s="33" t="n">
        <f>4200</f>
        <v>4200.0</v>
      </c>
      <c r="P47" s="34" t="s">
        <v>48</v>
      </c>
      <c r="Q47" s="33" t="n">
        <f>4625</f>
        <v>4625.0</v>
      </c>
      <c r="R47" s="34" t="s">
        <v>50</v>
      </c>
      <c r="S47" s="35" t="n">
        <f>4469.74</f>
        <v>4469.74</v>
      </c>
      <c r="T47" s="32" t="n">
        <f>2559</f>
        <v>2559.0</v>
      </c>
      <c r="U47" s="32" t="str">
        <f>"－"</f>
        <v>－</v>
      </c>
      <c r="V47" s="32" t="n">
        <f>11580360</f>
        <v>1.158036E7</v>
      </c>
      <c r="W47" s="32" t="str">
        <f>"－"</f>
        <v>－</v>
      </c>
      <c r="X47" s="36" t="n">
        <f>19</f>
        <v>19.0</v>
      </c>
    </row>
    <row r="48">
      <c r="A48" s="27" t="s">
        <v>42</v>
      </c>
      <c r="B48" s="27" t="s">
        <v>182</v>
      </c>
      <c r="C48" s="27" t="s">
        <v>183</v>
      </c>
      <c r="D48" s="27" t="s">
        <v>184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2109</f>
        <v>2109.0</v>
      </c>
      <c r="L48" s="34" t="s">
        <v>48</v>
      </c>
      <c r="M48" s="33" t="n">
        <f>2324</f>
        <v>2324.0</v>
      </c>
      <c r="N48" s="34" t="s">
        <v>113</v>
      </c>
      <c r="O48" s="33" t="n">
        <f>2109</f>
        <v>2109.0</v>
      </c>
      <c r="P48" s="34" t="s">
        <v>48</v>
      </c>
      <c r="Q48" s="33" t="n">
        <f>2309</f>
        <v>2309.0</v>
      </c>
      <c r="R48" s="34" t="s">
        <v>50</v>
      </c>
      <c r="S48" s="35" t="n">
        <f>2275.68</f>
        <v>2275.68</v>
      </c>
      <c r="T48" s="32" t="n">
        <f>2158</f>
        <v>2158.0</v>
      </c>
      <c r="U48" s="32" t="str">
        <f>"－"</f>
        <v>－</v>
      </c>
      <c r="V48" s="32" t="n">
        <f>4893406</f>
        <v>4893406.0</v>
      </c>
      <c r="W48" s="32" t="str">
        <f>"－"</f>
        <v>－</v>
      </c>
      <c r="X48" s="36" t="n">
        <f>19</f>
        <v>19.0</v>
      </c>
    </row>
    <row r="49">
      <c r="A49" s="27" t="s">
        <v>42</v>
      </c>
      <c r="B49" s="27" t="s">
        <v>185</v>
      </c>
      <c r="C49" s="27" t="s">
        <v>186</v>
      </c>
      <c r="D49" s="27" t="s">
        <v>187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1888</f>
        <v>1888.0</v>
      </c>
      <c r="L49" s="34" t="s">
        <v>48</v>
      </c>
      <c r="M49" s="33" t="n">
        <f>2340</f>
        <v>2340.0</v>
      </c>
      <c r="N49" s="34" t="s">
        <v>90</v>
      </c>
      <c r="O49" s="33" t="n">
        <f>1888</f>
        <v>1888.0</v>
      </c>
      <c r="P49" s="34" t="s">
        <v>48</v>
      </c>
      <c r="Q49" s="33" t="n">
        <f>2215</f>
        <v>2215.0</v>
      </c>
      <c r="R49" s="34" t="s">
        <v>50</v>
      </c>
      <c r="S49" s="35" t="n">
        <f>2174.89</f>
        <v>2174.89</v>
      </c>
      <c r="T49" s="32" t="n">
        <f>19965</f>
        <v>19965.0</v>
      </c>
      <c r="U49" s="32" t="n">
        <f>1</f>
        <v>1.0</v>
      </c>
      <c r="V49" s="32" t="n">
        <f>44621712</f>
        <v>4.4621712E7</v>
      </c>
      <c r="W49" s="32" t="n">
        <f>1981</f>
        <v>1981.0</v>
      </c>
      <c r="X49" s="36" t="n">
        <f>19</f>
        <v>19.0</v>
      </c>
    </row>
    <row r="50">
      <c r="A50" s="27" t="s">
        <v>42</v>
      </c>
      <c r="B50" s="27" t="s">
        <v>188</v>
      </c>
      <c r="C50" s="27" t="s">
        <v>189</v>
      </c>
      <c r="D50" s="27" t="s">
        <v>190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34600</f>
        <v>34600.0</v>
      </c>
      <c r="L50" s="34" t="s">
        <v>48</v>
      </c>
      <c r="M50" s="33" t="n">
        <f>37900</f>
        <v>37900.0</v>
      </c>
      <c r="N50" s="34" t="s">
        <v>172</v>
      </c>
      <c r="O50" s="33" t="n">
        <f>34350</f>
        <v>34350.0</v>
      </c>
      <c r="P50" s="34" t="s">
        <v>48</v>
      </c>
      <c r="Q50" s="33" t="n">
        <f>36850</f>
        <v>36850.0</v>
      </c>
      <c r="R50" s="34" t="s">
        <v>50</v>
      </c>
      <c r="S50" s="35" t="n">
        <f>36484.21</f>
        <v>36484.21</v>
      </c>
      <c r="T50" s="32" t="n">
        <f>923</f>
        <v>923.0</v>
      </c>
      <c r="U50" s="32" t="str">
        <f>"－"</f>
        <v>－</v>
      </c>
      <c r="V50" s="32" t="n">
        <f>33715850</f>
        <v>3.371585E7</v>
      </c>
      <c r="W50" s="32" t="str">
        <f>"－"</f>
        <v>－</v>
      </c>
      <c r="X50" s="36" t="n">
        <f>19</f>
        <v>19.0</v>
      </c>
    </row>
    <row r="51">
      <c r="A51" s="27" t="s">
        <v>42</v>
      </c>
      <c r="B51" s="27" t="s">
        <v>191</v>
      </c>
      <c r="C51" s="27" t="s">
        <v>192</v>
      </c>
      <c r="D51" s="27" t="s">
        <v>193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23830</f>
        <v>23830.0</v>
      </c>
      <c r="L51" s="34" t="s">
        <v>48</v>
      </c>
      <c r="M51" s="33" t="n">
        <f>27140</f>
        <v>27140.0</v>
      </c>
      <c r="N51" s="34" t="s">
        <v>86</v>
      </c>
      <c r="O51" s="33" t="n">
        <f>23830</f>
        <v>23830.0</v>
      </c>
      <c r="P51" s="34" t="s">
        <v>48</v>
      </c>
      <c r="Q51" s="33" t="n">
        <f>26950</f>
        <v>26950.0</v>
      </c>
      <c r="R51" s="34" t="s">
        <v>90</v>
      </c>
      <c r="S51" s="35" t="n">
        <f>26251.54</f>
        <v>26251.54</v>
      </c>
      <c r="T51" s="32" t="n">
        <f>224</f>
        <v>224.0</v>
      </c>
      <c r="U51" s="32" t="n">
        <f>1</f>
        <v>1.0</v>
      </c>
      <c r="V51" s="32" t="n">
        <f>5828080</f>
        <v>5828080.0</v>
      </c>
      <c r="W51" s="32" t="n">
        <f>25310</f>
        <v>25310.0</v>
      </c>
      <c r="X51" s="36" t="n">
        <f>13</f>
        <v>13.0</v>
      </c>
    </row>
    <row r="52">
      <c r="A52" s="27" t="s">
        <v>42</v>
      </c>
      <c r="B52" s="27" t="s">
        <v>194</v>
      </c>
      <c r="C52" s="27" t="s">
        <v>195</v>
      </c>
      <c r="D52" s="27" t="s">
        <v>196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23240</f>
        <v>23240.0</v>
      </c>
      <c r="L52" s="34" t="s">
        <v>48</v>
      </c>
      <c r="M52" s="33" t="n">
        <f>27050</f>
        <v>27050.0</v>
      </c>
      <c r="N52" s="34" t="s">
        <v>50</v>
      </c>
      <c r="O52" s="33" t="n">
        <f>23240</f>
        <v>23240.0</v>
      </c>
      <c r="P52" s="34" t="s">
        <v>48</v>
      </c>
      <c r="Q52" s="33" t="n">
        <f>26860</f>
        <v>26860.0</v>
      </c>
      <c r="R52" s="34" t="s">
        <v>50</v>
      </c>
      <c r="S52" s="35" t="n">
        <f>25534.74</f>
        <v>25534.74</v>
      </c>
      <c r="T52" s="32" t="n">
        <f>5307</f>
        <v>5307.0</v>
      </c>
      <c r="U52" s="32" t="n">
        <f>1</f>
        <v>1.0</v>
      </c>
      <c r="V52" s="32" t="n">
        <f>133959780</f>
        <v>1.3395978E8</v>
      </c>
      <c r="W52" s="32" t="n">
        <f>26080</f>
        <v>26080.0</v>
      </c>
      <c r="X52" s="36" t="n">
        <f>19</f>
        <v>19.0</v>
      </c>
    </row>
    <row r="53">
      <c r="A53" s="27" t="s">
        <v>42</v>
      </c>
      <c r="B53" s="27" t="s">
        <v>197</v>
      </c>
      <c r="C53" s="27" t="s">
        <v>198</v>
      </c>
      <c r="D53" s="27" t="s">
        <v>199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1673</f>
        <v>1673.0</v>
      </c>
      <c r="L53" s="34" t="s">
        <v>48</v>
      </c>
      <c r="M53" s="33" t="n">
        <f>1774</f>
        <v>1774.0</v>
      </c>
      <c r="N53" s="34" t="s">
        <v>113</v>
      </c>
      <c r="O53" s="33" t="n">
        <f>1664</f>
        <v>1664.0</v>
      </c>
      <c r="P53" s="34" t="s">
        <v>48</v>
      </c>
      <c r="Q53" s="33" t="n">
        <f>1716</f>
        <v>1716.0</v>
      </c>
      <c r="R53" s="34" t="s">
        <v>50</v>
      </c>
      <c r="S53" s="35" t="n">
        <f>1723.84</f>
        <v>1723.84</v>
      </c>
      <c r="T53" s="32" t="n">
        <f>227100</f>
        <v>227100.0</v>
      </c>
      <c r="U53" s="32" t="n">
        <f>100000</f>
        <v>100000.0</v>
      </c>
      <c r="V53" s="32" t="n">
        <f>394177830</f>
        <v>3.9417783E8</v>
      </c>
      <c r="W53" s="32" t="n">
        <f>173818400</f>
        <v>1.738184E8</v>
      </c>
      <c r="X53" s="36" t="n">
        <f>19</f>
        <v>19.0</v>
      </c>
    </row>
    <row r="54">
      <c r="A54" s="27" t="s">
        <v>42</v>
      </c>
      <c r="B54" s="27" t="s">
        <v>200</v>
      </c>
      <c r="C54" s="27" t="s">
        <v>201</v>
      </c>
      <c r="D54" s="27" t="s">
        <v>202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1297</f>
        <v>1297.0</v>
      </c>
      <c r="L54" s="34" t="s">
        <v>48</v>
      </c>
      <c r="M54" s="33" t="n">
        <f>1437</f>
        <v>1437.0</v>
      </c>
      <c r="N54" s="34" t="s">
        <v>66</v>
      </c>
      <c r="O54" s="33" t="n">
        <f>1297</f>
        <v>1297.0</v>
      </c>
      <c r="P54" s="34" t="s">
        <v>48</v>
      </c>
      <c r="Q54" s="33" t="n">
        <f>1385</f>
        <v>1385.0</v>
      </c>
      <c r="R54" s="34" t="s">
        <v>50</v>
      </c>
      <c r="S54" s="35" t="n">
        <f>1384.58</f>
        <v>1384.58</v>
      </c>
      <c r="T54" s="32" t="n">
        <f>114410</f>
        <v>114410.0</v>
      </c>
      <c r="U54" s="32" t="str">
        <f>"－"</f>
        <v>－</v>
      </c>
      <c r="V54" s="32" t="n">
        <f>158696470</f>
        <v>1.5869647E8</v>
      </c>
      <c r="W54" s="32" t="str">
        <f>"－"</f>
        <v>－</v>
      </c>
      <c r="X54" s="36" t="n">
        <f>19</f>
        <v>19.0</v>
      </c>
    </row>
    <row r="55">
      <c r="A55" s="27" t="s">
        <v>42</v>
      </c>
      <c r="B55" s="27" t="s">
        <v>203</v>
      </c>
      <c r="C55" s="27" t="s">
        <v>204</v>
      </c>
      <c r="D55" s="27" t="s">
        <v>205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5660</f>
        <v>5660.0</v>
      </c>
      <c r="L55" s="34" t="s">
        <v>48</v>
      </c>
      <c r="M55" s="33" t="n">
        <f>5660</f>
        <v>5660.0</v>
      </c>
      <c r="N55" s="34" t="s">
        <v>48</v>
      </c>
      <c r="O55" s="33" t="n">
        <f>4845</f>
        <v>4845.0</v>
      </c>
      <c r="P55" s="34" t="s">
        <v>50</v>
      </c>
      <c r="Q55" s="33" t="n">
        <f>4920</f>
        <v>4920.0</v>
      </c>
      <c r="R55" s="34" t="s">
        <v>50</v>
      </c>
      <c r="S55" s="35" t="n">
        <f>5140.79</f>
        <v>5140.79</v>
      </c>
      <c r="T55" s="32" t="n">
        <f>416671</f>
        <v>416671.0</v>
      </c>
      <c r="U55" s="32" t="n">
        <f>38201</f>
        <v>38201.0</v>
      </c>
      <c r="V55" s="32" t="n">
        <f>2134236791</f>
        <v>2.134236791E9</v>
      </c>
      <c r="W55" s="32" t="n">
        <f>200561656</f>
        <v>2.00561656E8</v>
      </c>
      <c r="X55" s="36" t="n">
        <f>19</f>
        <v>19.0</v>
      </c>
    </row>
    <row r="56">
      <c r="A56" s="27" t="s">
        <v>42</v>
      </c>
      <c r="B56" s="27" t="s">
        <v>206</v>
      </c>
      <c r="C56" s="27" t="s">
        <v>207</v>
      </c>
      <c r="D56" s="27" t="s">
        <v>208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6750</f>
        <v>6750.0</v>
      </c>
      <c r="L56" s="34" t="s">
        <v>48</v>
      </c>
      <c r="M56" s="33" t="n">
        <f>6750</f>
        <v>6750.0</v>
      </c>
      <c r="N56" s="34" t="s">
        <v>48</v>
      </c>
      <c r="O56" s="33" t="n">
        <f>5970</f>
        <v>5970.0</v>
      </c>
      <c r="P56" s="34" t="s">
        <v>66</v>
      </c>
      <c r="Q56" s="33" t="n">
        <f>6090</f>
        <v>6090.0</v>
      </c>
      <c r="R56" s="34" t="s">
        <v>50</v>
      </c>
      <c r="S56" s="35" t="n">
        <f>6255.26</f>
        <v>6255.26</v>
      </c>
      <c r="T56" s="32" t="n">
        <f>322148</f>
        <v>322148.0</v>
      </c>
      <c r="U56" s="32" t="n">
        <f>51</f>
        <v>51.0</v>
      </c>
      <c r="V56" s="32" t="n">
        <f>1991470180</f>
        <v>1.99147018E9</v>
      </c>
      <c r="W56" s="32" t="n">
        <f>308220</f>
        <v>308220.0</v>
      </c>
      <c r="X56" s="36" t="n">
        <f>19</f>
        <v>19.0</v>
      </c>
    </row>
    <row r="57">
      <c r="A57" s="27" t="s">
        <v>42</v>
      </c>
      <c r="B57" s="27" t="s">
        <v>209</v>
      </c>
      <c r="C57" s="27" t="s">
        <v>210</v>
      </c>
      <c r="D57" s="27" t="s">
        <v>211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11940</f>
        <v>11940.0</v>
      </c>
      <c r="L57" s="34" t="s">
        <v>48</v>
      </c>
      <c r="M57" s="33" t="n">
        <f>16090</f>
        <v>16090.0</v>
      </c>
      <c r="N57" s="34" t="s">
        <v>50</v>
      </c>
      <c r="O57" s="33" t="n">
        <f>11930</f>
        <v>11930.0</v>
      </c>
      <c r="P57" s="34" t="s">
        <v>48</v>
      </c>
      <c r="Q57" s="33" t="n">
        <f>15590</f>
        <v>15590.0</v>
      </c>
      <c r="R57" s="34" t="s">
        <v>50</v>
      </c>
      <c r="S57" s="35" t="n">
        <f>14407.89</f>
        <v>14407.89</v>
      </c>
      <c r="T57" s="32" t="n">
        <f>6515408</f>
        <v>6515408.0</v>
      </c>
      <c r="U57" s="32" t="n">
        <f>13</f>
        <v>13.0</v>
      </c>
      <c r="V57" s="32" t="n">
        <f>93256799570</f>
        <v>9.325679957E10</v>
      </c>
      <c r="W57" s="32" t="n">
        <f>172360</f>
        <v>172360.0</v>
      </c>
      <c r="X57" s="36" t="n">
        <f>19</f>
        <v>19.0</v>
      </c>
    </row>
    <row r="58">
      <c r="A58" s="27" t="s">
        <v>42</v>
      </c>
      <c r="B58" s="27" t="s">
        <v>212</v>
      </c>
      <c r="C58" s="27" t="s">
        <v>213</v>
      </c>
      <c r="D58" s="27" t="s">
        <v>214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2840</f>
        <v>2840.0</v>
      </c>
      <c r="L58" s="34" t="s">
        <v>48</v>
      </c>
      <c r="M58" s="33" t="n">
        <f>2840</f>
        <v>2840.0</v>
      </c>
      <c r="N58" s="34" t="s">
        <v>48</v>
      </c>
      <c r="O58" s="33" t="n">
        <f>2072</f>
        <v>2072.0</v>
      </c>
      <c r="P58" s="34" t="s">
        <v>50</v>
      </c>
      <c r="Q58" s="33" t="n">
        <f>2137</f>
        <v>2137.0</v>
      </c>
      <c r="R58" s="34" t="s">
        <v>50</v>
      </c>
      <c r="S58" s="35" t="n">
        <f>2341.95</f>
        <v>2341.95</v>
      </c>
      <c r="T58" s="32" t="n">
        <f>44184362</f>
        <v>4.4184362E7</v>
      </c>
      <c r="U58" s="32" t="n">
        <f>2750</f>
        <v>2750.0</v>
      </c>
      <c r="V58" s="32" t="n">
        <f>104480924845</f>
        <v>1.04480924845E11</v>
      </c>
      <c r="W58" s="32" t="n">
        <f>6042380</f>
        <v>6042380.0</v>
      </c>
      <c r="X58" s="36" t="n">
        <f>19</f>
        <v>19.0</v>
      </c>
    </row>
    <row r="59">
      <c r="A59" s="27" t="s">
        <v>42</v>
      </c>
      <c r="B59" s="27" t="s">
        <v>215</v>
      </c>
      <c r="C59" s="27" t="s">
        <v>216</v>
      </c>
      <c r="D59" s="27" t="s">
        <v>217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20510</f>
        <v>20510.0</v>
      </c>
      <c r="L59" s="34" t="s">
        <v>48</v>
      </c>
      <c r="M59" s="33" t="n">
        <f>23610</f>
        <v>23610.0</v>
      </c>
      <c r="N59" s="34" t="s">
        <v>50</v>
      </c>
      <c r="O59" s="33" t="n">
        <f>20500</f>
        <v>20500.0</v>
      </c>
      <c r="P59" s="34" t="s">
        <v>218</v>
      </c>
      <c r="Q59" s="33" t="n">
        <f>23610</f>
        <v>23610.0</v>
      </c>
      <c r="R59" s="34" t="s">
        <v>50</v>
      </c>
      <c r="S59" s="35" t="n">
        <f>21944.12</f>
        <v>21944.12</v>
      </c>
      <c r="T59" s="32" t="n">
        <f>321</f>
        <v>321.0</v>
      </c>
      <c r="U59" s="32" t="str">
        <f>"－"</f>
        <v>－</v>
      </c>
      <c r="V59" s="32" t="n">
        <f>7156510</f>
        <v>7156510.0</v>
      </c>
      <c r="W59" s="32" t="str">
        <f>"－"</f>
        <v>－</v>
      </c>
      <c r="X59" s="36" t="n">
        <f>17</f>
        <v>17.0</v>
      </c>
    </row>
    <row r="60">
      <c r="A60" s="27" t="s">
        <v>42</v>
      </c>
      <c r="B60" s="27" t="s">
        <v>219</v>
      </c>
      <c r="C60" s="27" t="s">
        <v>220</v>
      </c>
      <c r="D60" s="27" t="s">
        <v>221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9830</f>
        <v>9830.0</v>
      </c>
      <c r="L60" s="34" t="s">
        <v>48</v>
      </c>
      <c r="M60" s="33" t="n">
        <f>12700</f>
        <v>12700.0</v>
      </c>
      <c r="N60" s="34" t="s">
        <v>49</v>
      </c>
      <c r="O60" s="33" t="n">
        <f>9830</f>
        <v>9830.0</v>
      </c>
      <c r="P60" s="34" t="s">
        <v>48</v>
      </c>
      <c r="Q60" s="33" t="n">
        <f>12200</f>
        <v>12200.0</v>
      </c>
      <c r="R60" s="34" t="s">
        <v>50</v>
      </c>
      <c r="S60" s="35" t="n">
        <f>11548.42</f>
        <v>11548.42</v>
      </c>
      <c r="T60" s="32" t="n">
        <f>10492</f>
        <v>10492.0</v>
      </c>
      <c r="U60" s="32" t="n">
        <f>2</f>
        <v>2.0</v>
      </c>
      <c r="V60" s="32" t="n">
        <f>121857600</f>
        <v>1.218576E8</v>
      </c>
      <c r="W60" s="32" t="n">
        <f>24200</f>
        <v>24200.0</v>
      </c>
      <c r="X60" s="36" t="n">
        <f>19</f>
        <v>19.0</v>
      </c>
    </row>
    <row r="61">
      <c r="A61" s="27" t="s">
        <v>42</v>
      </c>
      <c r="B61" s="27" t="s">
        <v>222</v>
      </c>
      <c r="C61" s="27" t="s">
        <v>223</v>
      </c>
      <c r="D61" s="27" t="s">
        <v>224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6440</f>
        <v>6440.0</v>
      </c>
      <c r="L61" s="34" t="s">
        <v>225</v>
      </c>
      <c r="M61" s="33" t="n">
        <f>6440</f>
        <v>6440.0</v>
      </c>
      <c r="N61" s="34" t="s">
        <v>225</v>
      </c>
      <c r="O61" s="33" t="n">
        <f>5800</f>
        <v>5800.0</v>
      </c>
      <c r="P61" s="34" t="s">
        <v>49</v>
      </c>
      <c r="Q61" s="33" t="n">
        <f>5870</f>
        <v>5870.0</v>
      </c>
      <c r="R61" s="34" t="s">
        <v>50</v>
      </c>
      <c r="S61" s="35" t="n">
        <f>6067.78</f>
        <v>6067.78</v>
      </c>
      <c r="T61" s="32" t="n">
        <f>1301</f>
        <v>1301.0</v>
      </c>
      <c r="U61" s="32" t="n">
        <f>1</f>
        <v>1.0</v>
      </c>
      <c r="V61" s="32" t="n">
        <f>7836700</f>
        <v>7836700.0</v>
      </c>
      <c r="W61" s="32" t="n">
        <f>6030</f>
        <v>6030.0</v>
      </c>
      <c r="X61" s="36" t="n">
        <f>18</f>
        <v>18.0</v>
      </c>
    </row>
    <row r="62">
      <c r="A62" s="27" t="s">
        <v>42</v>
      </c>
      <c r="B62" s="27" t="s">
        <v>226</v>
      </c>
      <c r="C62" s="27" t="s">
        <v>227</v>
      </c>
      <c r="D62" s="27" t="s">
        <v>228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3535</f>
        <v>3535.0</v>
      </c>
      <c r="L62" s="34" t="s">
        <v>48</v>
      </c>
      <c r="M62" s="33" t="n">
        <f>3535</f>
        <v>3535.0</v>
      </c>
      <c r="N62" s="34" t="s">
        <v>48</v>
      </c>
      <c r="O62" s="33" t="n">
        <f>2700</f>
        <v>2700.0</v>
      </c>
      <c r="P62" s="34" t="s">
        <v>49</v>
      </c>
      <c r="Q62" s="33" t="n">
        <f>2791</f>
        <v>2791.0</v>
      </c>
      <c r="R62" s="34" t="s">
        <v>50</v>
      </c>
      <c r="S62" s="35" t="n">
        <f>2995.21</f>
        <v>2995.21</v>
      </c>
      <c r="T62" s="32" t="n">
        <f>27830</f>
        <v>27830.0</v>
      </c>
      <c r="U62" s="32" t="str">
        <f>"－"</f>
        <v>－</v>
      </c>
      <c r="V62" s="32" t="n">
        <f>83178297</f>
        <v>8.3178297E7</v>
      </c>
      <c r="W62" s="32" t="str">
        <f>"－"</f>
        <v>－</v>
      </c>
      <c r="X62" s="36" t="n">
        <f>19</f>
        <v>19.0</v>
      </c>
    </row>
    <row r="63">
      <c r="A63" s="27" t="s">
        <v>42</v>
      </c>
      <c r="B63" s="27" t="s">
        <v>229</v>
      </c>
      <c r="C63" s="27" t="s">
        <v>230</v>
      </c>
      <c r="D63" s="27" t="s">
        <v>231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9520</f>
        <v>9520.0</v>
      </c>
      <c r="L63" s="34" t="s">
        <v>48</v>
      </c>
      <c r="M63" s="33" t="n">
        <f>12250</f>
        <v>12250.0</v>
      </c>
      <c r="N63" s="34" t="s">
        <v>50</v>
      </c>
      <c r="O63" s="33" t="n">
        <f>9460</f>
        <v>9460.0</v>
      </c>
      <c r="P63" s="34" t="s">
        <v>48</v>
      </c>
      <c r="Q63" s="33" t="n">
        <f>11750</f>
        <v>11750.0</v>
      </c>
      <c r="R63" s="34" t="s">
        <v>50</v>
      </c>
      <c r="S63" s="35" t="n">
        <f>11051.05</f>
        <v>11051.05</v>
      </c>
      <c r="T63" s="32" t="n">
        <f>19370</f>
        <v>19370.0</v>
      </c>
      <c r="U63" s="32" t="n">
        <f>10</f>
        <v>10.0</v>
      </c>
      <c r="V63" s="32" t="n">
        <f>215676200</f>
        <v>2.156762E8</v>
      </c>
      <c r="W63" s="32" t="n">
        <f>117500</f>
        <v>117500.0</v>
      </c>
      <c r="X63" s="36" t="n">
        <f>19</f>
        <v>19.0</v>
      </c>
    </row>
    <row r="64">
      <c r="A64" s="27" t="s">
        <v>42</v>
      </c>
      <c r="B64" s="27" t="s">
        <v>232</v>
      </c>
      <c r="C64" s="27" t="s">
        <v>233</v>
      </c>
      <c r="D64" s="27" t="s">
        <v>234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6520</f>
        <v>6520.0</v>
      </c>
      <c r="L64" s="34" t="s">
        <v>225</v>
      </c>
      <c r="M64" s="33" t="n">
        <f>6520</f>
        <v>6520.0</v>
      </c>
      <c r="N64" s="34" t="s">
        <v>225</v>
      </c>
      <c r="O64" s="33" t="n">
        <f>5640</f>
        <v>5640.0</v>
      </c>
      <c r="P64" s="34" t="s">
        <v>49</v>
      </c>
      <c r="Q64" s="33" t="n">
        <f>5730</f>
        <v>5730.0</v>
      </c>
      <c r="R64" s="34" t="s">
        <v>50</v>
      </c>
      <c r="S64" s="35" t="n">
        <f>5945</f>
        <v>5945.0</v>
      </c>
      <c r="T64" s="32" t="n">
        <f>3020</f>
        <v>3020.0</v>
      </c>
      <c r="U64" s="32" t="str">
        <f>"－"</f>
        <v>－</v>
      </c>
      <c r="V64" s="32" t="n">
        <f>17707300</f>
        <v>1.77073E7</v>
      </c>
      <c r="W64" s="32" t="str">
        <f>"－"</f>
        <v>－</v>
      </c>
      <c r="X64" s="36" t="n">
        <f>14</f>
        <v>14.0</v>
      </c>
    </row>
    <row r="65">
      <c r="A65" s="27" t="s">
        <v>42</v>
      </c>
      <c r="B65" s="27" t="s">
        <v>235</v>
      </c>
      <c r="C65" s="27" t="s">
        <v>236</v>
      </c>
      <c r="D65" s="27" t="s">
        <v>237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3495</f>
        <v>3495.0</v>
      </c>
      <c r="L65" s="34" t="s">
        <v>48</v>
      </c>
      <c r="M65" s="33" t="n">
        <f>3495</f>
        <v>3495.0</v>
      </c>
      <c r="N65" s="34" t="s">
        <v>48</v>
      </c>
      <c r="O65" s="33" t="n">
        <f>2718</f>
        <v>2718.0</v>
      </c>
      <c r="P65" s="34" t="s">
        <v>49</v>
      </c>
      <c r="Q65" s="33" t="n">
        <f>2810</f>
        <v>2810.0</v>
      </c>
      <c r="R65" s="34" t="s">
        <v>50</v>
      </c>
      <c r="S65" s="35" t="n">
        <f>3005.21</f>
        <v>3005.21</v>
      </c>
      <c r="T65" s="32" t="n">
        <f>73880</f>
        <v>73880.0</v>
      </c>
      <c r="U65" s="32" t="n">
        <f>10</f>
        <v>10.0</v>
      </c>
      <c r="V65" s="32" t="n">
        <f>219244740</f>
        <v>2.1924474E8</v>
      </c>
      <c r="W65" s="32" t="n">
        <f>29940</f>
        <v>29940.0</v>
      </c>
      <c r="X65" s="36" t="n">
        <f>19</f>
        <v>19.0</v>
      </c>
    </row>
    <row r="66">
      <c r="A66" s="27" t="s">
        <v>42</v>
      </c>
      <c r="B66" s="27" t="s">
        <v>238</v>
      </c>
      <c r="C66" s="27" t="s">
        <v>239</v>
      </c>
      <c r="D66" s="27" t="s">
        <v>240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19640</f>
        <v>19640.0</v>
      </c>
      <c r="L66" s="34" t="s">
        <v>48</v>
      </c>
      <c r="M66" s="33" t="n">
        <f>23300</f>
        <v>23300.0</v>
      </c>
      <c r="N66" s="34" t="s">
        <v>50</v>
      </c>
      <c r="O66" s="33" t="n">
        <f>19640</f>
        <v>19640.0</v>
      </c>
      <c r="P66" s="34" t="s">
        <v>48</v>
      </c>
      <c r="Q66" s="33" t="n">
        <f>22680</f>
        <v>22680.0</v>
      </c>
      <c r="R66" s="34" t="s">
        <v>50</v>
      </c>
      <c r="S66" s="35" t="n">
        <f>22046.32</f>
        <v>22046.32</v>
      </c>
      <c r="T66" s="32" t="n">
        <f>10463</f>
        <v>10463.0</v>
      </c>
      <c r="U66" s="32" t="n">
        <f>1</f>
        <v>1.0</v>
      </c>
      <c r="V66" s="32" t="n">
        <f>232798710</f>
        <v>2.3279871E8</v>
      </c>
      <c r="W66" s="32" t="n">
        <f>23100</f>
        <v>23100.0</v>
      </c>
      <c r="X66" s="36" t="n">
        <f>19</f>
        <v>19.0</v>
      </c>
    </row>
    <row r="67">
      <c r="A67" s="27" t="s">
        <v>42</v>
      </c>
      <c r="B67" s="27" t="s">
        <v>241</v>
      </c>
      <c r="C67" s="27" t="s">
        <v>242</v>
      </c>
      <c r="D67" s="27" t="s">
        <v>243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4270</f>
        <v>4270.0</v>
      </c>
      <c r="L67" s="34" t="s">
        <v>48</v>
      </c>
      <c r="M67" s="33" t="n">
        <f>4270</f>
        <v>4270.0</v>
      </c>
      <c r="N67" s="34" t="s">
        <v>48</v>
      </c>
      <c r="O67" s="33" t="n">
        <f>3710</f>
        <v>3710.0</v>
      </c>
      <c r="P67" s="34" t="s">
        <v>49</v>
      </c>
      <c r="Q67" s="33" t="n">
        <f>3785</f>
        <v>3785.0</v>
      </c>
      <c r="R67" s="34" t="s">
        <v>50</v>
      </c>
      <c r="S67" s="35" t="n">
        <f>3933.68</f>
        <v>3933.68</v>
      </c>
      <c r="T67" s="32" t="n">
        <f>2670</f>
        <v>2670.0</v>
      </c>
      <c r="U67" s="32" t="str">
        <f>"－"</f>
        <v>－</v>
      </c>
      <c r="V67" s="32" t="n">
        <f>10363030</f>
        <v>1.036303E7</v>
      </c>
      <c r="W67" s="32" t="str">
        <f>"－"</f>
        <v>－</v>
      </c>
      <c r="X67" s="36" t="n">
        <f>19</f>
        <v>19.0</v>
      </c>
    </row>
    <row r="68">
      <c r="A68" s="27" t="s">
        <v>42</v>
      </c>
      <c r="B68" s="27" t="s">
        <v>244</v>
      </c>
      <c r="C68" s="27" t="s">
        <v>245</v>
      </c>
      <c r="D68" s="27" t="s">
        <v>246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1367</f>
        <v>1367.0</v>
      </c>
      <c r="L68" s="34" t="s">
        <v>48</v>
      </c>
      <c r="M68" s="33" t="n">
        <f>1425</f>
        <v>1425.0</v>
      </c>
      <c r="N68" s="34" t="s">
        <v>48</v>
      </c>
      <c r="O68" s="33" t="n">
        <f>1080</f>
        <v>1080.0</v>
      </c>
      <c r="P68" s="34" t="s">
        <v>49</v>
      </c>
      <c r="Q68" s="33" t="n">
        <f>1115</f>
        <v>1115.0</v>
      </c>
      <c r="R68" s="34" t="s">
        <v>50</v>
      </c>
      <c r="S68" s="35" t="n">
        <f>1196.79</f>
        <v>1196.79</v>
      </c>
      <c r="T68" s="32" t="n">
        <f>103011</f>
        <v>103011.0</v>
      </c>
      <c r="U68" s="32" t="n">
        <f>1</f>
        <v>1.0</v>
      </c>
      <c r="V68" s="32" t="n">
        <f>122079674</f>
        <v>1.22079674E8</v>
      </c>
      <c r="W68" s="32" t="n">
        <f>1339</f>
        <v>1339.0</v>
      </c>
      <c r="X68" s="36" t="n">
        <f>19</f>
        <v>19.0</v>
      </c>
    </row>
    <row r="69">
      <c r="A69" s="27" t="s">
        <v>42</v>
      </c>
      <c r="B69" s="27" t="s">
        <v>247</v>
      </c>
      <c r="C69" s="27" t="s">
        <v>248</v>
      </c>
      <c r="D69" s="27" t="s">
        <v>249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1620</f>
        <v>1620.0</v>
      </c>
      <c r="L69" s="34" t="s">
        <v>48</v>
      </c>
      <c r="M69" s="33" t="n">
        <f>1820</f>
        <v>1820.0</v>
      </c>
      <c r="N69" s="34" t="s">
        <v>66</v>
      </c>
      <c r="O69" s="33" t="n">
        <f>1620</f>
        <v>1620.0</v>
      </c>
      <c r="P69" s="34" t="s">
        <v>48</v>
      </c>
      <c r="Q69" s="33" t="n">
        <f>1779</f>
        <v>1779.0</v>
      </c>
      <c r="R69" s="34" t="s">
        <v>50</v>
      </c>
      <c r="S69" s="35" t="n">
        <f>1743.16</f>
        <v>1743.16</v>
      </c>
      <c r="T69" s="32" t="n">
        <f>740450</f>
        <v>740450.0</v>
      </c>
      <c r="U69" s="32" t="str">
        <f>"－"</f>
        <v>－</v>
      </c>
      <c r="V69" s="32" t="n">
        <f>1286401470</f>
        <v>1.28640147E9</v>
      </c>
      <c r="W69" s="32" t="str">
        <f>"－"</f>
        <v>－</v>
      </c>
      <c r="X69" s="36" t="n">
        <f>19</f>
        <v>19.0</v>
      </c>
    </row>
    <row r="70">
      <c r="A70" s="27" t="s">
        <v>42</v>
      </c>
      <c r="B70" s="27" t="s">
        <v>250</v>
      </c>
      <c r="C70" s="27" t="s">
        <v>251</v>
      </c>
      <c r="D70" s="27" t="s">
        <v>252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14540</f>
        <v>14540.0</v>
      </c>
      <c r="L70" s="34" t="s">
        <v>48</v>
      </c>
      <c r="M70" s="33" t="n">
        <f>16770</f>
        <v>16770.0</v>
      </c>
      <c r="N70" s="34" t="s">
        <v>50</v>
      </c>
      <c r="O70" s="33" t="n">
        <f>14540</f>
        <v>14540.0</v>
      </c>
      <c r="P70" s="34" t="s">
        <v>48</v>
      </c>
      <c r="Q70" s="33" t="n">
        <f>16170</f>
        <v>16170.0</v>
      </c>
      <c r="R70" s="34" t="s">
        <v>50</v>
      </c>
      <c r="S70" s="35" t="n">
        <f>15744.21</f>
        <v>15744.21</v>
      </c>
      <c r="T70" s="32" t="n">
        <f>120629</f>
        <v>120629.0</v>
      </c>
      <c r="U70" s="32" t="str">
        <f>"－"</f>
        <v>－</v>
      </c>
      <c r="V70" s="32" t="n">
        <f>1897363970</f>
        <v>1.89736397E9</v>
      </c>
      <c r="W70" s="32" t="str">
        <f>"－"</f>
        <v>－</v>
      </c>
      <c r="X70" s="36" t="n">
        <f>19</f>
        <v>19.0</v>
      </c>
    </row>
    <row r="71">
      <c r="A71" s="27" t="s">
        <v>42</v>
      </c>
      <c r="B71" s="27" t="s">
        <v>253</v>
      </c>
      <c r="C71" s="27" t="s">
        <v>254</v>
      </c>
      <c r="D71" s="27" t="s">
        <v>255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1631</f>
        <v>1631.0</v>
      </c>
      <c r="L71" s="34" t="s">
        <v>48</v>
      </c>
      <c r="M71" s="33" t="n">
        <f>1836</f>
        <v>1836.0</v>
      </c>
      <c r="N71" s="34" t="s">
        <v>49</v>
      </c>
      <c r="O71" s="33" t="n">
        <f>1631</f>
        <v>1631.0</v>
      </c>
      <c r="P71" s="34" t="s">
        <v>48</v>
      </c>
      <c r="Q71" s="33" t="n">
        <f>1793</f>
        <v>1793.0</v>
      </c>
      <c r="R71" s="34" t="s">
        <v>50</v>
      </c>
      <c r="S71" s="35" t="n">
        <f>1755.42</f>
        <v>1755.42</v>
      </c>
      <c r="T71" s="32" t="n">
        <f>4168244</f>
        <v>4168244.0</v>
      </c>
      <c r="U71" s="32" t="n">
        <f>519391</f>
        <v>519391.0</v>
      </c>
      <c r="V71" s="32" t="n">
        <f>7294993269</f>
        <v>7.294993269E9</v>
      </c>
      <c r="W71" s="32" t="n">
        <f>920776179</f>
        <v>9.20776179E8</v>
      </c>
      <c r="X71" s="36" t="n">
        <f>19</f>
        <v>19.0</v>
      </c>
    </row>
    <row r="72">
      <c r="A72" s="27" t="s">
        <v>42</v>
      </c>
      <c r="B72" s="27" t="s">
        <v>256</v>
      </c>
      <c r="C72" s="27" t="s">
        <v>257</v>
      </c>
      <c r="D72" s="27" t="s">
        <v>258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1695</f>
        <v>1695.0</v>
      </c>
      <c r="L72" s="34" t="s">
        <v>48</v>
      </c>
      <c r="M72" s="33" t="n">
        <f>1783</f>
        <v>1783.0</v>
      </c>
      <c r="N72" s="34" t="s">
        <v>113</v>
      </c>
      <c r="O72" s="33" t="n">
        <f>1684</f>
        <v>1684.0</v>
      </c>
      <c r="P72" s="34" t="s">
        <v>48</v>
      </c>
      <c r="Q72" s="33" t="n">
        <f>1731</f>
        <v>1731.0</v>
      </c>
      <c r="R72" s="34" t="s">
        <v>50</v>
      </c>
      <c r="S72" s="35" t="n">
        <f>1733.89</f>
        <v>1733.89</v>
      </c>
      <c r="T72" s="32" t="n">
        <f>3275772</f>
        <v>3275772.0</v>
      </c>
      <c r="U72" s="32" t="n">
        <f>1930503</f>
        <v>1930503.0</v>
      </c>
      <c r="V72" s="32" t="n">
        <f>5704540250</f>
        <v>5.70454025E9</v>
      </c>
      <c r="W72" s="32" t="n">
        <f>3373301605</f>
        <v>3.373301605E9</v>
      </c>
      <c r="X72" s="36" t="n">
        <f>19</f>
        <v>19.0</v>
      </c>
    </row>
    <row r="73">
      <c r="A73" s="27" t="s">
        <v>42</v>
      </c>
      <c r="B73" s="27" t="s">
        <v>259</v>
      </c>
      <c r="C73" s="27" t="s">
        <v>260</v>
      </c>
      <c r="D73" s="27" t="s">
        <v>261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1672</f>
        <v>1672.0</v>
      </c>
      <c r="L73" s="34" t="s">
        <v>48</v>
      </c>
      <c r="M73" s="33" t="n">
        <f>1845</f>
        <v>1845.0</v>
      </c>
      <c r="N73" s="34" t="s">
        <v>66</v>
      </c>
      <c r="O73" s="33" t="n">
        <f>1665</f>
        <v>1665.0</v>
      </c>
      <c r="P73" s="34" t="s">
        <v>48</v>
      </c>
      <c r="Q73" s="33" t="n">
        <f>1803</f>
        <v>1803.0</v>
      </c>
      <c r="R73" s="34" t="s">
        <v>50</v>
      </c>
      <c r="S73" s="35" t="n">
        <f>1783.63</f>
        <v>1783.63</v>
      </c>
      <c r="T73" s="32" t="n">
        <f>489702</f>
        <v>489702.0</v>
      </c>
      <c r="U73" s="32" t="n">
        <f>447780</f>
        <v>447780.0</v>
      </c>
      <c r="V73" s="32" t="n">
        <f>882381226</f>
        <v>8.82381226E8</v>
      </c>
      <c r="W73" s="32" t="n">
        <f>808354044</f>
        <v>8.08354044E8</v>
      </c>
      <c r="X73" s="36" t="n">
        <f>19</f>
        <v>19.0</v>
      </c>
    </row>
    <row r="74">
      <c r="A74" s="27" t="s">
        <v>42</v>
      </c>
      <c r="B74" s="27" t="s">
        <v>262</v>
      </c>
      <c r="C74" s="27" t="s">
        <v>263</v>
      </c>
      <c r="D74" s="27" t="s">
        <v>264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1712</f>
        <v>1712.0</v>
      </c>
      <c r="L74" s="34" t="s">
        <v>48</v>
      </c>
      <c r="M74" s="33" t="n">
        <f>1942</f>
        <v>1942.0</v>
      </c>
      <c r="N74" s="34" t="s">
        <v>66</v>
      </c>
      <c r="O74" s="33" t="n">
        <f>1712</f>
        <v>1712.0</v>
      </c>
      <c r="P74" s="34" t="s">
        <v>48</v>
      </c>
      <c r="Q74" s="33" t="n">
        <f>1865</f>
        <v>1865.0</v>
      </c>
      <c r="R74" s="34" t="s">
        <v>50</v>
      </c>
      <c r="S74" s="35" t="n">
        <f>1851.63</f>
        <v>1851.63</v>
      </c>
      <c r="T74" s="32" t="n">
        <f>332139</f>
        <v>332139.0</v>
      </c>
      <c r="U74" s="32" t="n">
        <f>82000</f>
        <v>82000.0</v>
      </c>
      <c r="V74" s="32" t="n">
        <f>613946539</f>
        <v>6.13946539E8</v>
      </c>
      <c r="W74" s="32" t="n">
        <f>151136660</f>
        <v>1.5113666E8</v>
      </c>
      <c r="X74" s="36" t="n">
        <f>19</f>
        <v>19.0</v>
      </c>
    </row>
    <row r="75">
      <c r="A75" s="27" t="s">
        <v>42</v>
      </c>
      <c r="B75" s="27" t="s">
        <v>265</v>
      </c>
      <c r="C75" s="27" t="s">
        <v>266</v>
      </c>
      <c r="D75" s="27" t="s">
        <v>267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19350</f>
        <v>19350.0</v>
      </c>
      <c r="L75" s="34" t="s">
        <v>48</v>
      </c>
      <c r="M75" s="33" t="n">
        <f>21750</f>
        <v>21750.0</v>
      </c>
      <c r="N75" s="34" t="s">
        <v>66</v>
      </c>
      <c r="O75" s="33" t="n">
        <f>19350</f>
        <v>19350.0</v>
      </c>
      <c r="P75" s="34" t="s">
        <v>48</v>
      </c>
      <c r="Q75" s="33" t="n">
        <f>21450</f>
        <v>21450.0</v>
      </c>
      <c r="R75" s="34" t="s">
        <v>66</v>
      </c>
      <c r="S75" s="35" t="n">
        <f>20808.33</f>
        <v>20808.33</v>
      </c>
      <c r="T75" s="32" t="n">
        <f>2199</f>
        <v>2199.0</v>
      </c>
      <c r="U75" s="32" t="str">
        <f>"－"</f>
        <v>－</v>
      </c>
      <c r="V75" s="32" t="n">
        <f>46141110</f>
        <v>4.614111E7</v>
      </c>
      <c r="W75" s="32" t="str">
        <f>"－"</f>
        <v>－</v>
      </c>
      <c r="X75" s="36" t="n">
        <f>12</f>
        <v>12.0</v>
      </c>
    </row>
    <row r="76">
      <c r="A76" s="27" t="s">
        <v>42</v>
      </c>
      <c r="B76" s="27" t="s">
        <v>268</v>
      </c>
      <c r="C76" s="27" t="s">
        <v>269</v>
      </c>
      <c r="D76" s="27" t="s">
        <v>270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16310</f>
        <v>16310.0</v>
      </c>
      <c r="L76" s="34" t="s">
        <v>225</v>
      </c>
      <c r="M76" s="33" t="n">
        <f>18000</f>
        <v>18000.0</v>
      </c>
      <c r="N76" s="34" t="s">
        <v>66</v>
      </c>
      <c r="O76" s="33" t="n">
        <f>16310</f>
        <v>16310.0</v>
      </c>
      <c r="P76" s="34" t="s">
        <v>225</v>
      </c>
      <c r="Q76" s="33" t="n">
        <f>17890</f>
        <v>17890.0</v>
      </c>
      <c r="R76" s="34" t="s">
        <v>50</v>
      </c>
      <c r="S76" s="35" t="n">
        <f>17223.85</f>
        <v>17223.85</v>
      </c>
      <c r="T76" s="32" t="n">
        <f>138</f>
        <v>138.0</v>
      </c>
      <c r="U76" s="32" t="str">
        <f>"－"</f>
        <v>－</v>
      </c>
      <c r="V76" s="32" t="n">
        <f>2377810</f>
        <v>2377810.0</v>
      </c>
      <c r="W76" s="32" t="str">
        <f>"－"</f>
        <v>－</v>
      </c>
      <c r="X76" s="36" t="n">
        <f>13</f>
        <v>13.0</v>
      </c>
    </row>
    <row r="77">
      <c r="A77" s="27" t="s">
        <v>42</v>
      </c>
      <c r="B77" s="27" t="s">
        <v>271</v>
      </c>
      <c r="C77" s="27" t="s">
        <v>272</v>
      </c>
      <c r="D77" s="27" t="s">
        <v>273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1579</f>
        <v>1579.0</v>
      </c>
      <c r="L77" s="34" t="s">
        <v>48</v>
      </c>
      <c r="M77" s="33" t="n">
        <f>1794</f>
        <v>1794.0</v>
      </c>
      <c r="N77" s="34" t="s">
        <v>49</v>
      </c>
      <c r="O77" s="33" t="n">
        <f>1579</f>
        <v>1579.0</v>
      </c>
      <c r="P77" s="34" t="s">
        <v>48</v>
      </c>
      <c r="Q77" s="33" t="n">
        <f>1773</f>
        <v>1773.0</v>
      </c>
      <c r="R77" s="34" t="s">
        <v>50</v>
      </c>
      <c r="S77" s="35" t="n">
        <f>1714.37</f>
        <v>1714.37</v>
      </c>
      <c r="T77" s="32" t="n">
        <f>2005</f>
        <v>2005.0</v>
      </c>
      <c r="U77" s="32" t="n">
        <f>2</f>
        <v>2.0</v>
      </c>
      <c r="V77" s="32" t="n">
        <f>3420845</f>
        <v>3420845.0</v>
      </c>
      <c r="W77" s="32" t="n">
        <f>3408</f>
        <v>3408.0</v>
      </c>
      <c r="X77" s="36" t="n">
        <f>19</f>
        <v>19.0</v>
      </c>
    </row>
    <row r="78">
      <c r="A78" s="27" t="s">
        <v>42</v>
      </c>
      <c r="B78" s="27" t="s">
        <v>274</v>
      </c>
      <c r="C78" s="27" t="s">
        <v>275</v>
      </c>
      <c r="D78" s="27" t="s">
        <v>276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2479</f>
        <v>2479.0</v>
      </c>
      <c r="L78" s="34" t="s">
        <v>48</v>
      </c>
      <c r="M78" s="33" t="n">
        <f>2495</f>
        <v>2495.0</v>
      </c>
      <c r="N78" s="34" t="s">
        <v>277</v>
      </c>
      <c r="O78" s="33" t="n">
        <f>2453</f>
        <v>2453.0</v>
      </c>
      <c r="P78" s="34" t="s">
        <v>113</v>
      </c>
      <c r="Q78" s="33" t="n">
        <f>2479</f>
        <v>2479.0</v>
      </c>
      <c r="R78" s="34" t="s">
        <v>50</v>
      </c>
      <c r="S78" s="35" t="n">
        <f>2474.47</f>
        <v>2474.47</v>
      </c>
      <c r="T78" s="32" t="n">
        <f>7647072</f>
        <v>7647072.0</v>
      </c>
      <c r="U78" s="32" t="n">
        <f>120802</f>
        <v>120802.0</v>
      </c>
      <c r="V78" s="32" t="n">
        <f>18905763229</f>
        <v>1.8905763229E10</v>
      </c>
      <c r="W78" s="32" t="n">
        <f>298584492</f>
        <v>2.98584492E8</v>
      </c>
      <c r="X78" s="36" t="n">
        <f>19</f>
        <v>19.0</v>
      </c>
    </row>
    <row r="79">
      <c r="A79" s="27" t="s">
        <v>42</v>
      </c>
      <c r="B79" s="27" t="s">
        <v>278</v>
      </c>
      <c r="C79" s="27" t="s">
        <v>279</v>
      </c>
      <c r="D79" s="27" t="s">
        <v>280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1552</f>
        <v>1552.0</v>
      </c>
      <c r="L79" s="34" t="s">
        <v>48</v>
      </c>
      <c r="M79" s="33" t="n">
        <f>1764</f>
        <v>1764.0</v>
      </c>
      <c r="N79" s="34" t="s">
        <v>66</v>
      </c>
      <c r="O79" s="33" t="n">
        <f>1534</f>
        <v>1534.0</v>
      </c>
      <c r="P79" s="34" t="s">
        <v>225</v>
      </c>
      <c r="Q79" s="33" t="n">
        <f>1750</f>
        <v>1750.0</v>
      </c>
      <c r="R79" s="34" t="s">
        <v>50</v>
      </c>
      <c r="S79" s="35" t="n">
        <f>1678.63</f>
        <v>1678.63</v>
      </c>
      <c r="T79" s="32" t="n">
        <f>595</f>
        <v>595.0</v>
      </c>
      <c r="U79" s="32" t="n">
        <f>1</f>
        <v>1.0</v>
      </c>
      <c r="V79" s="32" t="n">
        <f>995533</f>
        <v>995533.0</v>
      </c>
      <c r="W79" s="32" t="n">
        <f>1750</f>
        <v>1750.0</v>
      </c>
      <c r="X79" s="36" t="n">
        <f>19</f>
        <v>19.0</v>
      </c>
    </row>
    <row r="80">
      <c r="A80" s="27" t="s">
        <v>42</v>
      </c>
      <c r="B80" s="27" t="s">
        <v>281</v>
      </c>
      <c r="C80" s="27" t="s">
        <v>282</v>
      </c>
      <c r="D80" s="27" t="s">
        <v>283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1559</f>
        <v>1559.0</v>
      </c>
      <c r="L80" s="34" t="s">
        <v>48</v>
      </c>
      <c r="M80" s="33" t="n">
        <f>1769</f>
        <v>1769.0</v>
      </c>
      <c r="N80" s="34" t="s">
        <v>49</v>
      </c>
      <c r="O80" s="33" t="n">
        <f>1559</f>
        <v>1559.0</v>
      </c>
      <c r="P80" s="34" t="s">
        <v>48</v>
      </c>
      <c r="Q80" s="33" t="n">
        <f>1744</f>
        <v>1744.0</v>
      </c>
      <c r="R80" s="34" t="s">
        <v>50</v>
      </c>
      <c r="S80" s="35" t="n">
        <f>1692.95</f>
        <v>1692.95</v>
      </c>
      <c r="T80" s="32" t="n">
        <f>19570</f>
        <v>19570.0</v>
      </c>
      <c r="U80" s="32" t="str">
        <f>"－"</f>
        <v>－</v>
      </c>
      <c r="V80" s="32" t="n">
        <f>32739430</f>
        <v>3.273943E7</v>
      </c>
      <c r="W80" s="32" t="str">
        <f>"－"</f>
        <v>－</v>
      </c>
      <c r="X80" s="36" t="n">
        <f>19</f>
        <v>19.0</v>
      </c>
    </row>
    <row r="81">
      <c r="A81" s="27" t="s">
        <v>42</v>
      </c>
      <c r="B81" s="27" t="s">
        <v>284</v>
      </c>
      <c r="C81" s="27" t="s">
        <v>285</v>
      </c>
      <c r="D81" s="27" t="s">
        <v>286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26000</f>
        <v>26000.0</v>
      </c>
      <c r="L81" s="34" t="s">
        <v>218</v>
      </c>
      <c r="M81" s="33" t="n">
        <f>29670</f>
        <v>29670.0</v>
      </c>
      <c r="N81" s="34" t="s">
        <v>66</v>
      </c>
      <c r="O81" s="33" t="n">
        <f>25900</f>
        <v>25900.0</v>
      </c>
      <c r="P81" s="34" t="s">
        <v>172</v>
      </c>
      <c r="Q81" s="33" t="n">
        <f>29650</f>
        <v>29650.0</v>
      </c>
      <c r="R81" s="34" t="s">
        <v>50</v>
      </c>
      <c r="S81" s="35" t="n">
        <f>27926</f>
        <v>27926.0</v>
      </c>
      <c r="T81" s="32" t="n">
        <f>280</f>
        <v>280.0</v>
      </c>
      <c r="U81" s="32" t="str">
        <f>"－"</f>
        <v>－</v>
      </c>
      <c r="V81" s="32" t="n">
        <f>7869690</f>
        <v>7869690.0</v>
      </c>
      <c r="W81" s="32" t="str">
        <f>"－"</f>
        <v>－</v>
      </c>
      <c r="X81" s="36" t="n">
        <f>15</f>
        <v>15.0</v>
      </c>
    </row>
    <row r="82">
      <c r="A82" s="27" t="s">
        <v>42</v>
      </c>
      <c r="B82" s="27" t="s">
        <v>287</v>
      </c>
      <c r="C82" s="27" t="s">
        <v>288</v>
      </c>
      <c r="D82" s="27" t="s">
        <v>289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21490</f>
        <v>21490.0</v>
      </c>
      <c r="L82" s="34" t="s">
        <v>48</v>
      </c>
      <c r="M82" s="33" t="n">
        <f>21660</f>
        <v>21660.0</v>
      </c>
      <c r="N82" s="34" t="s">
        <v>225</v>
      </c>
      <c r="O82" s="33" t="n">
        <f>21260</f>
        <v>21260.0</v>
      </c>
      <c r="P82" s="34" t="s">
        <v>97</v>
      </c>
      <c r="Q82" s="33" t="n">
        <f>21380</f>
        <v>21380.0</v>
      </c>
      <c r="R82" s="34" t="s">
        <v>50</v>
      </c>
      <c r="S82" s="35" t="n">
        <f>21442.63</f>
        <v>21442.63</v>
      </c>
      <c r="T82" s="32" t="n">
        <f>43353</f>
        <v>43353.0</v>
      </c>
      <c r="U82" s="32" t="n">
        <f>2000</f>
        <v>2000.0</v>
      </c>
      <c r="V82" s="32" t="n">
        <f>930803700</f>
        <v>9.308037E8</v>
      </c>
      <c r="W82" s="32" t="n">
        <f>43006040</f>
        <v>4.300604E7</v>
      </c>
      <c r="X82" s="36" t="n">
        <f>19</f>
        <v>19.0</v>
      </c>
    </row>
    <row r="83">
      <c r="A83" s="27" t="s">
        <v>42</v>
      </c>
      <c r="B83" s="27" t="s">
        <v>290</v>
      </c>
      <c r="C83" s="27" t="s">
        <v>291</v>
      </c>
      <c r="D83" s="27" t="s">
        <v>292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19460</f>
        <v>19460.0</v>
      </c>
      <c r="L83" s="34" t="s">
        <v>48</v>
      </c>
      <c r="M83" s="33" t="n">
        <f>19700</f>
        <v>19700.0</v>
      </c>
      <c r="N83" s="34" t="s">
        <v>164</v>
      </c>
      <c r="O83" s="33" t="n">
        <f>19290</f>
        <v>19290.0</v>
      </c>
      <c r="P83" s="34" t="s">
        <v>113</v>
      </c>
      <c r="Q83" s="33" t="n">
        <f>19480</f>
        <v>19480.0</v>
      </c>
      <c r="R83" s="34" t="s">
        <v>50</v>
      </c>
      <c r="S83" s="35" t="n">
        <f>19451.58</f>
        <v>19451.58</v>
      </c>
      <c r="T83" s="32" t="n">
        <f>427027</f>
        <v>427027.0</v>
      </c>
      <c r="U83" s="32" t="n">
        <f>2500</f>
        <v>2500.0</v>
      </c>
      <c r="V83" s="32" t="n">
        <f>8291773040</f>
        <v>8.29177304E9</v>
      </c>
      <c r="W83" s="32" t="n">
        <f>48467700</f>
        <v>4.84677E7</v>
      </c>
      <c r="X83" s="36" t="n">
        <f>19</f>
        <v>19.0</v>
      </c>
    </row>
    <row r="84">
      <c r="A84" s="27" t="s">
        <v>42</v>
      </c>
      <c r="B84" s="27" t="s">
        <v>293</v>
      </c>
      <c r="C84" s="27" t="s">
        <v>294</v>
      </c>
      <c r="D84" s="27" t="s">
        <v>295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1696</f>
        <v>1696.0</v>
      </c>
      <c r="L84" s="34" t="s">
        <v>48</v>
      </c>
      <c r="M84" s="33" t="n">
        <f>1793</f>
        <v>1793.0</v>
      </c>
      <c r="N84" s="34" t="s">
        <v>113</v>
      </c>
      <c r="O84" s="33" t="n">
        <f>1678</f>
        <v>1678.0</v>
      </c>
      <c r="P84" s="34" t="s">
        <v>48</v>
      </c>
      <c r="Q84" s="33" t="n">
        <f>1750</f>
        <v>1750.0</v>
      </c>
      <c r="R84" s="34" t="s">
        <v>50</v>
      </c>
      <c r="S84" s="35" t="n">
        <f>1742.05</f>
        <v>1742.05</v>
      </c>
      <c r="T84" s="32" t="n">
        <f>794020</f>
        <v>794020.0</v>
      </c>
      <c r="U84" s="32" t="n">
        <f>100050</f>
        <v>100050.0</v>
      </c>
      <c r="V84" s="32" t="n">
        <f>1382768990</f>
        <v>1.38276899E9</v>
      </c>
      <c r="W84" s="32" t="n">
        <f>173649380</f>
        <v>1.7364938E8</v>
      </c>
      <c r="X84" s="36" t="n">
        <f>19</f>
        <v>19.0</v>
      </c>
    </row>
    <row r="85">
      <c r="A85" s="27" t="s">
        <v>42</v>
      </c>
      <c r="B85" s="27" t="s">
        <v>296</v>
      </c>
      <c r="C85" s="27" t="s">
        <v>297</v>
      </c>
      <c r="D85" s="27" t="s">
        <v>298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27140</f>
        <v>27140.0</v>
      </c>
      <c r="L85" s="34" t="s">
        <v>48</v>
      </c>
      <c r="M85" s="33" t="n">
        <f>30100</f>
        <v>30100.0</v>
      </c>
      <c r="N85" s="34" t="s">
        <v>66</v>
      </c>
      <c r="O85" s="33" t="n">
        <f>27100</f>
        <v>27100.0</v>
      </c>
      <c r="P85" s="34" t="s">
        <v>48</v>
      </c>
      <c r="Q85" s="33" t="n">
        <f>28790</f>
        <v>28790.0</v>
      </c>
      <c r="R85" s="34" t="s">
        <v>50</v>
      </c>
      <c r="S85" s="35" t="n">
        <f>28850.53</f>
        <v>28850.53</v>
      </c>
      <c r="T85" s="32" t="n">
        <f>44478</f>
        <v>44478.0</v>
      </c>
      <c r="U85" s="32" t="str">
        <f>"－"</f>
        <v>－</v>
      </c>
      <c r="V85" s="32" t="n">
        <f>1282717240</f>
        <v>1.28271724E9</v>
      </c>
      <c r="W85" s="32" t="str">
        <f>"－"</f>
        <v>－</v>
      </c>
      <c r="X85" s="36" t="n">
        <f>19</f>
        <v>19.0</v>
      </c>
    </row>
    <row r="86">
      <c r="A86" s="27" t="s">
        <v>42</v>
      </c>
      <c r="B86" s="27" t="s">
        <v>299</v>
      </c>
      <c r="C86" s="27" t="s">
        <v>300</v>
      </c>
      <c r="D86" s="27" t="s">
        <v>301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7850</f>
        <v>7850.0</v>
      </c>
      <c r="L86" s="34" t="s">
        <v>97</v>
      </c>
      <c r="M86" s="33" t="n">
        <f>7890</f>
        <v>7890.0</v>
      </c>
      <c r="N86" s="34" t="s">
        <v>113</v>
      </c>
      <c r="O86" s="33" t="n">
        <f>7620</f>
        <v>7620.0</v>
      </c>
      <c r="P86" s="34" t="s">
        <v>50</v>
      </c>
      <c r="Q86" s="33" t="n">
        <f>7620</f>
        <v>7620.0</v>
      </c>
      <c r="R86" s="34" t="s">
        <v>50</v>
      </c>
      <c r="S86" s="35" t="n">
        <f>7788.57</f>
        <v>7788.57</v>
      </c>
      <c r="T86" s="32" t="n">
        <f>340</f>
        <v>340.0</v>
      </c>
      <c r="U86" s="32" t="str">
        <f>"－"</f>
        <v>－</v>
      </c>
      <c r="V86" s="32" t="n">
        <f>2627600</f>
        <v>2627600.0</v>
      </c>
      <c r="W86" s="32" t="str">
        <f>"－"</f>
        <v>－</v>
      </c>
      <c r="X86" s="36" t="n">
        <f>7</f>
        <v>7.0</v>
      </c>
    </row>
    <row r="87">
      <c r="A87" s="27" t="s">
        <v>42</v>
      </c>
      <c r="B87" s="27" t="s">
        <v>302</v>
      </c>
      <c r="C87" s="27" t="s">
        <v>303</v>
      </c>
      <c r="D87" s="27" t="s">
        <v>304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13660</f>
        <v>13660.0</v>
      </c>
      <c r="L87" s="34" t="s">
        <v>48</v>
      </c>
      <c r="M87" s="33" t="n">
        <f>14710</f>
        <v>14710.0</v>
      </c>
      <c r="N87" s="34" t="s">
        <v>49</v>
      </c>
      <c r="O87" s="33" t="n">
        <f>13660</f>
        <v>13660.0</v>
      </c>
      <c r="P87" s="34" t="s">
        <v>48</v>
      </c>
      <c r="Q87" s="33" t="n">
        <f>14600</f>
        <v>14600.0</v>
      </c>
      <c r="R87" s="34" t="s">
        <v>50</v>
      </c>
      <c r="S87" s="35" t="n">
        <f>14292.11</f>
        <v>14292.11</v>
      </c>
      <c r="T87" s="32" t="n">
        <f>1259</f>
        <v>1259.0</v>
      </c>
      <c r="U87" s="32" t="str">
        <f>"－"</f>
        <v>－</v>
      </c>
      <c r="V87" s="32" t="n">
        <f>18089090</f>
        <v>1.808909E7</v>
      </c>
      <c r="W87" s="32" t="str">
        <f>"－"</f>
        <v>－</v>
      </c>
      <c r="X87" s="36" t="n">
        <f>19</f>
        <v>19.0</v>
      </c>
    </row>
    <row r="88">
      <c r="A88" s="27" t="s">
        <v>42</v>
      </c>
      <c r="B88" s="27" t="s">
        <v>305</v>
      </c>
      <c r="C88" s="27" t="s">
        <v>306</v>
      </c>
      <c r="D88" s="27" t="s">
        <v>307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13720</f>
        <v>13720.0</v>
      </c>
      <c r="L88" s="34" t="s">
        <v>48</v>
      </c>
      <c r="M88" s="33" t="n">
        <f>14870</f>
        <v>14870.0</v>
      </c>
      <c r="N88" s="34" t="s">
        <v>49</v>
      </c>
      <c r="O88" s="33" t="n">
        <f>13720</f>
        <v>13720.0</v>
      </c>
      <c r="P88" s="34" t="s">
        <v>48</v>
      </c>
      <c r="Q88" s="33" t="n">
        <f>14450</f>
        <v>14450.0</v>
      </c>
      <c r="R88" s="34" t="s">
        <v>50</v>
      </c>
      <c r="S88" s="35" t="n">
        <f>14389.47</f>
        <v>14389.47</v>
      </c>
      <c r="T88" s="32" t="n">
        <f>6971</f>
        <v>6971.0</v>
      </c>
      <c r="U88" s="32" t="n">
        <f>1</f>
        <v>1.0</v>
      </c>
      <c r="V88" s="32" t="n">
        <f>100149700</f>
        <v>1.001497E8</v>
      </c>
      <c r="W88" s="32" t="n">
        <f>14220</f>
        <v>14220.0</v>
      </c>
      <c r="X88" s="36" t="n">
        <f>19</f>
        <v>19.0</v>
      </c>
    </row>
    <row r="89">
      <c r="A89" s="27" t="s">
        <v>42</v>
      </c>
      <c r="B89" s="27" t="s">
        <v>308</v>
      </c>
      <c r="C89" s="27" t="s">
        <v>309</v>
      </c>
      <c r="D89" s="27" t="s">
        <v>310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15760</f>
        <v>15760.0</v>
      </c>
      <c r="L89" s="34" t="s">
        <v>48</v>
      </c>
      <c r="M89" s="33" t="n">
        <f>17320</f>
        <v>17320.0</v>
      </c>
      <c r="N89" s="34" t="s">
        <v>66</v>
      </c>
      <c r="O89" s="33" t="n">
        <f>15760</f>
        <v>15760.0</v>
      </c>
      <c r="P89" s="34" t="s">
        <v>48</v>
      </c>
      <c r="Q89" s="33" t="n">
        <f>16680</f>
        <v>16680.0</v>
      </c>
      <c r="R89" s="34" t="s">
        <v>50</v>
      </c>
      <c r="S89" s="35" t="n">
        <f>16708.95</f>
        <v>16708.95</v>
      </c>
      <c r="T89" s="32" t="n">
        <f>3124</f>
        <v>3124.0</v>
      </c>
      <c r="U89" s="32" t="n">
        <f>1</f>
        <v>1.0</v>
      </c>
      <c r="V89" s="32" t="n">
        <f>52449350</f>
        <v>5.244935E7</v>
      </c>
      <c r="W89" s="32" t="n">
        <f>16850</f>
        <v>16850.0</v>
      </c>
      <c r="X89" s="36" t="n">
        <f>19</f>
        <v>19.0</v>
      </c>
    </row>
    <row r="90">
      <c r="A90" s="27" t="s">
        <v>42</v>
      </c>
      <c r="B90" s="27" t="s">
        <v>311</v>
      </c>
      <c r="C90" s="27" t="s">
        <v>312</v>
      </c>
      <c r="D90" s="27" t="s">
        <v>313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9330</f>
        <v>9330.0</v>
      </c>
      <c r="L90" s="34" t="s">
        <v>48</v>
      </c>
      <c r="M90" s="33" t="n">
        <f>9900</f>
        <v>9900.0</v>
      </c>
      <c r="N90" s="34" t="s">
        <v>314</v>
      </c>
      <c r="O90" s="33" t="n">
        <f>9200</f>
        <v>9200.0</v>
      </c>
      <c r="P90" s="34" t="s">
        <v>48</v>
      </c>
      <c r="Q90" s="33" t="n">
        <f>9830</f>
        <v>9830.0</v>
      </c>
      <c r="R90" s="34" t="s">
        <v>50</v>
      </c>
      <c r="S90" s="35" t="n">
        <f>9658.42</f>
        <v>9658.42</v>
      </c>
      <c r="T90" s="32" t="n">
        <f>14110</f>
        <v>14110.0</v>
      </c>
      <c r="U90" s="32" t="str">
        <f>"－"</f>
        <v>－</v>
      </c>
      <c r="V90" s="32" t="n">
        <f>134365900</f>
        <v>1.343659E8</v>
      </c>
      <c r="W90" s="32" t="str">
        <f>"－"</f>
        <v>－</v>
      </c>
      <c r="X90" s="36" t="n">
        <f>19</f>
        <v>19.0</v>
      </c>
    </row>
    <row r="91">
      <c r="A91" s="27" t="s">
        <v>42</v>
      </c>
      <c r="B91" s="27" t="s">
        <v>315</v>
      </c>
      <c r="C91" s="27" t="s">
        <v>316</v>
      </c>
      <c r="D91" s="27" t="s">
        <v>317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2601</f>
        <v>2601.0</v>
      </c>
      <c r="L91" s="34" t="s">
        <v>48</v>
      </c>
      <c r="M91" s="33" t="n">
        <f>2689</f>
        <v>2689.0</v>
      </c>
      <c r="N91" s="34" t="s">
        <v>130</v>
      </c>
      <c r="O91" s="33" t="n">
        <f>2596</f>
        <v>2596.0</v>
      </c>
      <c r="P91" s="34" t="s">
        <v>48</v>
      </c>
      <c r="Q91" s="33" t="n">
        <f>2689</f>
        <v>2689.0</v>
      </c>
      <c r="R91" s="34" t="s">
        <v>50</v>
      </c>
      <c r="S91" s="35" t="n">
        <f>2653.89</f>
        <v>2653.89</v>
      </c>
      <c r="T91" s="32" t="n">
        <f>894419</f>
        <v>894419.0</v>
      </c>
      <c r="U91" s="32" t="n">
        <f>250368</f>
        <v>250368.0</v>
      </c>
      <c r="V91" s="32" t="n">
        <f>2379320961</f>
        <v>2.379320961E9</v>
      </c>
      <c r="W91" s="32" t="n">
        <f>668356244</f>
        <v>6.68356244E8</v>
      </c>
      <c r="X91" s="36" t="n">
        <f>19</f>
        <v>19.0</v>
      </c>
    </row>
    <row r="92">
      <c r="A92" s="27" t="s">
        <v>42</v>
      </c>
      <c r="B92" s="27" t="s">
        <v>318</v>
      </c>
      <c r="C92" s="27" t="s">
        <v>319</v>
      </c>
      <c r="D92" s="27" t="s">
        <v>320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2251</f>
        <v>2251.0</v>
      </c>
      <c r="L92" s="34" t="s">
        <v>48</v>
      </c>
      <c r="M92" s="33" t="n">
        <f>2340</f>
        <v>2340.0</v>
      </c>
      <c r="N92" s="34" t="s">
        <v>50</v>
      </c>
      <c r="O92" s="33" t="n">
        <f>2251</f>
        <v>2251.0</v>
      </c>
      <c r="P92" s="34" t="s">
        <v>48</v>
      </c>
      <c r="Q92" s="33" t="n">
        <f>2338</f>
        <v>2338.0</v>
      </c>
      <c r="R92" s="34" t="s">
        <v>50</v>
      </c>
      <c r="S92" s="35" t="n">
        <f>2320.68</f>
        <v>2320.68</v>
      </c>
      <c r="T92" s="32" t="n">
        <f>105328</f>
        <v>105328.0</v>
      </c>
      <c r="U92" s="32" t="n">
        <f>1</f>
        <v>1.0</v>
      </c>
      <c r="V92" s="32" t="n">
        <f>243156869</f>
        <v>2.43156869E8</v>
      </c>
      <c r="W92" s="32" t="n">
        <f>2321</f>
        <v>2321.0</v>
      </c>
      <c r="X92" s="36" t="n">
        <f>19</f>
        <v>19.0</v>
      </c>
    </row>
    <row r="93">
      <c r="A93" s="27" t="s">
        <v>42</v>
      </c>
      <c r="B93" s="27" t="s">
        <v>321</v>
      </c>
      <c r="C93" s="27" t="s">
        <v>322</v>
      </c>
      <c r="D93" s="27" t="s">
        <v>323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11890</f>
        <v>11890.0</v>
      </c>
      <c r="L93" s="34" t="s">
        <v>48</v>
      </c>
      <c r="M93" s="33" t="n">
        <f>13550</f>
        <v>13550.0</v>
      </c>
      <c r="N93" s="34" t="s">
        <v>50</v>
      </c>
      <c r="O93" s="33" t="n">
        <f>11850</f>
        <v>11850.0</v>
      </c>
      <c r="P93" s="34" t="s">
        <v>48</v>
      </c>
      <c r="Q93" s="33" t="n">
        <f>13260</f>
        <v>13260.0</v>
      </c>
      <c r="R93" s="34" t="s">
        <v>50</v>
      </c>
      <c r="S93" s="35" t="n">
        <f>12932.11</f>
        <v>12932.11</v>
      </c>
      <c r="T93" s="32" t="n">
        <f>3435</f>
        <v>3435.0</v>
      </c>
      <c r="U93" s="32" t="str">
        <f>"－"</f>
        <v>－</v>
      </c>
      <c r="V93" s="32" t="n">
        <f>44497660</f>
        <v>4.449766E7</v>
      </c>
      <c r="W93" s="32" t="str">
        <f>"－"</f>
        <v>－</v>
      </c>
      <c r="X93" s="36" t="n">
        <f>19</f>
        <v>19.0</v>
      </c>
    </row>
    <row r="94">
      <c r="A94" s="27" t="s">
        <v>42</v>
      </c>
      <c r="B94" s="27" t="s">
        <v>324</v>
      </c>
      <c r="C94" s="27" t="s">
        <v>325</v>
      </c>
      <c r="D94" s="27" t="s">
        <v>326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7700</f>
        <v>7700.0</v>
      </c>
      <c r="L94" s="34" t="s">
        <v>48</v>
      </c>
      <c r="M94" s="33" t="n">
        <f>7970</f>
        <v>7970.0</v>
      </c>
      <c r="N94" s="34" t="s">
        <v>172</v>
      </c>
      <c r="O94" s="33" t="n">
        <f>7630</f>
        <v>7630.0</v>
      </c>
      <c r="P94" s="34" t="s">
        <v>49</v>
      </c>
      <c r="Q94" s="33" t="n">
        <f>7790</f>
        <v>7790.0</v>
      </c>
      <c r="R94" s="34" t="s">
        <v>50</v>
      </c>
      <c r="S94" s="35" t="n">
        <f>7820</f>
        <v>7820.0</v>
      </c>
      <c r="T94" s="32" t="n">
        <f>377</f>
        <v>377.0</v>
      </c>
      <c r="U94" s="32" t="str">
        <f>"－"</f>
        <v>－</v>
      </c>
      <c r="V94" s="32" t="n">
        <f>2947760</f>
        <v>2947760.0</v>
      </c>
      <c r="W94" s="32" t="str">
        <f>"－"</f>
        <v>－</v>
      </c>
      <c r="X94" s="36" t="n">
        <f>18</f>
        <v>18.0</v>
      </c>
    </row>
    <row r="95">
      <c r="A95" s="27" t="s">
        <v>42</v>
      </c>
      <c r="B95" s="27" t="s">
        <v>327</v>
      </c>
      <c r="C95" s="27" t="s">
        <v>328</v>
      </c>
      <c r="D95" s="27" t="s">
        <v>329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6040</f>
        <v>6040.0</v>
      </c>
      <c r="L95" s="34" t="s">
        <v>48</v>
      </c>
      <c r="M95" s="33" t="n">
        <f>6260</f>
        <v>6260.0</v>
      </c>
      <c r="N95" s="34" t="s">
        <v>97</v>
      </c>
      <c r="O95" s="33" t="n">
        <f>5650</f>
        <v>5650.0</v>
      </c>
      <c r="P95" s="34" t="s">
        <v>50</v>
      </c>
      <c r="Q95" s="33" t="n">
        <f>5650</f>
        <v>5650.0</v>
      </c>
      <c r="R95" s="34" t="s">
        <v>50</v>
      </c>
      <c r="S95" s="35" t="n">
        <f>6010</f>
        <v>6010.0</v>
      </c>
      <c r="T95" s="32" t="n">
        <f>2916644</f>
        <v>2916644.0</v>
      </c>
      <c r="U95" s="32" t="n">
        <f>48810</f>
        <v>48810.0</v>
      </c>
      <c r="V95" s="32" t="n">
        <f>17499132396</f>
        <v>1.7499132396E10</v>
      </c>
      <c r="W95" s="32" t="n">
        <f>279057566</f>
        <v>2.79057566E8</v>
      </c>
      <c r="X95" s="36" t="n">
        <f>19</f>
        <v>19.0</v>
      </c>
    </row>
    <row r="96">
      <c r="A96" s="27" t="s">
        <v>42</v>
      </c>
      <c r="B96" s="27" t="s">
        <v>330</v>
      </c>
      <c r="C96" s="27" t="s">
        <v>331</v>
      </c>
      <c r="D96" s="27" t="s">
        <v>332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2681</f>
        <v>2681.0</v>
      </c>
      <c r="L96" s="34" t="s">
        <v>48</v>
      </c>
      <c r="M96" s="33" t="n">
        <f>3090</f>
        <v>3090.0</v>
      </c>
      <c r="N96" s="34" t="s">
        <v>90</v>
      </c>
      <c r="O96" s="33" t="n">
        <f>2669</f>
        <v>2669.0</v>
      </c>
      <c r="P96" s="34" t="s">
        <v>48</v>
      </c>
      <c r="Q96" s="33" t="n">
        <f>2993</f>
        <v>2993.0</v>
      </c>
      <c r="R96" s="34" t="s">
        <v>50</v>
      </c>
      <c r="S96" s="35" t="n">
        <f>2895</f>
        <v>2895.0</v>
      </c>
      <c r="T96" s="32" t="n">
        <f>1426375</f>
        <v>1426375.0</v>
      </c>
      <c r="U96" s="32" t="str">
        <f>"－"</f>
        <v>－</v>
      </c>
      <c r="V96" s="32" t="n">
        <f>4173613916</f>
        <v>4.173613916E9</v>
      </c>
      <c r="W96" s="32" t="str">
        <f>"－"</f>
        <v>－</v>
      </c>
      <c r="X96" s="36" t="n">
        <f>19</f>
        <v>19.0</v>
      </c>
    </row>
    <row r="97">
      <c r="A97" s="27" t="s">
        <v>42</v>
      </c>
      <c r="B97" s="27" t="s">
        <v>333</v>
      </c>
      <c r="C97" s="27" t="s">
        <v>334</v>
      </c>
      <c r="D97" s="27" t="s">
        <v>335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7300</f>
        <v>7300.0</v>
      </c>
      <c r="L97" s="34" t="s">
        <v>48</v>
      </c>
      <c r="M97" s="33" t="n">
        <f>8110</f>
        <v>8110.0</v>
      </c>
      <c r="N97" s="34" t="s">
        <v>97</v>
      </c>
      <c r="O97" s="33" t="n">
        <f>6740</f>
        <v>6740.0</v>
      </c>
      <c r="P97" s="34" t="s">
        <v>50</v>
      </c>
      <c r="Q97" s="33" t="n">
        <f>6770</f>
        <v>6770.0</v>
      </c>
      <c r="R97" s="34" t="s">
        <v>50</v>
      </c>
      <c r="S97" s="35" t="n">
        <f>7525.26</f>
        <v>7525.26</v>
      </c>
      <c r="T97" s="32" t="n">
        <f>395647</f>
        <v>395647.0</v>
      </c>
      <c r="U97" s="32" t="n">
        <f>3</f>
        <v>3.0</v>
      </c>
      <c r="V97" s="32" t="n">
        <f>2953648420</f>
        <v>2.95364842E9</v>
      </c>
      <c r="W97" s="32" t="n">
        <f>22520</f>
        <v>22520.0</v>
      </c>
      <c r="X97" s="36" t="n">
        <f>19</f>
        <v>19.0</v>
      </c>
    </row>
    <row r="98">
      <c r="A98" s="27" t="s">
        <v>42</v>
      </c>
      <c r="B98" s="27" t="s">
        <v>336</v>
      </c>
      <c r="C98" s="27" t="s">
        <v>337</v>
      </c>
      <c r="D98" s="27" t="s">
        <v>338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66200</f>
        <v>66200.0</v>
      </c>
      <c r="L98" s="34" t="s">
        <v>48</v>
      </c>
      <c r="M98" s="33" t="n">
        <f>73000</f>
        <v>73000.0</v>
      </c>
      <c r="N98" s="34" t="s">
        <v>172</v>
      </c>
      <c r="O98" s="33" t="n">
        <f>66200</f>
        <v>66200.0</v>
      </c>
      <c r="P98" s="34" t="s">
        <v>48</v>
      </c>
      <c r="Q98" s="33" t="n">
        <f>70100</f>
        <v>70100.0</v>
      </c>
      <c r="R98" s="34" t="s">
        <v>50</v>
      </c>
      <c r="S98" s="35" t="n">
        <f>69952.63</f>
        <v>69952.63</v>
      </c>
      <c r="T98" s="32" t="n">
        <f>1982</f>
        <v>1982.0</v>
      </c>
      <c r="U98" s="32" t="str">
        <f>"－"</f>
        <v>－</v>
      </c>
      <c r="V98" s="32" t="n">
        <f>138897500</f>
        <v>1.388975E8</v>
      </c>
      <c r="W98" s="32" t="str">
        <f>"－"</f>
        <v>－</v>
      </c>
      <c r="X98" s="36" t="n">
        <f>19</f>
        <v>19.0</v>
      </c>
    </row>
    <row r="99">
      <c r="A99" s="27" t="s">
        <v>42</v>
      </c>
      <c r="B99" s="27" t="s">
        <v>339</v>
      </c>
      <c r="C99" s="27" t="s">
        <v>340</v>
      </c>
      <c r="D99" s="27" t="s">
        <v>341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11680</f>
        <v>11680.0</v>
      </c>
      <c r="L99" s="34" t="s">
        <v>48</v>
      </c>
      <c r="M99" s="33" t="n">
        <f>13010</f>
        <v>13010.0</v>
      </c>
      <c r="N99" s="34" t="s">
        <v>97</v>
      </c>
      <c r="O99" s="33" t="n">
        <f>11660</f>
        <v>11660.0</v>
      </c>
      <c r="P99" s="34" t="s">
        <v>48</v>
      </c>
      <c r="Q99" s="33" t="n">
        <f>12860</f>
        <v>12860.0</v>
      </c>
      <c r="R99" s="34" t="s">
        <v>50</v>
      </c>
      <c r="S99" s="35" t="n">
        <f>12608.95</f>
        <v>12608.95</v>
      </c>
      <c r="T99" s="32" t="n">
        <f>2391939</f>
        <v>2391939.0</v>
      </c>
      <c r="U99" s="32" t="n">
        <f>25951</f>
        <v>25951.0</v>
      </c>
      <c r="V99" s="32" t="n">
        <f>30004286583</f>
        <v>3.0004286583E10</v>
      </c>
      <c r="W99" s="32" t="n">
        <f>331791893</f>
        <v>3.31791893E8</v>
      </c>
      <c r="X99" s="36" t="n">
        <f>19</f>
        <v>19.0</v>
      </c>
    </row>
    <row r="100">
      <c r="A100" s="27" t="s">
        <v>42</v>
      </c>
      <c r="B100" s="27" t="s">
        <v>342</v>
      </c>
      <c r="C100" s="27" t="s">
        <v>343</v>
      </c>
      <c r="D100" s="27" t="s">
        <v>344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26870</f>
        <v>26870.0</v>
      </c>
      <c r="L100" s="34" t="s">
        <v>48</v>
      </c>
      <c r="M100" s="33" t="n">
        <f>30750</f>
        <v>30750.0</v>
      </c>
      <c r="N100" s="34" t="s">
        <v>66</v>
      </c>
      <c r="O100" s="33" t="n">
        <f>26830</f>
        <v>26830.0</v>
      </c>
      <c r="P100" s="34" t="s">
        <v>48</v>
      </c>
      <c r="Q100" s="33" t="n">
        <f>30000</f>
        <v>30000.0</v>
      </c>
      <c r="R100" s="34" t="s">
        <v>50</v>
      </c>
      <c r="S100" s="35" t="n">
        <f>29549.47</f>
        <v>29549.47</v>
      </c>
      <c r="T100" s="32" t="n">
        <f>518752</f>
        <v>518752.0</v>
      </c>
      <c r="U100" s="32" t="n">
        <f>88313</f>
        <v>88313.0</v>
      </c>
      <c r="V100" s="32" t="n">
        <f>15141374834</f>
        <v>1.5141374834E10</v>
      </c>
      <c r="W100" s="32" t="n">
        <f>2548834414</f>
        <v>2.548834414E9</v>
      </c>
      <c r="X100" s="36" t="n">
        <f>19</f>
        <v>19.0</v>
      </c>
    </row>
    <row r="101">
      <c r="A101" s="27" t="s">
        <v>42</v>
      </c>
      <c r="B101" s="27" t="s">
        <v>345</v>
      </c>
      <c r="C101" s="27" t="s">
        <v>346</v>
      </c>
      <c r="D101" s="27" t="s">
        <v>347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3720</f>
        <v>3720.0</v>
      </c>
      <c r="L101" s="34" t="s">
        <v>48</v>
      </c>
      <c r="M101" s="33" t="n">
        <f>4170</f>
        <v>4170.0</v>
      </c>
      <c r="N101" s="34" t="s">
        <v>66</v>
      </c>
      <c r="O101" s="33" t="n">
        <f>3715</f>
        <v>3715.0</v>
      </c>
      <c r="P101" s="34" t="s">
        <v>48</v>
      </c>
      <c r="Q101" s="33" t="n">
        <f>4100</f>
        <v>4100.0</v>
      </c>
      <c r="R101" s="34" t="s">
        <v>50</v>
      </c>
      <c r="S101" s="35" t="n">
        <f>4039.74</f>
        <v>4039.74</v>
      </c>
      <c r="T101" s="32" t="n">
        <f>2325060</f>
        <v>2325060.0</v>
      </c>
      <c r="U101" s="32" t="n">
        <f>141630</f>
        <v>141630.0</v>
      </c>
      <c r="V101" s="32" t="n">
        <f>9334380050</f>
        <v>9.33438005E9</v>
      </c>
      <c r="W101" s="32" t="n">
        <f>578545900</f>
        <v>5.785459E8</v>
      </c>
      <c r="X101" s="36" t="n">
        <f>19</f>
        <v>19.0</v>
      </c>
    </row>
    <row r="102">
      <c r="A102" s="27" t="s">
        <v>42</v>
      </c>
      <c r="B102" s="27" t="s">
        <v>348</v>
      </c>
      <c r="C102" s="27" t="s">
        <v>349</v>
      </c>
      <c r="D102" s="27" t="s">
        <v>350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2448</f>
        <v>2448.0</v>
      </c>
      <c r="L102" s="34" t="s">
        <v>48</v>
      </c>
      <c r="M102" s="33" t="n">
        <f>2757</f>
        <v>2757.0</v>
      </c>
      <c r="N102" s="34" t="s">
        <v>66</v>
      </c>
      <c r="O102" s="33" t="n">
        <f>2443</f>
        <v>2443.0</v>
      </c>
      <c r="P102" s="34" t="s">
        <v>48</v>
      </c>
      <c r="Q102" s="33" t="n">
        <f>2724</f>
        <v>2724.0</v>
      </c>
      <c r="R102" s="34" t="s">
        <v>50</v>
      </c>
      <c r="S102" s="35" t="n">
        <f>2666.21</f>
        <v>2666.21</v>
      </c>
      <c r="T102" s="32" t="n">
        <f>183690</f>
        <v>183690.0</v>
      </c>
      <c r="U102" s="32" t="n">
        <f>18110</f>
        <v>18110.0</v>
      </c>
      <c r="V102" s="32" t="n">
        <f>492080120</f>
        <v>4.9208012E8</v>
      </c>
      <c r="W102" s="32" t="n">
        <f>49937940</f>
        <v>4.993794E7</v>
      </c>
      <c r="X102" s="36" t="n">
        <f>19</f>
        <v>19.0</v>
      </c>
    </row>
    <row r="103">
      <c r="A103" s="27" t="s">
        <v>42</v>
      </c>
      <c r="B103" s="27" t="s">
        <v>351</v>
      </c>
      <c r="C103" s="27" t="s">
        <v>352</v>
      </c>
      <c r="D103" s="27" t="s">
        <v>353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4610</f>
        <v>4610.0</v>
      </c>
      <c r="L103" s="34" t="s">
        <v>48</v>
      </c>
      <c r="M103" s="33" t="n">
        <f>4985</f>
        <v>4985.0</v>
      </c>
      <c r="N103" s="34" t="s">
        <v>50</v>
      </c>
      <c r="O103" s="33" t="n">
        <f>4605</f>
        <v>4605.0</v>
      </c>
      <c r="P103" s="34" t="s">
        <v>48</v>
      </c>
      <c r="Q103" s="33" t="n">
        <f>4970</f>
        <v>4970.0</v>
      </c>
      <c r="R103" s="34" t="s">
        <v>50</v>
      </c>
      <c r="S103" s="35" t="n">
        <f>4792.37</f>
        <v>4792.37</v>
      </c>
      <c r="T103" s="32" t="n">
        <f>22270</f>
        <v>22270.0</v>
      </c>
      <c r="U103" s="32" t="n">
        <f>10</f>
        <v>10.0</v>
      </c>
      <c r="V103" s="32" t="n">
        <f>107372000</f>
        <v>1.07372E8</v>
      </c>
      <c r="W103" s="32" t="n">
        <f>47850</f>
        <v>47850.0</v>
      </c>
      <c r="X103" s="36" t="n">
        <f>19</f>
        <v>19.0</v>
      </c>
    </row>
    <row r="104">
      <c r="A104" s="27" t="s">
        <v>42</v>
      </c>
      <c r="B104" s="27" t="s">
        <v>354</v>
      </c>
      <c r="C104" s="27" t="s">
        <v>355</v>
      </c>
      <c r="D104" s="27" t="s">
        <v>356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9030</f>
        <v>9030.0</v>
      </c>
      <c r="L104" s="34" t="s">
        <v>48</v>
      </c>
      <c r="M104" s="33" t="n">
        <f>9060</f>
        <v>9060.0</v>
      </c>
      <c r="N104" s="34" t="s">
        <v>48</v>
      </c>
      <c r="O104" s="33" t="n">
        <f>5800</f>
        <v>5800.0</v>
      </c>
      <c r="P104" s="34" t="s">
        <v>50</v>
      </c>
      <c r="Q104" s="33" t="n">
        <f>5950</f>
        <v>5950.0</v>
      </c>
      <c r="R104" s="34" t="s">
        <v>50</v>
      </c>
      <c r="S104" s="35" t="n">
        <f>6637.89</f>
        <v>6637.89</v>
      </c>
      <c r="T104" s="32" t="n">
        <f>8784305</f>
        <v>8784305.0</v>
      </c>
      <c r="U104" s="32" t="n">
        <f>207216</f>
        <v>207216.0</v>
      </c>
      <c r="V104" s="32" t="n">
        <f>62361258685</f>
        <v>6.2361258685E10</v>
      </c>
      <c r="W104" s="32" t="n">
        <f>1809900805</f>
        <v>1.809900805E9</v>
      </c>
      <c r="X104" s="36" t="n">
        <f>19</f>
        <v>19.0</v>
      </c>
    </row>
    <row r="105">
      <c r="A105" s="27" t="s">
        <v>42</v>
      </c>
      <c r="B105" s="27" t="s">
        <v>357</v>
      </c>
      <c r="C105" s="27" t="s">
        <v>358</v>
      </c>
      <c r="D105" s="27" t="s">
        <v>359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2151</f>
        <v>2151.0</v>
      </c>
      <c r="L105" s="34" t="s">
        <v>48</v>
      </c>
      <c r="M105" s="33" t="n">
        <f>2418</f>
        <v>2418.0</v>
      </c>
      <c r="N105" s="34" t="s">
        <v>66</v>
      </c>
      <c r="O105" s="33" t="n">
        <f>2139</f>
        <v>2139.0</v>
      </c>
      <c r="P105" s="34" t="s">
        <v>48</v>
      </c>
      <c r="Q105" s="33" t="n">
        <f>2380</f>
        <v>2380.0</v>
      </c>
      <c r="R105" s="34" t="s">
        <v>50</v>
      </c>
      <c r="S105" s="35" t="n">
        <f>2331.47</f>
        <v>2331.47</v>
      </c>
      <c r="T105" s="32" t="n">
        <f>85330</f>
        <v>85330.0</v>
      </c>
      <c r="U105" s="32" t="n">
        <f>20</f>
        <v>20.0</v>
      </c>
      <c r="V105" s="32" t="n">
        <f>199877910</f>
        <v>1.9987791E8</v>
      </c>
      <c r="W105" s="32" t="n">
        <f>47090</f>
        <v>47090.0</v>
      </c>
      <c r="X105" s="36" t="n">
        <f>19</f>
        <v>19.0</v>
      </c>
    </row>
    <row r="106">
      <c r="A106" s="27" t="s">
        <v>42</v>
      </c>
      <c r="B106" s="27" t="s">
        <v>360</v>
      </c>
      <c r="C106" s="27" t="s">
        <v>361</v>
      </c>
      <c r="D106" s="27" t="s">
        <v>362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1289</f>
        <v>1289.0</v>
      </c>
      <c r="L106" s="34" t="s">
        <v>48</v>
      </c>
      <c r="M106" s="33" t="n">
        <f>1500</f>
        <v>1500.0</v>
      </c>
      <c r="N106" s="34" t="s">
        <v>66</v>
      </c>
      <c r="O106" s="33" t="n">
        <f>1288</f>
        <v>1288.0</v>
      </c>
      <c r="P106" s="34" t="s">
        <v>48</v>
      </c>
      <c r="Q106" s="33" t="n">
        <f>1485</f>
        <v>1485.0</v>
      </c>
      <c r="R106" s="34" t="s">
        <v>50</v>
      </c>
      <c r="S106" s="35" t="n">
        <f>1438.53</f>
        <v>1438.53</v>
      </c>
      <c r="T106" s="32" t="n">
        <f>226230</f>
        <v>226230.0</v>
      </c>
      <c r="U106" s="32" t="n">
        <f>40</f>
        <v>40.0</v>
      </c>
      <c r="V106" s="32" t="n">
        <f>325042080</f>
        <v>3.2504208E8</v>
      </c>
      <c r="W106" s="32" t="n">
        <f>58060</f>
        <v>58060.0</v>
      </c>
      <c r="X106" s="36" t="n">
        <f>19</f>
        <v>19.0</v>
      </c>
    </row>
    <row r="107">
      <c r="A107" s="27" t="s">
        <v>42</v>
      </c>
      <c r="B107" s="27" t="s">
        <v>363</v>
      </c>
      <c r="C107" s="27" t="s">
        <v>364</v>
      </c>
      <c r="D107" s="27" t="s">
        <v>365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34050</f>
        <v>34050.0</v>
      </c>
      <c r="L107" s="34" t="s">
        <v>48</v>
      </c>
      <c r="M107" s="33" t="n">
        <f>38200</f>
        <v>38200.0</v>
      </c>
      <c r="N107" s="34" t="s">
        <v>66</v>
      </c>
      <c r="O107" s="33" t="n">
        <f>34000</f>
        <v>34000.0</v>
      </c>
      <c r="P107" s="34" t="s">
        <v>48</v>
      </c>
      <c r="Q107" s="33" t="n">
        <f>37550</f>
        <v>37550.0</v>
      </c>
      <c r="R107" s="34" t="s">
        <v>50</v>
      </c>
      <c r="S107" s="35" t="n">
        <f>36992.11</f>
        <v>36992.11</v>
      </c>
      <c r="T107" s="32" t="n">
        <f>240069</f>
        <v>240069.0</v>
      </c>
      <c r="U107" s="32" t="n">
        <f>28000</f>
        <v>28000.0</v>
      </c>
      <c r="V107" s="32" t="n">
        <f>8812214150</f>
        <v>8.81221415E9</v>
      </c>
      <c r="W107" s="32" t="n">
        <f>1019676000</f>
        <v>1.019676E9</v>
      </c>
      <c r="X107" s="36" t="n">
        <f>19</f>
        <v>19.0</v>
      </c>
    </row>
    <row r="108">
      <c r="A108" s="27" t="s">
        <v>42</v>
      </c>
      <c r="B108" s="27" t="s">
        <v>366</v>
      </c>
      <c r="C108" s="27" t="s">
        <v>367</v>
      </c>
      <c r="D108" s="27" t="s">
        <v>368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2634</f>
        <v>2634.0</v>
      </c>
      <c r="L108" s="34" t="s">
        <v>48</v>
      </c>
      <c r="M108" s="33" t="n">
        <f>2900</f>
        <v>2900.0</v>
      </c>
      <c r="N108" s="34" t="s">
        <v>113</v>
      </c>
      <c r="O108" s="33" t="n">
        <f>2616</f>
        <v>2616.0</v>
      </c>
      <c r="P108" s="34" t="s">
        <v>277</v>
      </c>
      <c r="Q108" s="33" t="n">
        <f>2830</f>
        <v>2830.0</v>
      </c>
      <c r="R108" s="34" t="s">
        <v>50</v>
      </c>
      <c r="S108" s="35" t="n">
        <f>2767.53</f>
        <v>2767.53</v>
      </c>
      <c r="T108" s="32" t="n">
        <f>21677</f>
        <v>21677.0</v>
      </c>
      <c r="U108" s="32" t="n">
        <f>3</f>
        <v>3.0</v>
      </c>
      <c r="V108" s="32" t="n">
        <f>59348325</f>
        <v>5.9348325E7</v>
      </c>
      <c r="W108" s="32" t="n">
        <f>8356</f>
        <v>8356.0</v>
      </c>
      <c r="X108" s="36" t="n">
        <f>19</f>
        <v>19.0</v>
      </c>
    </row>
    <row r="109">
      <c r="A109" s="27" t="s">
        <v>42</v>
      </c>
      <c r="B109" s="27" t="s">
        <v>369</v>
      </c>
      <c r="C109" s="27" t="s">
        <v>370</v>
      </c>
      <c r="D109" s="27" t="s">
        <v>371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3645</f>
        <v>3645.0</v>
      </c>
      <c r="L109" s="34" t="s">
        <v>48</v>
      </c>
      <c r="M109" s="33" t="n">
        <f>4030</f>
        <v>4030.0</v>
      </c>
      <c r="N109" s="34" t="s">
        <v>49</v>
      </c>
      <c r="O109" s="33" t="n">
        <f>3595</f>
        <v>3595.0</v>
      </c>
      <c r="P109" s="34" t="s">
        <v>48</v>
      </c>
      <c r="Q109" s="33" t="n">
        <f>4020</f>
        <v>4020.0</v>
      </c>
      <c r="R109" s="34" t="s">
        <v>50</v>
      </c>
      <c r="S109" s="35" t="n">
        <f>3874.74</f>
        <v>3874.74</v>
      </c>
      <c r="T109" s="32" t="n">
        <f>4768</f>
        <v>4768.0</v>
      </c>
      <c r="U109" s="32" t="n">
        <f>2</f>
        <v>2.0</v>
      </c>
      <c r="V109" s="32" t="n">
        <f>18576405</f>
        <v>1.8576405E7</v>
      </c>
      <c r="W109" s="32" t="n">
        <f>7560</f>
        <v>7560.0</v>
      </c>
      <c r="X109" s="36" t="n">
        <f>19</f>
        <v>19.0</v>
      </c>
    </row>
    <row r="110">
      <c r="A110" s="27" t="s">
        <v>42</v>
      </c>
      <c r="B110" s="27" t="s">
        <v>372</v>
      </c>
      <c r="C110" s="27" t="s">
        <v>373</v>
      </c>
      <c r="D110" s="27" t="s">
        <v>374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3305</f>
        <v>3305.0</v>
      </c>
      <c r="L110" s="34" t="s">
        <v>48</v>
      </c>
      <c r="M110" s="33" t="n">
        <f>3815</f>
        <v>3815.0</v>
      </c>
      <c r="N110" s="34" t="s">
        <v>97</v>
      </c>
      <c r="O110" s="33" t="n">
        <f>3235</f>
        <v>3235.0</v>
      </c>
      <c r="P110" s="34" t="s">
        <v>48</v>
      </c>
      <c r="Q110" s="33" t="n">
        <f>3690</f>
        <v>3690.0</v>
      </c>
      <c r="R110" s="34" t="s">
        <v>50</v>
      </c>
      <c r="S110" s="35" t="n">
        <f>3565.79</f>
        <v>3565.79</v>
      </c>
      <c r="T110" s="32" t="n">
        <f>715948</f>
        <v>715948.0</v>
      </c>
      <c r="U110" s="32" t="n">
        <f>6</f>
        <v>6.0</v>
      </c>
      <c r="V110" s="32" t="n">
        <f>2545476540</f>
        <v>2.54547654E9</v>
      </c>
      <c r="W110" s="32" t="n">
        <f>21615</f>
        <v>21615.0</v>
      </c>
      <c r="X110" s="36" t="n">
        <f>19</f>
        <v>19.0</v>
      </c>
    </row>
    <row r="111">
      <c r="A111" s="27" t="s">
        <v>42</v>
      </c>
      <c r="B111" s="27" t="s">
        <v>375</v>
      </c>
      <c r="C111" s="27" t="s">
        <v>376</v>
      </c>
      <c r="D111" s="27" t="s">
        <v>377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42900</f>
        <v>42900.0</v>
      </c>
      <c r="L111" s="34" t="s">
        <v>48</v>
      </c>
      <c r="M111" s="33" t="n">
        <f>44350</f>
        <v>44350.0</v>
      </c>
      <c r="N111" s="34" t="s">
        <v>172</v>
      </c>
      <c r="O111" s="33" t="n">
        <f>42800</f>
        <v>42800.0</v>
      </c>
      <c r="P111" s="34" t="s">
        <v>48</v>
      </c>
      <c r="Q111" s="33" t="n">
        <f>44050</f>
        <v>44050.0</v>
      </c>
      <c r="R111" s="34" t="s">
        <v>50</v>
      </c>
      <c r="S111" s="35" t="n">
        <f>43850</f>
        <v>43850.0</v>
      </c>
      <c r="T111" s="32" t="n">
        <f>13638</f>
        <v>13638.0</v>
      </c>
      <c r="U111" s="32" t="n">
        <f>3</f>
        <v>3.0</v>
      </c>
      <c r="V111" s="32" t="n">
        <f>597419450</f>
        <v>5.9741945E8</v>
      </c>
      <c r="W111" s="32" t="n">
        <f>132150</f>
        <v>132150.0</v>
      </c>
      <c r="X111" s="36" t="n">
        <f>19</f>
        <v>19.0</v>
      </c>
    </row>
    <row r="112">
      <c r="A112" s="27" t="s">
        <v>42</v>
      </c>
      <c r="B112" s="27" t="s">
        <v>378</v>
      </c>
      <c r="C112" s="27" t="s">
        <v>379</v>
      </c>
      <c r="D112" s="27" t="s">
        <v>380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1157</f>
        <v>1157.0</v>
      </c>
      <c r="L112" s="34" t="s">
        <v>97</v>
      </c>
      <c r="M112" s="33" t="n">
        <f>1243</f>
        <v>1243.0</v>
      </c>
      <c r="N112" s="34" t="s">
        <v>66</v>
      </c>
      <c r="O112" s="33" t="n">
        <f>1132</f>
        <v>1132.0</v>
      </c>
      <c r="P112" s="34" t="s">
        <v>130</v>
      </c>
      <c r="Q112" s="33" t="n">
        <f>1240</f>
        <v>1240.0</v>
      </c>
      <c r="R112" s="34" t="s">
        <v>66</v>
      </c>
      <c r="S112" s="35" t="n">
        <f>1178.5</f>
        <v>1178.5</v>
      </c>
      <c r="T112" s="32" t="n">
        <f>170</f>
        <v>170.0</v>
      </c>
      <c r="U112" s="32" t="str">
        <f>"－"</f>
        <v>－</v>
      </c>
      <c r="V112" s="32" t="n">
        <f>203720</f>
        <v>203720.0</v>
      </c>
      <c r="W112" s="32" t="str">
        <f>"－"</f>
        <v>－</v>
      </c>
      <c r="X112" s="36" t="n">
        <f>4</f>
        <v>4.0</v>
      </c>
    </row>
    <row r="113">
      <c r="A113" s="27" t="s">
        <v>42</v>
      </c>
      <c r="B113" s="27" t="s">
        <v>381</v>
      </c>
      <c r="C113" s="27" t="s">
        <v>382</v>
      </c>
      <c r="D113" s="27" t="s">
        <v>383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15990</f>
        <v>15990.0</v>
      </c>
      <c r="L113" s="34" t="s">
        <v>48</v>
      </c>
      <c r="M113" s="33" t="n">
        <f>20210</f>
        <v>20210.0</v>
      </c>
      <c r="N113" s="34" t="s">
        <v>49</v>
      </c>
      <c r="O113" s="33" t="n">
        <f>15960</f>
        <v>15960.0</v>
      </c>
      <c r="P113" s="34" t="s">
        <v>48</v>
      </c>
      <c r="Q113" s="33" t="n">
        <f>19270</f>
        <v>19270.0</v>
      </c>
      <c r="R113" s="34" t="s">
        <v>50</v>
      </c>
      <c r="S113" s="35" t="n">
        <f>18498.95</f>
        <v>18498.95</v>
      </c>
      <c r="T113" s="32" t="n">
        <f>3179460</f>
        <v>3179460.0</v>
      </c>
      <c r="U113" s="32" t="n">
        <f>6310</f>
        <v>6310.0</v>
      </c>
      <c r="V113" s="32" t="n">
        <f>58349932688</f>
        <v>5.8349932688E10</v>
      </c>
      <c r="W113" s="32" t="n">
        <f>120750088</f>
        <v>1.20750088E8</v>
      </c>
      <c r="X113" s="36" t="n">
        <f>19</f>
        <v>19.0</v>
      </c>
    </row>
    <row r="114">
      <c r="A114" s="27" t="s">
        <v>42</v>
      </c>
      <c r="B114" s="27" t="s">
        <v>384</v>
      </c>
      <c r="C114" s="27" t="s">
        <v>385</v>
      </c>
      <c r="D114" s="27" t="s">
        <v>386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2825</f>
        <v>2825.0</v>
      </c>
      <c r="L114" s="34" t="s">
        <v>48</v>
      </c>
      <c r="M114" s="33" t="n">
        <f>2825</f>
        <v>2825.0</v>
      </c>
      <c r="N114" s="34" t="s">
        <v>48</v>
      </c>
      <c r="O114" s="33" t="n">
        <f>2499</f>
        <v>2499.0</v>
      </c>
      <c r="P114" s="34" t="s">
        <v>49</v>
      </c>
      <c r="Q114" s="33" t="n">
        <f>2558</f>
        <v>2558.0</v>
      </c>
      <c r="R114" s="34" t="s">
        <v>50</v>
      </c>
      <c r="S114" s="35" t="n">
        <f>2620.53</f>
        <v>2620.53</v>
      </c>
      <c r="T114" s="32" t="n">
        <f>893390</f>
        <v>893390.0</v>
      </c>
      <c r="U114" s="32" t="n">
        <f>7660</f>
        <v>7660.0</v>
      </c>
      <c r="V114" s="32" t="n">
        <f>2336866297</f>
        <v>2.336866297E9</v>
      </c>
      <c r="W114" s="32" t="n">
        <f>19917667</f>
        <v>1.9917667E7</v>
      </c>
      <c r="X114" s="36" t="n">
        <f>19</f>
        <v>19.0</v>
      </c>
    </row>
    <row r="115">
      <c r="A115" s="27" t="s">
        <v>42</v>
      </c>
      <c r="B115" s="27" t="s">
        <v>387</v>
      </c>
      <c r="C115" s="27" t="s">
        <v>388</v>
      </c>
      <c r="D115" s="27" t="s">
        <v>389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20480</f>
        <v>20480.0</v>
      </c>
      <c r="L115" s="34" t="s">
        <v>48</v>
      </c>
      <c r="M115" s="33" t="n">
        <f>27640</f>
        <v>27640.0</v>
      </c>
      <c r="N115" s="34" t="s">
        <v>50</v>
      </c>
      <c r="O115" s="33" t="n">
        <f>20480</f>
        <v>20480.0</v>
      </c>
      <c r="P115" s="34" t="s">
        <v>48</v>
      </c>
      <c r="Q115" s="33" t="n">
        <f>26830</f>
        <v>26830.0</v>
      </c>
      <c r="R115" s="34" t="s">
        <v>50</v>
      </c>
      <c r="S115" s="35" t="n">
        <f>24755.79</f>
        <v>24755.79</v>
      </c>
      <c r="T115" s="32" t="n">
        <f>138758160</f>
        <v>1.3875816E8</v>
      </c>
      <c r="U115" s="32" t="n">
        <f>530524</f>
        <v>530524.0</v>
      </c>
      <c r="V115" s="32" t="n">
        <f>3396226295720</f>
        <v>3.39622629572E12</v>
      </c>
      <c r="W115" s="32" t="n">
        <f>11836047490</f>
        <v>1.183604749E10</v>
      </c>
      <c r="X115" s="36" t="n">
        <f>19</f>
        <v>19.0</v>
      </c>
    </row>
    <row r="116">
      <c r="A116" s="27" t="s">
        <v>42</v>
      </c>
      <c r="B116" s="27" t="s">
        <v>390</v>
      </c>
      <c r="C116" s="27" t="s">
        <v>391</v>
      </c>
      <c r="D116" s="27" t="s">
        <v>392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1314</f>
        <v>1314.0</v>
      </c>
      <c r="L116" s="34" t="s">
        <v>48</v>
      </c>
      <c r="M116" s="33" t="n">
        <f>1314</f>
        <v>1314.0</v>
      </c>
      <c r="N116" s="34" t="s">
        <v>48</v>
      </c>
      <c r="O116" s="33" t="n">
        <f>1124</f>
        <v>1124.0</v>
      </c>
      <c r="P116" s="34" t="s">
        <v>50</v>
      </c>
      <c r="Q116" s="33" t="n">
        <f>1141</f>
        <v>1141.0</v>
      </c>
      <c r="R116" s="34" t="s">
        <v>50</v>
      </c>
      <c r="S116" s="35" t="n">
        <f>1192.95</f>
        <v>1192.95</v>
      </c>
      <c r="T116" s="32" t="n">
        <f>22625148</f>
        <v>2.2625148E7</v>
      </c>
      <c r="U116" s="32" t="n">
        <f>2260779</f>
        <v>2260779.0</v>
      </c>
      <c r="V116" s="32" t="n">
        <f>27114604588</f>
        <v>2.7114604588E10</v>
      </c>
      <c r="W116" s="32" t="n">
        <f>2697828115</f>
        <v>2.697828115E9</v>
      </c>
      <c r="X116" s="36" t="n">
        <f>19</f>
        <v>19.0</v>
      </c>
    </row>
    <row r="117">
      <c r="A117" s="27" t="s">
        <v>42</v>
      </c>
      <c r="B117" s="27" t="s">
        <v>393</v>
      </c>
      <c r="C117" s="27" t="s">
        <v>394</v>
      </c>
      <c r="D117" s="27" t="s">
        <v>395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9230</f>
        <v>9230.0</v>
      </c>
      <c r="L117" s="34" t="s">
        <v>48</v>
      </c>
      <c r="M117" s="33" t="n">
        <f>11090</f>
        <v>11090.0</v>
      </c>
      <c r="N117" s="34" t="s">
        <v>50</v>
      </c>
      <c r="O117" s="33" t="n">
        <f>9180</f>
        <v>9180.0</v>
      </c>
      <c r="P117" s="34" t="s">
        <v>48</v>
      </c>
      <c r="Q117" s="33" t="n">
        <f>10750</f>
        <v>10750.0</v>
      </c>
      <c r="R117" s="34" t="s">
        <v>50</v>
      </c>
      <c r="S117" s="35" t="n">
        <f>10435.26</f>
        <v>10435.26</v>
      </c>
      <c r="T117" s="32" t="n">
        <f>17670</f>
        <v>17670.0</v>
      </c>
      <c r="U117" s="32" t="str">
        <f>"－"</f>
        <v>－</v>
      </c>
      <c r="V117" s="32" t="n">
        <f>185067200</f>
        <v>1.850672E8</v>
      </c>
      <c r="W117" s="32" t="str">
        <f>"－"</f>
        <v>－</v>
      </c>
      <c r="X117" s="36" t="n">
        <f>19</f>
        <v>19.0</v>
      </c>
    </row>
    <row r="118">
      <c r="A118" s="27" t="s">
        <v>42</v>
      </c>
      <c r="B118" s="27" t="s">
        <v>396</v>
      </c>
      <c r="C118" s="27" t="s">
        <v>397</v>
      </c>
      <c r="D118" s="27" t="s">
        <v>398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7210</f>
        <v>7210.0</v>
      </c>
      <c r="L118" s="34" t="s">
        <v>48</v>
      </c>
      <c r="M118" s="33" t="n">
        <f>7310</f>
        <v>7310.0</v>
      </c>
      <c r="N118" s="34" t="s">
        <v>48</v>
      </c>
      <c r="O118" s="33" t="n">
        <f>6380</f>
        <v>6380.0</v>
      </c>
      <c r="P118" s="34" t="s">
        <v>97</v>
      </c>
      <c r="Q118" s="33" t="n">
        <f>6530</f>
        <v>6530.0</v>
      </c>
      <c r="R118" s="34" t="s">
        <v>50</v>
      </c>
      <c r="S118" s="35" t="n">
        <f>6746.11</f>
        <v>6746.11</v>
      </c>
      <c r="T118" s="32" t="n">
        <f>6190</f>
        <v>6190.0</v>
      </c>
      <c r="U118" s="32" t="str">
        <f>"－"</f>
        <v>－</v>
      </c>
      <c r="V118" s="32" t="n">
        <f>41768200</f>
        <v>4.17682E7</v>
      </c>
      <c r="W118" s="32" t="str">
        <f>"－"</f>
        <v>－</v>
      </c>
      <c r="X118" s="36" t="n">
        <f>18</f>
        <v>18.0</v>
      </c>
    </row>
    <row r="119">
      <c r="A119" s="27" t="s">
        <v>42</v>
      </c>
      <c r="B119" s="27" t="s">
        <v>399</v>
      </c>
      <c r="C119" s="27" t="s">
        <v>400</v>
      </c>
      <c r="D119" s="27" t="s">
        <v>401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1485</f>
        <v>1485.0</v>
      </c>
      <c r="L119" s="34" t="s">
        <v>97</v>
      </c>
      <c r="M119" s="33" t="n">
        <f>1599</f>
        <v>1599.0</v>
      </c>
      <c r="N119" s="34" t="s">
        <v>90</v>
      </c>
      <c r="O119" s="33" t="n">
        <f>1472</f>
        <v>1472.0</v>
      </c>
      <c r="P119" s="34" t="s">
        <v>129</v>
      </c>
      <c r="Q119" s="33" t="n">
        <f>1599</f>
        <v>1599.0</v>
      </c>
      <c r="R119" s="34" t="s">
        <v>90</v>
      </c>
      <c r="S119" s="35" t="n">
        <f>1517.14</f>
        <v>1517.14</v>
      </c>
      <c r="T119" s="32" t="n">
        <f>1310</f>
        <v>1310.0</v>
      </c>
      <c r="U119" s="32" t="str">
        <f>"－"</f>
        <v>－</v>
      </c>
      <c r="V119" s="32" t="n">
        <f>2051290</f>
        <v>2051290.0</v>
      </c>
      <c r="W119" s="32" t="str">
        <f>"－"</f>
        <v>－</v>
      </c>
      <c r="X119" s="36" t="n">
        <f>7</f>
        <v>7.0</v>
      </c>
    </row>
    <row r="120">
      <c r="A120" s="27" t="s">
        <v>42</v>
      </c>
      <c r="B120" s="27" t="s">
        <v>402</v>
      </c>
      <c r="C120" s="27" t="s">
        <v>403</v>
      </c>
      <c r="D120" s="27" t="s">
        <v>404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694</f>
        <v>694.0</v>
      </c>
      <c r="L120" s="34" t="s">
        <v>48</v>
      </c>
      <c r="M120" s="33" t="n">
        <f>800</f>
        <v>800.0</v>
      </c>
      <c r="N120" s="34" t="s">
        <v>50</v>
      </c>
      <c r="O120" s="33" t="n">
        <f>674</f>
        <v>674.0</v>
      </c>
      <c r="P120" s="34" t="s">
        <v>48</v>
      </c>
      <c r="Q120" s="33" t="n">
        <f>763</f>
        <v>763.0</v>
      </c>
      <c r="R120" s="34" t="s">
        <v>50</v>
      </c>
      <c r="S120" s="35" t="n">
        <f>730.89</f>
        <v>730.89</v>
      </c>
      <c r="T120" s="32" t="n">
        <f>120220</f>
        <v>120220.0</v>
      </c>
      <c r="U120" s="32" t="n">
        <f>90000</f>
        <v>90000.0</v>
      </c>
      <c r="V120" s="32" t="n">
        <f>93906676</f>
        <v>9.3906676E7</v>
      </c>
      <c r="W120" s="32" t="n">
        <f>71609616</f>
        <v>7.1609616E7</v>
      </c>
      <c r="X120" s="36" t="n">
        <f>19</f>
        <v>19.0</v>
      </c>
    </row>
    <row r="121">
      <c r="A121" s="27" t="s">
        <v>42</v>
      </c>
      <c r="B121" s="27" t="s">
        <v>405</v>
      </c>
      <c r="C121" s="27" t="s">
        <v>406</v>
      </c>
      <c r="D121" s="27" t="s">
        <v>407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723</f>
        <v>723.0</v>
      </c>
      <c r="L121" s="34" t="s">
        <v>218</v>
      </c>
      <c r="M121" s="33" t="n">
        <f>770</f>
        <v>770.0</v>
      </c>
      <c r="N121" s="34" t="s">
        <v>49</v>
      </c>
      <c r="O121" s="33" t="n">
        <f>723</f>
        <v>723.0</v>
      </c>
      <c r="P121" s="34" t="s">
        <v>218</v>
      </c>
      <c r="Q121" s="33" t="n">
        <f>756</f>
        <v>756.0</v>
      </c>
      <c r="R121" s="34" t="s">
        <v>50</v>
      </c>
      <c r="S121" s="35" t="n">
        <f>745.93</f>
        <v>745.93</v>
      </c>
      <c r="T121" s="32" t="n">
        <f>12980</f>
        <v>12980.0</v>
      </c>
      <c r="U121" s="32" t="n">
        <f>10</f>
        <v>10.0</v>
      </c>
      <c r="V121" s="32" t="n">
        <f>9659300</f>
        <v>9659300.0</v>
      </c>
      <c r="W121" s="32" t="n">
        <f>7550</f>
        <v>7550.0</v>
      </c>
      <c r="X121" s="36" t="n">
        <f>14</f>
        <v>14.0</v>
      </c>
    </row>
    <row r="122">
      <c r="A122" s="27" t="s">
        <v>42</v>
      </c>
      <c r="B122" s="27" t="s">
        <v>408</v>
      </c>
      <c r="C122" s="27" t="s">
        <v>409</v>
      </c>
      <c r="D122" s="27" t="s">
        <v>410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17790</f>
        <v>17790.0</v>
      </c>
      <c r="L122" s="34" t="s">
        <v>48</v>
      </c>
      <c r="M122" s="33" t="n">
        <f>19940</f>
        <v>19940.0</v>
      </c>
      <c r="N122" s="34" t="s">
        <v>66</v>
      </c>
      <c r="O122" s="33" t="n">
        <f>17790</f>
        <v>17790.0</v>
      </c>
      <c r="P122" s="34" t="s">
        <v>48</v>
      </c>
      <c r="Q122" s="33" t="n">
        <f>19130</f>
        <v>19130.0</v>
      </c>
      <c r="R122" s="34" t="s">
        <v>50</v>
      </c>
      <c r="S122" s="35" t="n">
        <f>19041.05</f>
        <v>19041.05</v>
      </c>
      <c r="T122" s="32" t="n">
        <f>83761</f>
        <v>83761.0</v>
      </c>
      <c r="U122" s="32" t="n">
        <f>7</f>
        <v>7.0</v>
      </c>
      <c r="V122" s="32" t="n">
        <f>1607236390</f>
        <v>1.60723639E9</v>
      </c>
      <c r="W122" s="32" t="n">
        <f>135020</f>
        <v>135020.0</v>
      </c>
      <c r="X122" s="36" t="n">
        <f>19</f>
        <v>19.0</v>
      </c>
    </row>
    <row r="123">
      <c r="A123" s="27" t="s">
        <v>42</v>
      </c>
      <c r="B123" s="27" t="s">
        <v>411</v>
      </c>
      <c r="C123" s="27" t="s">
        <v>412</v>
      </c>
      <c r="D123" s="27" t="s">
        <v>413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1849</f>
        <v>1849.0</v>
      </c>
      <c r="L123" s="34" t="s">
        <v>48</v>
      </c>
      <c r="M123" s="33" t="n">
        <f>2152</f>
        <v>2152.0</v>
      </c>
      <c r="N123" s="34" t="s">
        <v>50</v>
      </c>
      <c r="O123" s="33" t="n">
        <f>1849</f>
        <v>1849.0</v>
      </c>
      <c r="P123" s="34" t="s">
        <v>48</v>
      </c>
      <c r="Q123" s="33" t="n">
        <f>2123</f>
        <v>2123.0</v>
      </c>
      <c r="R123" s="34" t="s">
        <v>50</v>
      </c>
      <c r="S123" s="35" t="n">
        <f>2032.11</f>
        <v>2032.11</v>
      </c>
      <c r="T123" s="32" t="n">
        <f>93126</f>
        <v>93126.0</v>
      </c>
      <c r="U123" s="32" t="n">
        <f>3</f>
        <v>3.0</v>
      </c>
      <c r="V123" s="32" t="n">
        <f>183088489</f>
        <v>1.83088489E8</v>
      </c>
      <c r="W123" s="32" t="n">
        <f>6267</f>
        <v>6267.0</v>
      </c>
      <c r="X123" s="36" t="n">
        <f>19</f>
        <v>19.0</v>
      </c>
    </row>
    <row r="124">
      <c r="A124" s="27" t="s">
        <v>42</v>
      </c>
      <c r="B124" s="27" t="s">
        <v>414</v>
      </c>
      <c r="C124" s="27" t="s">
        <v>415</v>
      </c>
      <c r="D124" s="27" t="s">
        <v>416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21830</f>
        <v>21830.0</v>
      </c>
      <c r="L124" s="34" t="s">
        <v>48</v>
      </c>
      <c r="M124" s="33" t="n">
        <f>29420</f>
        <v>29420.0</v>
      </c>
      <c r="N124" s="34" t="s">
        <v>50</v>
      </c>
      <c r="O124" s="33" t="n">
        <f>21820</f>
        <v>21820.0</v>
      </c>
      <c r="P124" s="34" t="s">
        <v>48</v>
      </c>
      <c r="Q124" s="33" t="n">
        <f>28550</f>
        <v>28550.0</v>
      </c>
      <c r="R124" s="34" t="s">
        <v>50</v>
      </c>
      <c r="S124" s="35" t="n">
        <f>26365.26</f>
        <v>26365.26</v>
      </c>
      <c r="T124" s="32" t="n">
        <f>12081950</f>
        <v>1.208195E7</v>
      </c>
      <c r="U124" s="32" t="n">
        <f>24730</f>
        <v>24730.0</v>
      </c>
      <c r="V124" s="32" t="n">
        <f>314783797900</f>
        <v>3.147837979E11</v>
      </c>
      <c r="W124" s="32" t="n">
        <f>607038100</f>
        <v>6.070381E8</v>
      </c>
      <c r="X124" s="36" t="n">
        <f>19</f>
        <v>19.0</v>
      </c>
    </row>
    <row r="125">
      <c r="A125" s="27" t="s">
        <v>42</v>
      </c>
      <c r="B125" s="27" t="s">
        <v>417</v>
      </c>
      <c r="C125" s="27" t="s">
        <v>418</v>
      </c>
      <c r="D125" s="27" t="s">
        <v>419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3500</f>
        <v>3500.0</v>
      </c>
      <c r="L125" s="34" t="s">
        <v>48</v>
      </c>
      <c r="M125" s="33" t="n">
        <f>3500</f>
        <v>3500.0</v>
      </c>
      <c r="N125" s="34" t="s">
        <v>48</v>
      </c>
      <c r="O125" s="33" t="n">
        <f>2997</f>
        <v>2997.0</v>
      </c>
      <c r="P125" s="34" t="s">
        <v>50</v>
      </c>
      <c r="Q125" s="33" t="n">
        <f>3040</f>
        <v>3040.0</v>
      </c>
      <c r="R125" s="34" t="s">
        <v>50</v>
      </c>
      <c r="S125" s="35" t="n">
        <f>3178.95</f>
        <v>3178.95</v>
      </c>
      <c r="T125" s="32" t="n">
        <f>1254550</f>
        <v>1254550.0</v>
      </c>
      <c r="U125" s="32" t="n">
        <f>10</f>
        <v>10.0</v>
      </c>
      <c r="V125" s="32" t="n">
        <f>3990411110</f>
        <v>3.99041111E9</v>
      </c>
      <c r="W125" s="32" t="n">
        <f>30300</f>
        <v>30300.0</v>
      </c>
      <c r="X125" s="36" t="n">
        <f>19</f>
        <v>19.0</v>
      </c>
    </row>
    <row r="126">
      <c r="A126" s="27" t="s">
        <v>42</v>
      </c>
      <c r="B126" s="27" t="s">
        <v>420</v>
      </c>
      <c r="C126" s="27" t="s">
        <v>421</v>
      </c>
      <c r="D126" s="27" t="s">
        <v>422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760</f>
        <v>760.0</v>
      </c>
      <c r="L126" s="34" t="s">
        <v>48</v>
      </c>
      <c r="M126" s="33" t="n">
        <f>850</f>
        <v>850.0</v>
      </c>
      <c r="N126" s="34" t="s">
        <v>66</v>
      </c>
      <c r="O126" s="33" t="n">
        <f>680</f>
        <v>680.0</v>
      </c>
      <c r="P126" s="34" t="s">
        <v>48</v>
      </c>
      <c r="Q126" s="33" t="n">
        <f>842</f>
        <v>842.0</v>
      </c>
      <c r="R126" s="34" t="s">
        <v>50</v>
      </c>
      <c r="S126" s="35" t="n">
        <f>788.12</f>
        <v>788.12</v>
      </c>
      <c r="T126" s="32" t="n">
        <f>4940</f>
        <v>4940.0</v>
      </c>
      <c r="U126" s="32" t="str">
        <f>"－"</f>
        <v>－</v>
      </c>
      <c r="V126" s="32" t="n">
        <f>3849970</f>
        <v>3849970.0</v>
      </c>
      <c r="W126" s="32" t="str">
        <f>"－"</f>
        <v>－</v>
      </c>
      <c r="X126" s="36" t="n">
        <f>17</f>
        <v>17.0</v>
      </c>
    </row>
    <row r="127">
      <c r="A127" s="27" t="s">
        <v>42</v>
      </c>
      <c r="B127" s="27" t="s">
        <v>423</v>
      </c>
      <c r="C127" s="27" t="s">
        <v>424</v>
      </c>
      <c r="D127" s="27" t="s">
        <v>425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1276</f>
        <v>1276.0</v>
      </c>
      <c r="L127" s="34" t="s">
        <v>48</v>
      </c>
      <c r="M127" s="33" t="n">
        <f>1519</f>
        <v>1519.0</v>
      </c>
      <c r="N127" s="34" t="s">
        <v>66</v>
      </c>
      <c r="O127" s="33" t="n">
        <f>1276</f>
        <v>1276.0</v>
      </c>
      <c r="P127" s="34" t="s">
        <v>48</v>
      </c>
      <c r="Q127" s="33" t="n">
        <f>1396</f>
        <v>1396.0</v>
      </c>
      <c r="R127" s="34" t="s">
        <v>50</v>
      </c>
      <c r="S127" s="35" t="n">
        <f>1359.44</f>
        <v>1359.44</v>
      </c>
      <c r="T127" s="32" t="n">
        <f>3000</f>
        <v>3000.0</v>
      </c>
      <c r="U127" s="32" t="str">
        <f>"－"</f>
        <v>－</v>
      </c>
      <c r="V127" s="32" t="n">
        <f>4230450</f>
        <v>4230450.0</v>
      </c>
      <c r="W127" s="32" t="str">
        <f>"－"</f>
        <v>－</v>
      </c>
      <c r="X127" s="36" t="n">
        <f>18</f>
        <v>18.0</v>
      </c>
    </row>
    <row r="128">
      <c r="A128" s="27" t="s">
        <v>42</v>
      </c>
      <c r="B128" s="27" t="s">
        <v>426</v>
      </c>
      <c r="C128" s="27" t="s">
        <v>427</v>
      </c>
      <c r="D128" s="27" t="s">
        <v>428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1438</f>
        <v>1438.0</v>
      </c>
      <c r="L128" s="34" t="s">
        <v>48</v>
      </c>
      <c r="M128" s="33" t="n">
        <f>1599</f>
        <v>1599.0</v>
      </c>
      <c r="N128" s="34" t="s">
        <v>50</v>
      </c>
      <c r="O128" s="33" t="n">
        <f>1425</f>
        <v>1425.0</v>
      </c>
      <c r="P128" s="34" t="s">
        <v>225</v>
      </c>
      <c r="Q128" s="33" t="n">
        <f>1598</f>
        <v>1598.0</v>
      </c>
      <c r="R128" s="34" t="s">
        <v>50</v>
      </c>
      <c r="S128" s="35" t="n">
        <f>1528.35</f>
        <v>1528.35</v>
      </c>
      <c r="T128" s="32" t="n">
        <f>2121</f>
        <v>2121.0</v>
      </c>
      <c r="U128" s="32" t="str">
        <f>"－"</f>
        <v>－</v>
      </c>
      <c r="V128" s="32" t="n">
        <f>3235271</f>
        <v>3235271.0</v>
      </c>
      <c r="W128" s="32" t="str">
        <f>"－"</f>
        <v>－</v>
      </c>
      <c r="X128" s="36" t="n">
        <f>17</f>
        <v>17.0</v>
      </c>
    </row>
    <row r="129">
      <c r="A129" s="27" t="s">
        <v>42</v>
      </c>
      <c r="B129" s="27" t="s">
        <v>429</v>
      </c>
      <c r="C129" s="27" t="s">
        <v>430</v>
      </c>
      <c r="D129" s="27" t="s">
        <v>431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14380</f>
        <v>14380.0</v>
      </c>
      <c r="L129" s="34" t="s">
        <v>48</v>
      </c>
      <c r="M129" s="33" t="n">
        <f>16330</f>
        <v>16330.0</v>
      </c>
      <c r="N129" s="34" t="s">
        <v>49</v>
      </c>
      <c r="O129" s="33" t="n">
        <f>14370</f>
        <v>14370.0</v>
      </c>
      <c r="P129" s="34" t="s">
        <v>48</v>
      </c>
      <c r="Q129" s="33" t="n">
        <f>16000</f>
        <v>16000.0</v>
      </c>
      <c r="R129" s="34" t="s">
        <v>50</v>
      </c>
      <c r="S129" s="35" t="n">
        <f>15547.89</f>
        <v>15547.89</v>
      </c>
      <c r="T129" s="32" t="n">
        <f>425007</f>
        <v>425007.0</v>
      </c>
      <c r="U129" s="32" t="n">
        <f>40002</f>
        <v>40002.0</v>
      </c>
      <c r="V129" s="32" t="n">
        <f>6585330430</f>
        <v>6.58533043E9</v>
      </c>
      <c r="W129" s="32" t="n">
        <f>616897690</f>
        <v>6.1689769E8</v>
      </c>
      <c r="X129" s="36" t="n">
        <f>19</f>
        <v>19.0</v>
      </c>
    </row>
    <row r="130">
      <c r="A130" s="27" t="s">
        <v>42</v>
      </c>
      <c r="B130" s="27" t="s">
        <v>432</v>
      </c>
      <c r="C130" s="27" t="s">
        <v>433</v>
      </c>
      <c r="D130" s="27" t="s">
        <v>434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1323</f>
        <v>1323.0</v>
      </c>
      <c r="L130" s="34" t="s">
        <v>48</v>
      </c>
      <c r="M130" s="33" t="n">
        <f>1501</f>
        <v>1501.0</v>
      </c>
      <c r="N130" s="34" t="s">
        <v>49</v>
      </c>
      <c r="O130" s="33" t="n">
        <f>1323</f>
        <v>1323.0</v>
      </c>
      <c r="P130" s="34" t="s">
        <v>48</v>
      </c>
      <c r="Q130" s="33" t="n">
        <f>1470</f>
        <v>1470.0</v>
      </c>
      <c r="R130" s="34" t="s">
        <v>50</v>
      </c>
      <c r="S130" s="35" t="n">
        <f>1429.37</f>
        <v>1429.37</v>
      </c>
      <c r="T130" s="32" t="n">
        <f>863344</f>
        <v>863344.0</v>
      </c>
      <c r="U130" s="32" t="n">
        <f>55000</f>
        <v>55000.0</v>
      </c>
      <c r="V130" s="32" t="n">
        <f>1216787516</f>
        <v>1.216787516E9</v>
      </c>
      <c r="W130" s="32" t="n">
        <f>79079000</f>
        <v>7.9079E7</v>
      </c>
      <c r="X130" s="36" t="n">
        <f>19</f>
        <v>19.0</v>
      </c>
    </row>
    <row r="131">
      <c r="A131" s="27" t="s">
        <v>42</v>
      </c>
      <c r="B131" s="27" t="s">
        <v>435</v>
      </c>
      <c r="C131" s="27" t="s">
        <v>436</v>
      </c>
      <c r="D131" s="27" t="s">
        <v>437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14770</f>
        <v>14770.0</v>
      </c>
      <c r="L131" s="34" t="s">
        <v>48</v>
      </c>
      <c r="M131" s="33" t="n">
        <f>16750</f>
        <v>16750.0</v>
      </c>
      <c r="N131" s="34" t="s">
        <v>49</v>
      </c>
      <c r="O131" s="33" t="n">
        <f>14770</f>
        <v>14770.0</v>
      </c>
      <c r="P131" s="34" t="s">
        <v>48</v>
      </c>
      <c r="Q131" s="33" t="n">
        <f>16440</f>
        <v>16440.0</v>
      </c>
      <c r="R131" s="34" t="s">
        <v>50</v>
      </c>
      <c r="S131" s="35" t="n">
        <f>15963.16</f>
        <v>15963.16</v>
      </c>
      <c r="T131" s="32" t="n">
        <f>182173</f>
        <v>182173.0</v>
      </c>
      <c r="U131" s="32" t="n">
        <f>119702</f>
        <v>119702.0</v>
      </c>
      <c r="V131" s="32" t="n">
        <f>2921742245</f>
        <v>2.921742245E9</v>
      </c>
      <c r="W131" s="32" t="n">
        <f>1926242725</f>
        <v>1.926242725E9</v>
      </c>
      <c r="X131" s="36" t="n">
        <f>19</f>
        <v>19.0</v>
      </c>
    </row>
    <row r="132">
      <c r="A132" s="27" t="s">
        <v>42</v>
      </c>
      <c r="B132" s="27" t="s">
        <v>438</v>
      </c>
      <c r="C132" s="27" t="s">
        <v>439</v>
      </c>
      <c r="D132" s="27" t="s">
        <v>440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1694</f>
        <v>1694.0</v>
      </c>
      <c r="L132" s="34" t="s">
        <v>48</v>
      </c>
      <c r="M132" s="33" t="n">
        <f>1765</f>
        <v>1765.0</v>
      </c>
      <c r="N132" s="34" t="s">
        <v>113</v>
      </c>
      <c r="O132" s="33" t="n">
        <f>1655</f>
        <v>1655.0</v>
      </c>
      <c r="P132" s="34" t="s">
        <v>48</v>
      </c>
      <c r="Q132" s="33" t="n">
        <f>1718</f>
        <v>1718.0</v>
      </c>
      <c r="R132" s="34" t="s">
        <v>50</v>
      </c>
      <c r="S132" s="35" t="n">
        <f>1715.21</f>
        <v>1715.21</v>
      </c>
      <c r="T132" s="32" t="n">
        <f>985570</f>
        <v>985570.0</v>
      </c>
      <c r="U132" s="32" t="n">
        <f>303000</f>
        <v>303000.0</v>
      </c>
      <c r="V132" s="32" t="n">
        <f>1687684050</f>
        <v>1.68768405E9</v>
      </c>
      <c r="W132" s="32" t="n">
        <f>519796800</f>
        <v>5.197968E8</v>
      </c>
      <c r="X132" s="36" t="n">
        <f>19</f>
        <v>19.0</v>
      </c>
    </row>
    <row r="133">
      <c r="A133" s="27" t="s">
        <v>42</v>
      </c>
      <c r="B133" s="27" t="s">
        <v>441</v>
      </c>
      <c r="C133" s="27" t="s">
        <v>442</v>
      </c>
      <c r="D133" s="27" t="s">
        <v>443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1450</f>
        <v>1450.0</v>
      </c>
      <c r="L133" s="34" t="s">
        <v>277</v>
      </c>
      <c r="M133" s="33" t="n">
        <f>1589</f>
        <v>1589.0</v>
      </c>
      <c r="N133" s="34" t="s">
        <v>49</v>
      </c>
      <c r="O133" s="33" t="n">
        <f>1450</f>
        <v>1450.0</v>
      </c>
      <c r="P133" s="34" t="s">
        <v>277</v>
      </c>
      <c r="Q133" s="33" t="n">
        <f>1588</f>
        <v>1588.0</v>
      </c>
      <c r="R133" s="34" t="s">
        <v>49</v>
      </c>
      <c r="S133" s="35" t="n">
        <f>1535</f>
        <v>1535.0</v>
      </c>
      <c r="T133" s="32" t="n">
        <f>530</f>
        <v>530.0</v>
      </c>
      <c r="U133" s="32" t="str">
        <f>"－"</f>
        <v>－</v>
      </c>
      <c r="V133" s="32" t="n">
        <f>834140</f>
        <v>834140.0</v>
      </c>
      <c r="W133" s="32" t="str">
        <f>"－"</f>
        <v>－</v>
      </c>
      <c r="X133" s="36" t="n">
        <f>4</f>
        <v>4.0</v>
      </c>
    </row>
    <row r="134">
      <c r="A134" s="27" t="s">
        <v>42</v>
      </c>
      <c r="B134" s="27" t="s">
        <v>444</v>
      </c>
      <c r="C134" s="27" t="s">
        <v>445</v>
      </c>
      <c r="D134" s="27" t="s">
        <v>446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1668</f>
        <v>1668.0</v>
      </c>
      <c r="L134" s="34" t="s">
        <v>48</v>
      </c>
      <c r="M134" s="33" t="n">
        <f>1781</f>
        <v>1781.0</v>
      </c>
      <c r="N134" s="34" t="s">
        <v>113</v>
      </c>
      <c r="O134" s="33" t="n">
        <f>1668</f>
        <v>1668.0</v>
      </c>
      <c r="P134" s="34" t="s">
        <v>48</v>
      </c>
      <c r="Q134" s="33" t="n">
        <f>1730</f>
        <v>1730.0</v>
      </c>
      <c r="R134" s="34" t="s">
        <v>50</v>
      </c>
      <c r="S134" s="35" t="n">
        <f>1729.95</f>
        <v>1729.95</v>
      </c>
      <c r="T134" s="32" t="n">
        <f>591390</f>
        <v>591390.0</v>
      </c>
      <c r="U134" s="32" t="n">
        <f>170010</f>
        <v>170010.0</v>
      </c>
      <c r="V134" s="32" t="n">
        <f>1023625190</f>
        <v>1.02362519E9</v>
      </c>
      <c r="W134" s="32" t="n">
        <f>294065130</f>
        <v>2.9406513E8</v>
      </c>
      <c r="X134" s="36" t="n">
        <f>19</f>
        <v>19.0</v>
      </c>
    </row>
    <row r="135">
      <c r="A135" s="27" t="s">
        <v>42</v>
      </c>
      <c r="B135" s="27" t="s">
        <v>447</v>
      </c>
      <c r="C135" s="27" t="s">
        <v>448</v>
      </c>
      <c r="D135" s="27" t="s">
        <v>449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15660</f>
        <v>15660.0</v>
      </c>
      <c r="L135" s="34" t="s">
        <v>48</v>
      </c>
      <c r="M135" s="33" t="n">
        <f>17130</f>
        <v>17130.0</v>
      </c>
      <c r="N135" s="34" t="s">
        <v>86</v>
      </c>
      <c r="O135" s="33" t="n">
        <f>15660</f>
        <v>15660.0</v>
      </c>
      <c r="P135" s="34" t="s">
        <v>48</v>
      </c>
      <c r="Q135" s="33" t="n">
        <f>17130</f>
        <v>17130.0</v>
      </c>
      <c r="R135" s="34" t="s">
        <v>86</v>
      </c>
      <c r="S135" s="35" t="n">
        <f>16435.71</f>
        <v>16435.71</v>
      </c>
      <c r="T135" s="32" t="n">
        <f>29</f>
        <v>29.0</v>
      </c>
      <c r="U135" s="32" t="str">
        <f>"－"</f>
        <v>－</v>
      </c>
      <c r="V135" s="32" t="n">
        <f>467330</f>
        <v>467330.0</v>
      </c>
      <c r="W135" s="32" t="str">
        <f>"－"</f>
        <v>－</v>
      </c>
      <c r="X135" s="36" t="n">
        <f>7</f>
        <v>7.0</v>
      </c>
    </row>
    <row r="136">
      <c r="A136" s="27" t="s">
        <v>42</v>
      </c>
      <c r="B136" s="27" t="s">
        <v>450</v>
      </c>
      <c r="C136" s="27" t="s">
        <v>451</v>
      </c>
      <c r="D136" s="27" t="s">
        <v>452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14740</f>
        <v>14740.0</v>
      </c>
      <c r="L136" s="34" t="s">
        <v>48</v>
      </c>
      <c r="M136" s="33" t="n">
        <f>16600</f>
        <v>16600.0</v>
      </c>
      <c r="N136" s="34" t="s">
        <v>49</v>
      </c>
      <c r="O136" s="33" t="n">
        <f>14740</f>
        <v>14740.0</v>
      </c>
      <c r="P136" s="34" t="s">
        <v>48</v>
      </c>
      <c r="Q136" s="33" t="n">
        <f>16240</f>
        <v>16240.0</v>
      </c>
      <c r="R136" s="34" t="s">
        <v>50</v>
      </c>
      <c r="S136" s="35" t="n">
        <f>15810</f>
        <v>15810.0</v>
      </c>
      <c r="T136" s="32" t="n">
        <f>48161</f>
        <v>48161.0</v>
      </c>
      <c r="U136" s="32" t="n">
        <f>17000</f>
        <v>17000.0</v>
      </c>
      <c r="V136" s="32" t="n">
        <f>763957530</f>
        <v>7.6395753E8</v>
      </c>
      <c r="W136" s="32" t="n">
        <f>269790000</f>
        <v>2.6979E8</v>
      </c>
      <c r="X136" s="36" t="n">
        <f>18</f>
        <v>18.0</v>
      </c>
    </row>
    <row r="137">
      <c r="A137" s="27" t="s">
        <v>42</v>
      </c>
      <c r="B137" s="27" t="s">
        <v>453</v>
      </c>
      <c r="C137" s="27" t="s">
        <v>454</v>
      </c>
      <c r="D137" s="27" t="s">
        <v>455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100.0</v>
      </c>
      <c r="K137" s="33" t="n">
        <f>117</f>
        <v>117.0</v>
      </c>
      <c r="L137" s="34" t="s">
        <v>48</v>
      </c>
      <c r="M137" s="33" t="n">
        <f>133</f>
        <v>133.0</v>
      </c>
      <c r="N137" s="34" t="s">
        <v>129</v>
      </c>
      <c r="O137" s="33" t="n">
        <f>117</f>
        <v>117.0</v>
      </c>
      <c r="P137" s="34" t="s">
        <v>48</v>
      </c>
      <c r="Q137" s="33" t="n">
        <f>125</f>
        <v>125.0</v>
      </c>
      <c r="R137" s="34" t="s">
        <v>50</v>
      </c>
      <c r="S137" s="35" t="n">
        <f>126.26</f>
        <v>126.26</v>
      </c>
      <c r="T137" s="32" t="n">
        <f>89422200</f>
        <v>8.94222E7</v>
      </c>
      <c r="U137" s="32" t="n">
        <f>2859200</f>
        <v>2859200.0</v>
      </c>
      <c r="V137" s="32" t="n">
        <f>11367551500</f>
        <v>1.13675515E10</v>
      </c>
      <c r="W137" s="32" t="n">
        <f>369169900</f>
        <v>3.691699E8</v>
      </c>
      <c r="X137" s="36" t="n">
        <f>19</f>
        <v>19.0</v>
      </c>
    </row>
    <row r="138">
      <c r="A138" s="27" t="s">
        <v>42</v>
      </c>
      <c r="B138" s="27" t="s">
        <v>456</v>
      </c>
      <c r="C138" s="27" t="s">
        <v>457</v>
      </c>
      <c r="D138" s="27" t="s">
        <v>458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25550</f>
        <v>25550.0</v>
      </c>
      <c r="L138" s="34" t="s">
        <v>225</v>
      </c>
      <c r="M138" s="33" t="n">
        <f>27540</f>
        <v>27540.0</v>
      </c>
      <c r="N138" s="34" t="s">
        <v>86</v>
      </c>
      <c r="O138" s="33" t="n">
        <f>25410</f>
        <v>25410.0</v>
      </c>
      <c r="P138" s="34" t="s">
        <v>277</v>
      </c>
      <c r="Q138" s="33" t="n">
        <f>26300</f>
        <v>26300.0</v>
      </c>
      <c r="R138" s="34" t="s">
        <v>50</v>
      </c>
      <c r="S138" s="35" t="n">
        <f>26695.63</f>
        <v>26695.63</v>
      </c>
      <c r="T138" s="32" t="n">
        <f>561</f>
        <v>561.0</v>
      </c>
      <c r="U138" s="32" t="str">
        <f>"－"</f>
        <v>－</v>
      </c>
      <c r="V138" s="32" t="n">
        <f>14951430</f>
        <v>1.495143E7</v>
      </c>
      <c r="W138" s="32" t="str">
        <f>"－"</f>
        <v>－</v>
      </c>
      <c r="X138" s="36" t="n">
        <f>16</f>
        <v>16.0</v>
      </c>
    </row>
    <row r="139">
      <c r="A139" s="27" t="s">
        <v>42</v>
      </c>
      <c r="B139" s="27" t="s">
        <v>459</v>
      </c>
      <c r="C139" s="27" t="s">
        <v>460</v>
      </c>
      <c r="D139" s="27" t="s">
        <v>461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7270</f>
        <v>7270.0</v>
      </c>
      <c r="L139" s="34" t="s">
        <v>48</v>
      </c>
      <c r="M139" s="33" t="n">
        <f>8190</f>
        <v>8190.0</v>
      </c>
      <c r="N139" s="34" t="s">
        <v>66</v>
      </c>
      <c r="O139" s="33" t="n">
        <f>7250</f>
        <v>7250.0</v>
      </c>
      <c r="P139" s="34" t="s">
        <v>48</v>
      </c>
      <c r="Q139" s="33" t="n">
        <f>7720</f>
        <v>7720.0</v>
      </c>
      <c r="R139" s="34" t="s">
        <v>50</v>
      </c>
      <c r="S139" s="35" t="n">
        <f>7735.26</f>
        <v>7735.26</v>
      </c>
      <c r="T139" s="32" t="n">
        <f>24746</f>
        <v>24746.0</v>
      </c>
      <c r="U139" s="32" t="n">
        <f>1</f>
        <v>1.0</v>
      </c>
      <c r="V139" s="32" t="n">
        <f>192916790</f>
        <v>1.9291679E8</v>
      </c>
      <c r="W139" s="32" t="n">
        <f>8010</f>
        <v>8010.0</v>
      </c>
      <c r="X139" s="36" t="n">
        <f>19</f>
        <v>19.0</v>
      </c>
    </row>
    <row r="140">
      <c r="A140" s="27" t="s">
        <v>42</v>
      </c>
      <c r="B140" s="27" t="s">
        <v>462</v>
      </c>
      <c r="C140" s="27" t="s">
        <v>463</v>
      </c>
      <c r="D140" s="27" t="s">
        <v>464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18080</f>
        <v>18080.0</v>
      </c>
      <c r="L140" s="34" t="s">
        <v>48</v>
      </c>
      <c r="M140" s="33" t="n">
        <f>20580</f>
        <v>20580.0</v>
      </c>
      <c r="N140" s="34" t="s">
        <v>66</v>
      </c>
      <c r="O140" s="33" t="n">
        <f>18080</f>
        <v>18080.0</v>
      </c>
      <c r="P140" s="34" t="s">
        <v>48</v>
      </c>
      <c r="Q140" s="33" t="n">
        <f>19780</f>
        <v>19780.0</v>
      </c>
      <c r="R140" s="34" t="s">
        <v>50</v>
      </c>
      <c r="S140" s="35" t="n">
        <f>19421.11</f>
        <v>19421.11</v>
      </c>
      <c r="T140" s="32" t="n">
        <f>1320</f>
        <v>1320.0</v>
      </c>
      <c r="U140" s="32" t="n">
        <f>1</f>
        <v>1.0</v>
      </c>
      <c r="V140" s="32" t="n">
        <f>25998160</f>
        <v>2.599816E7</v>
      </c>
      <c r="W140" s="32" t="n">
        <f>19620</f>
        <v>19620.0</v>
      </c>
      <c r="X140" s="36" t="n">
        <f>18</f>
        <v>18.0</v>
      </c>
    </row>
    <row r="141">
      <c r="A141" s="27" t="s">
        <v>42</v>
      </c>
      <c r="B141" s="27" t="s">
        <v>465</v>
      </c>
      <c r="C141" s="27" t="s">
        <v>466</v>
      </c>
      <c r="D141" s="27" t="s">
        <v>467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23500</f>
        <v>23500.0</v>
      </c>
      <c r="L141" s="34" t="s">
        <v>48</v>
      </c>
      <c r="M141" s="33" t="n">
        <f>27100</f>
        <v>27100.0</v>
      </c>
      <c r="N141" s="34" t="s">
        <v>50</v>
      </c>
      <c r="O141" s="33" t="n">
        <f>23340</f>
        <v>23340.0</v>
      </c>
      <c r="P141" s="34" t="s">
        <v>48</v>
      </c>
      <c r="Q141" s="33" t="n">
        <f>26000</f>
        <v>26000.0</v>
      </c>
      <c r="R141" s="34" t="s">
        <v>50</v>
      </c>
      <c r="S141" s="35" t="n">
        <f>25115.26</f>
        <v>25115.26</v>
      </c>
      <c r="T141" s="32" t="n">
        <f>1269</f>
        <v>1269.0</v>
      </c>
      <c r="U141" s="32" t="str">
        <f>"－"</f>
        <v>－</v>
      </c>
      <c r="V141" s="32" t="n">
        <f>31953630</f>
        <v>3.195363E7</v>
      </c>
      <c r="W141" s="32" t="str">
        <f>"－"</f>
        <v>－</v>
      </c>
      <c r="X141" s="36" t="n">
        <f>19</f>
        <v>19.0</v>
      </c>
    </row>
    <row r="142">
      <c r="A142" s="27" t="s">
        <v>42</v>
      </c>
      <c r="B142" s="27" t="s">
        <v>468</v>
      </c>
      <c r="C142" s="27" t="s">
        <v>469</v>
      </c>
      <c r="D142" s="27" t="s">
        <v>470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21990</f>
        <v>21990.0</v>
      </c>
      <c r="L142" s="34" t="s">
        <v>48</v>
      </c>
      <c r="M142" s="33" t="n">
        <f>25430</f>
        <v>25430.0</v>
      </c>
      <c r="N142" s="34" t="s">
        <v>50</v>
      </c>
      <c r="O142" s="33" t="n">
        <f>21960</f>
        <v>21960.0</v>
      </c>
      <c r="P142" s="34" t="s">
        <v>48</v>
      </c>
      <c r="Q142" s="33" t="n">
        <f>24840</f>
        <v>24840.0</v>
      </c>
      <c r="R142" s="34" t="s">
        <v>50</v>
      </c>
      <c r="S142" s="35" t="n">
        <f>24191.05</f>
        <v>24191.05</v>
      </c>
      <c r="T142" s="32" t="n">
        <f>7709</f>
        <v>7709.0</v>
      </c>
      <c r="U142" s="32" t="n">
        <f>1</f>
        <v>1.0</v>
      </c>
      <c r="V142" s="32" t="n">
        <f>185894210</f>
        <v>1.8589421E8</v>
      </c>
      <c r="W142" s="32" t="n">
        <f>24360</f>
        <v>24360.0</v>
      </c>
      <c r="X142" s="36" t="n">
        <f>19</f>
        <v>19.0</v>
      </c>
    </row>
    <row r="143">
      <c r="A143" s="27" t="s">
        <v>42</v>
      </c>
      <c r="B143" s="27" t="s">
        <v>471</v>
      </c>
      <c r="C143" s="27" t="s">
        <v>472</v>
      </c>
      <c r="D143" s="27" t="s">
        <v>473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17190</f>
        <v>17190.0</v>
      </c>
      <c r="L143" s="34" t="s">
        <v>48</v>
      </c>
      <c r="M143" s="33" t="n">
        <f>19650</f>
        <v>19650.0</v>
      </c>
      <c r="N143" s="34" t="s">
        <v>66</v>
      </c>
      <c r="O143" s="33" t="n">
        <f>17190</f>
        <v>17190.0</v>
      </c>
      <c r="P143" s="34" t="s">
        <v>48</v>
      </c>
      <c r="Q143" s="33" t="n">
        <f>18540</f>
        <v>18540.0</v>
      </c>
      <c r="R143" s="34" t="s">
        <v>50</v>
      </c>
      <c r="S143" s="35" t="n">
        <f>18596.84</f>
        <v>18596.84</v>
      </c>
      <c r="T143" s="32" t="n">
        <f>6409</f>
        <v>6409.0</v>
      </c>
      <c r="U143" s="32" t="str">
        <f>"－"</f>
        <v>－</v>
      </c>
      <c r="V143" s="32" t="n">
        <f>118762810</f>
        <v>1.1876281E8</v>
      </c>
      <c r="W143" s="32" t="str">
        <f>"－"</f>
        <v>－</v>
      </c>
      <c r="X143" s="36" t="n">
        <f>19</f>
        <v>19.0</v>
      </c>
    </row>
    <row r="144">
      <c r="A144" s="27" t="s">
        <v>42</v>
      </c>
      <c r="B144" s="27" t="s">
        <v>474</v>
      </c>
      <c r="C144" s="27" t="s">
        <v>475</v>
      </c>
      <c r="D144" s="27" t="s">
        <v>476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10590</f>
        <v>10590.0</v>
      </c>
      <c r="L144" s="34" t="s">
        <v>48</v>
      </c>
      <c r="M144" s="33" t="n">
        <f>12620</f>
        <v>12620.0</v>
      </c>
      <c r="N144" s="34" t="s">
        <v>66</v>
      </c>
      <c r="O144" s="33" t="n">
        <f>10590</f>
        <v>10590.0</v>
      </c>
      <c r="P144" s="34" t="s">
        <v>48</v>
      </c>
      <c r="Q144" s="33" t="n">
        <f>12080</f>
        <v>12080.0</v>
      </c>
      <c r="R144" s="34" t="s">
        <v>50</v>
      </c>
      <c r="S144" s="35" t="n">
        <f>11710.53</f>
        <v>11710.53</v>
      </c>
      <c r="T144" s="32" t="n">
        <f>5841</f>
        <v>5841.0</v>
      </c>
      <c r="U144" s="32" t="n">
        <f>2</f>
        <v>2.0</v>
      </c>
      <c r="V144" s="32" t="n">
        <f>70007560</f>
        <v>7.000756E7</v>
      </c>
      <c r="W144" s="32" t="n">
        <f>24410</f>
        <v>24410.0</v>
      </c>
      <c r="X144" s="36" t="n">
        <f>19</f>
        <v>19.0</v>
      </c>
    </row>
    <row r="145">
      <c r="A145" s="27" t="s">
        <v>42</v>
      </c>
      <c r="B145" s="27" t="s">
        <v>477</v>
      </c>
      <c r="C145" s="27" t="s">
        <v>478</v>
      </c>
      <c r="D145" s="27" t="s">
        <v>479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34150</f>
        <v>34150.0</v>
      </c>
      <c r="L145" s="34" t="s">
        <v>225</v>
      </c>
      <c r="M145" s="33" t="n">
        <f>38650</f>
        <v>38650.0</v>
      </c>
      <c r="N145" s="34" t="s">
        <v>50</v>
      </c>
      <c r="O145" s="33" t="n">
        <f>34150</f>
        <v>34150.0</v>
      </c>
      <c r="P145" s="34" t="s">
        <v>225</v>
      </c>
      <c r="Q145" s="33" t="n">
        <f>37850</f>
        <v>37850.0</v>
      </c>
      <c r="R145" s="34" t="s">
        <v>50</v>
      </c>
      <c r="S145" s="35" t="n">
        <f>36890</f>
        <v>36890.0</v>
      </c>
      <c r="T145" s="32" t="n">
        <f>506</f>
        <v>506.0</v>
      </c>
      <c r="U145" s="32" t="str">
        <f>"－"</f>
        <v>－</v>
      </c>
      <c r="V145" s="32" t="n">
        <f>18841900</f>
        <v>1.88419E7</v>
      </c>
      <c r="W145" s="32" t="str">
        <f>"－"</f>
        <v>－</v>
      </c>
      <c r="X145" s="36" t="n">
        <f>15</f>
        <v>15.0</v>
      </c>
    </row>
    <row r="146">
      <c r="A146" s="27" t="s">
        <v>42</v>
      </c>
      <c r="B146" s="27" t="s">
        <v>480</v>
      </c>
      <c r="C146" s="27" t="s">
        <v>481</v>
      </c>
      <c r="D146" s="27" t="s">
        <v>482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21880</f>
        <v>21880.0</v>
      </c>
      <c r="L146" s="34" t="s">
        <v>48</v>
      </c>
      <c r="M146" s="33" t="n">
        <f>25560</f>
        <v>25560.0</v>
      </c>
      <c r="N146" s="34" t="s">
        <v>49</v>
      </c>
      <c r="O146" s="33" t="n">
        <f>21880</f>
        <v>21880.0</v>
      </c>
      <c r="P146" s="34" t="s">
        <v>48</v>
      </c>
      <c r="Q146" s="33" t="n">
        <f>25220</f>
        <v>25220.0</v>
      </c>
      <c r="R146" s="34" t="s">
        <v>50</v>
      </c>
      <c r="S146" s="35" t="n">
        <f>23755.26</f>
        <v>23755.26</v>
      </c>
      <c r="T146" s="32" t="n">
        <f>2137</f>
        <v>2137.0</v>
      </c>
      <c r="U146" s="32" t="n">
        <f>2</f>
        <v>2.0</v>
      </c>
      <c r="V146" s="32" t="n">
        <f>51241430</f>
        <v>5.124143E7</v>
      </c>
      <c r="W146" s="32" t="n">
        <f>46130</f>
        <v>46130.0</v>
      </c>
      <c r="X146" s="36" t="n">
        <f>19</f>
        <v>19.0</v>
      </c>
    </row>
    <row r="147">
      <c r="A147" s="27" t="s">
        <v>42</v>
      </c>
      <c r="B147" s="27" t="s">
        <v>483</v>
      </c>
      <c r="C147" s="27" t="s">
        <v>484</v>
      </c>
      <c r="D147" s="27" t="s">
        <v>485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25700</f>
        <v>25700.0</v>
      </c>
      <c r="L147" s="34" t="s">
        <v>48</v>
      </c>
      <c r="M147" s="33" t="n">
        <f>28520</f>
        <v>28520.0</v>
      </c>
      <c r="N147" s="34" t="s">
        <v>50</v>
      </c>
      <c r="O147" s="33" t="n">
        <f>25700</f>
        <v>25700.0</v>
      </c>
      <c r="P147" s="34" t="s">
        <v>48</v>
      </c>
      <c r="Q147" s="33" t="n">
        <f>28240</f>
        <v>28240.0</v>
      </c>
      <c r="R147" s="34" t="s">
        <v>50</v>
      </c>
      <c r="S147" s="35" t="n">
        <f>27167.89</f>
        <v>27167.89</v>
      </c>
      <c r="T147" s="32" t="n">
        <f>4936</f>
        <v>4936.0</v>
      </c>
      <c r="U147" s="32" t="n">
        <f>2</f>
        <v>2.0</v>
      </c>
      <c r="V147" s="32" t="n">
        <f>133084430</f>
        <v>1.3308443E8</v>
      </c>
      <c r="W147" s="32" t="n">
        <f>53780</f>
        <v>53780.0</v>
      </c>
      <c r="X147" s="36" t="n">
        <f>19</f>
        <v>19.0</v>
      </c>
    </row>
    <row r="148">
      <c r="A148" s="27" t="s">
        <v>42</v>
      </c>
      <c r="B148" s="27" t="s">
        <v>486</v>
      </c>
      <c r="C148" s="27" t="s">
        <v>487</v>
      </c>
      <c r="D148" s="27" t="s">
        <v>488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5860</f>
        <v>5860.0</v>
      </c>
      <c r="L148" s="34" t="s">
        <v>48</v>
      </c>
      <c r="M148" s="33" t="n">
        <f>6450</f>
        <v>6450.0</v>
      </c>
      <c r="N148" s="34" t="s">
        <v>86</v>
      </c>
      <c r="O148" s="33" t="n">
        <f>5860</f>
        <v>5860.0</v>
      </c>
      <c r="P148" s="34" t="s">
        <v>48</v>
      </c>
      <c r="Q148" s="33" t="n">
        <f>6060</f>
        <v>6060.0</v>
      </c>
      <c r="R148" s="34" t="s">
        <v>50</v>
      </c>
      <c r="S148" s="35" t="n">
        <f>6203.68</f>
        <v>6203.68</v>
      </c>
      <c r="T148" s="32" t="n">
        <f>7594</f>
        <v>7594.0</v>
      </c>
      <c r="U148" s="32" t="str">
        <f>"－"</f>
        <v>－</v>
      </c>
      <c r="V148" s="32" t="n">
        <f>47065660</f>
        <v>4.706566E7</v>
      </c>
      <c r="W148" s="32" t="str">
        <f>"－"</f>
        <v>－</v>
      </c>
      <c r="X148" s="36" t="n">
        <f>19</f>
        <v>19.0</v>
      </c>
    </row>
    <row r="149">
      <c r="A149" s="27" t="s">
        <v>42</v>
      </c>
      <c r="B149" s="27" t="s">
        <v>489</v>
      </c>
      <c r="C149" s="27" t="s">
        <v>490</v>
      </c>
      <c r="D149" s="27" t="s">
        <v>491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12530</f>
        <v>12530.0</v>
      </c>
      <c r="L149" s="34" t="s">
        <v>48</v>
      </c>
      <c r="M149" s="33" t="n">
        <f>14680</f>
        <v>14680.0</v>
      </c>
      <c r="N149" s="34" t="s">
        <v>66</v>
      </c>
      <c r="O149" s="33" t="n">
        <f>12530</f>
        <v>12530.0</v>
      </c>
      <c r="P149" s="34" t="s">
        <v>48</v>
      </c>
      <c r="Q149" s="33" t="n">
        <f>13830</f>
        <v>13830.0</v>
      </c>
      <c r="R149" s="34" t="s">
        <v>50</v>
      </c>
      <c r="S149" s="35" t="n">
        <f>13827.89</f>
        <v>13827.89</v>
      </c>
      <c r="T149" s="32" t="n">
        <f>14410</f>
        <v>14410.0</v>
      </c>
      <c r="U149" s="32" t="n">
        <f>1</f>
        <v>1.0</v>
      </c>
      <c r="V149" s="32" t="n">
        <f>201379200</f>
        <v>2.013792E8</v>
      </c>
      <c r="W149" s="32" t="n">
        <f>12970</f>
        <v>12970.0</v>
      </c>
      <c r="X149" s="36" t="n">
        <f>19</f>
        <v>19.0</v>
      </c>
    </row>
    <row r="150">
      <c r="A150" s="27" t="s">
        <v>42</v>
      </c>
      <c r="B150" s="27" t="s">
        <v>492</v>
      </c>
      <c r="C150" s="27" t="s">
        <v>493</v>
      </c>
      <c r="D150" s="27" t="s">
        <v>494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30200</f>
        <v>30200.0</v>
      </c>
      <c r="L150" s="34" t="s">
        <v>48</v>
      </c>
      <c r="M150" s="33" t="n">
        <f>33600</f>
        <v>33600.0</v>
      </c>
      <c r="N150" s="34" t="s">
        <v>66</v>
      </c>
      <c r="O150" s="33" t="n">
        <f>30200</f>
        <v>30200.0</v>
      </c>
      <c r="P150" s="34" t="s">
        <v>48</v>
      </c>
      <c r="Q150" s="33" t="n">
        <f>32350</f>
        <v>32350.0</v>
      </c>
      <c r="R150" s="34" t="s">
        <v>50</v>
      </c>
      <c r="S150" s="35" t="n">
        <f>32347.37</f>
        <v>32347.37</v>
      </c>
      <c r="T150" s="32" t="n">
        <f>3219</f>
        <v>3219.0</v>
      </c>
      <c r="U150" s="32" t="str">
        <f>"－"</f>
        <v>－</v>
      </c>
      <c r="V150" s="32" t="n">
        <f>104893200</f>
        <v>1.048932E8</v>
      </c>
      <c r="W150" s="32" t="str">
        <f>"－"</f>
        <v>－</v>
      </c>
      <c r="X150" s="36" t="n">
        <f>19</f>
        <v>19.0</v>
      </c>
    </row>
    <row r="151">
      <c r="A151" s="27" t="s">
        <v>42</v>
      </c>
      <c r="B151" s="27" t="s">
        <v>495</v>
      </c>
      <c r="C151" s="27" t="s">
        <v>496</v>
      </c>
      <c r="D151" s="27" t="s">
        <v>497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21800</f>
        <v>21800.0</v>
      </c>
      <c r="L151" s="34" t="s">
        <v>97</v>
      </c>
      <c r="M151" s="33" t="n">
        <f>22360</f>
        <v>22360.0</v>
      </c>
      <c r="N151" s="34" t="s">
        <v>66</v>
      </c>
      <c r="O151" s="33" t="n">
        <f>21710</f>
        <v>21710.0</v>
      </c>
      <c r="P151" s="34" t="s">
        <v>130</v>
      </c>
      <c r="Q151" s="33" t="n">
        <f>22270</f>
        <v>22270.0</v>
      </c>
      <c r="R151" s="34" t="s">
        <v>50</v>
      </c>
      <c r="S151" s="35" t="n">
        <f>22027.27</f>
        <v>22027.27</v>
      </c>
      <c r="T151" s="32" t="n">
        <f>39</f>
        <v>39.0</v>
      </c>
      <c r="U151" s="32" t="str">
        <f>"－"</f>
        <v>－</v>
      </c>
      <c r="V151" s="32" t="n">
        <f>858600</f>
        <v>858600.0</v>
      </c>
      <c r="W151" s="32" t="str">
        <f>"－"</f>
        <v>－</v>
      </c>
      <c r="X151" s="36" t="n">
        <f>11</f>
        <v>11.0</v>
      </c>
    </row>
    <row r="152">
      <c r="A152" s="27" t="s">
        <v>42</v>
      </c>
      <c r="B152" s="27" t="s">
        <v>498</v>
      </c>
      <c r="C152" s="27" t="s">
        <v>499</v>
      </c>
      <c r="D152" s="27" t="s">
        <v>500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6090</f>
        <v>6090.0</v>
      </c>
      <c r="L152" s="34" t="s">
        <v>48</v>
      </c>
      <c r="M152" s="33" t="n">
        <f>6880</f>
        <v>6880.0</v>
      </c>
      <c r="N152" s="34" t="s">
        <v>66</v>
      </c>
      <c r="O152" s="33" t="n">
        <f>6090</f>
        <v>6090.0</v>
      </c>
      <c r="P152" s="34" t="s">
        <v>48</v>
      </c>
      <c r="Q152" s="33" t="n">
        <f>6420</f>
        <v>6420.0</v>
      </c>
      <c r="R152" s="34" t="s">
        <v>50</v>
      </c>
      <c r="S152" s="35" t="n">
        <f>6545.79</f>
        <v>6545.79</v>
      </c>
      <c r="T152" s="32" t="n">
        <f>34857</f>
        <v>34857.0</v>
      </c>
      <c r="U152" s="32" t="n">
        <f>2</f>
        <v>2.0</v>
      </c>
      <c r="V152" s="32" t="n">
        <f>231275550</f>
        <v>2.3127555E8</v>
      </c>
      <c r="W152" s="32" t="n">
        <f>12970</f>
        <v>12970.0</v>
      </c>
      <c r="X152" s="36" t="n">
        <f>19</f>
        <v>19.0</v>
      </c>
    </row>
    <row r="153">
      <c r="A153" s="27" t="s">
        <v>42</v>
      </c>
      <c r="B153" s="27" t="s">
        <v>501</v>
      </c>
      <c r="C153" s="27" t="s">
        <v>502</v>
      </c>
      <c r="D153" s="27" t="s">
        <v>503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10500</f>
        <v>10500.0</v>
      </c>
      <c r="L153" s="34" t="s">
        <v>48</v>
      </c>
      <c r="M153" s="33" t="n">
        <f>12210</f>
        <v>12210.0</v>
      </c>
      <c r="N153" s="34" t="s">
        <v>66</v>
      </c>
      <c r="O153" s="33" t="n">
        <f>10500</f>
        <v>10500.0</v>
      </c>
      <c r="P153" s="34" t="s">
        <v>48</v>
      </c>
      <c r="Q153" s="33" t="n">
        <f>11700</f>
        <v>11700.0</v>
      </c>
      <c r="R153" s="34" t="s">
        <v>50</v>
      </c>
      <c r="S153" s="35" t="n">
        <f>11576.84</f>
        <v>11576.84</v>
      </c>
      <c r="T153" s="32" t="n">
        <f>2797</f>
        <v>2797.0</v>
      </c>
      <c r="U153" s="32" t="n">
        <f>1</f>
        <v>1.0</v>
      </c>
      <c r="V153" s="32" t="n">
        <f>32784920</f>
        <v>3.278492E7</v>
      </c>
      <c r="W153" s="32" t="n">
        <f>10850</f>
        <v>10850.0</v>
      </c>
      <c r="X153" s="36" t="n">
        <f>19</f>
        <v>19.0</v>
      </c>
    </row>
    <row r="154">
      <c r="A154" s="27" t="s">
        <v>42</v>
      </c>
      <c r="B154" s="27" t="s">
        <v>504</v>
      </c>
      <c r="C154" s="27" t="s">
        <v>505</v>
      </c>
      <c r="D154" s="27" t="s">
        <v>506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23020</f>
        <v>23020.0</v>
      </c>
      <c r="L154" s="34" t="s">
        <v>48</v>
      </c>
      <c r="M154" s="33" t="n">
        <f>27780</f>
        <v>27780.0</v>
      </c>
      <c r="N154" s="34" t="s">
        <v>49</v>
      </c>
      <c r="O154" s="33" t="n">
        <f>23020</f>
        <v>23020.0</v>
      </c>
      <c r="P154" s="34" t="s">
        <v>48</v>
      </c>
      <c r="Q154" s="33" t="n">
        <f>26780</f>
        <v>26780.0</v>
      </c>
      <c r="R154" s="34" t="s">
        <v>50</v>
      </c>
      <c r="S154" s="35" t="n">
        <f>25848.95</f>
        <v>25848.95</v>
      </c>
      <c r="T154" s="32" t="n">
        <f>2109</f>
        <v>2109.0</v>
      </c>
      <c r="U154" s="32" t="str">
        <f>"－"</f>
        <v>－</v>
      </c>
      <c r="V154" s="32" t="n">
        <f>55413570</f>
        <v>5.541357E7</v>
      </c>
      <c r="W154" s="32" t="str">
        <f>"－"</f>
        <v>－</v>
      </c>
      <c r="X154" s="36" t="n">
        <f>19</f>
        <v>19.0</v>
      </c>
    </row>
    <row r="155">
      <c r="A155" s="27" t="s">
        <v>42</v>
      </c>
      <c r="B155" s="27" t="s">
        <v>507</v>
      </c>
      <c r="C155" s="27" t="s">
        <v>508</v>
      </c>
      <c r="D155" s="27" t="s">
        <v>509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825</f>
        <v>825.0</v>
      </c>
      <c r="L155" s="34" t="s">
        <v>48</v>
      </c>
      <c r="M155" s="33" t="n">
        <f>919</f>
        <v>919.0</v>
      </c>
      <c r="N155" s="34" t="s">
        <v>66</v>
      </c>
      <c r="O155" s="33" t="n">
        <f>825</f>
        <v>825.0</v>
      </c>
      <c r="P155" s="34" t="s">
        <v>48</v>
      </c>
      <c r="Q155" s="33" t="n">
        <f>874</f>
        <v>874.0</v>
      </c>
      <c r="R155" s="34" t="s">
        <v>50</v>
      </c>
      <c r="S155" s="35" t="n">
        <f>877.47</f>
        <v>877.47</v>
      </c>
      <c r="T155" s="32" t="n">
        <f>128630</f>
        <v>128630.0</v>
      </c>
      <c r="U155" s="32" t="str">
        <f>"－"</f>
        <v>－</v>
      </c>
      <c r="V155" s="32" t="n">
        <f>112692300</f>
        <v>1.126923E8</v>
      </c>
      <c r="W155" s="32" t="str">
        <f>"－"</f>
        <v>－</v>
      </c>
      <c r="X155" s="36" t="n">
        <f>19</f>
        <v>19.0</v>
      </c>
    </row>
    <row r="156">
      <c r="A156" s="27" t="s">
        <v>42</v>
      </c>
      <c r="B156" s="27" t="s">
        <v>510</v>
      </c>
      <c r="C156" s="27" t="s">
        <v>511</v>
      </c>
      <c r="D156" s="27" t="s">
        <v>512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2053</f>
        <v>2053.0</v>
      </c>
      <c r="L156" s="34" t="s">
        <v>225</v>
      </c>
      <c r="M156" s="33" t="n">
        <f>2270</f>
        <v>2270.0</v>
      </c>
      <c r="N156" s="34" t="s">
        <v>66</v>
      </c>
      <c r="O156" s="33" t="n">
        <f>2053</f>
        <v>2053.0</v>
      </c>
      <c r="P156" s="34" t="s">
        <v>225</v>
      </c>
      <c r="Q156" s="33" t="n">
        <f>2258</f>
        <v>2258.0</v>
      </c>
      <c r="R156" s="34" t="s">
        <v>50</v>
      </c>
      <c r="S156" s="35" t="n">
        <f>2182.56</f>
        <v>2182.56</v>
      </c>
      <c r="T156" s="32" t="n">
        <f>8970</f>
        <v>8970.0</v>
      </c>
      <c r="U156" s="32" t="str">
        <f>"－"</f>
        <v>－</v>
      </c>
      <c r="V156" s="32" t="n">
        <f>19488250</f>
        <v>1.948825E7</v>
      </c>
      <c r="W156" s="32" t="str">
        <f>"－"</f>
        <v>－</v>
      </c>
      <c r="X156" s="36" t="n">
        <f>16</f>
        <v>16.0</v>
      </c>
    </row>
    <row r="157">
      <c r="A157" s="27" t="s">
        <v>42</v>
      </c>
      <c r="B157" s="27" t="s">
        <v>513</v>
      </c>
      <c r="C157" s="27" t="s">
        <v>514</v>
      </c>
      <c r="D157" s="27" t="s">
        <v>515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2027</f>
        <v>2027.0</v>
      </c>
      <c r="L157" s="34" t="s">
        <v>48</v>
      </c>
      <c r="M157" s="33" t="n">
        <f>2292</f>
        <v>2292.0</v>
      </c>
      <c r="N157" s="34" t="s">
        <v>66</v>
      </c>
      <c r="O157" s="33" t="n">
        <f>2027</f>
        <v>2027.0</v>
      </c>
      <c r="P157" s="34" t="s">
        <v>48</v>
      </c>
      <c r="Q157" s="33" t="n">
        <f>2270</f>
        <v>2270.0</v>
      </c>
      <c r="R157" s="34" t="s">
        <v>50</v>
      </c>
      <c r="S157" s="35" t="n">
        <f>2196.42</f>
        <v>2196.42</v>
      </c>
      <c r="T157" s="32" t="n">
        <f>23290</f>
        <v>23290.0</v>
      </c>
      <c r="U157" s="32" t="str">
        <f>"－"</f>
        <v>－</v>
      </c>
      <c r="V157" s="32" t="n">
        <f>50219630</f>
        <v>5.021963E7</v>
      </c>
      <c r="W157" s="32" t="str">
        <f>"－"</f>
        <v>－</v>
      </c>
      <c r="X157" s="36" t="n">
        <f>19</f>
        <v>19.0</v>
      </c>
    </row>
    <row r="158">
      <c r="A158" s="27" t="s">
        <v>42</v>
      </c>
      <c r="B158" s="27" t="s">
        <v>516</v>
      </c>
      <c r="C158" s="27" t="s">
        <v>517</v>
      </c>
      <c r="D158" s="27" t="s">
        <v>518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1217</f>
        <v>1217.0</v>
      </c>
      <c r="L158" s="34" t="s">
        <v>225</v>
      </c>
      <c r="M158" s="33" t="n">
        <f>1357</f>
        <v>1357.0</v>
      </c>
      <c r="N158" s="34" t="s">
        <v>66</v>
      </c>
      <c r="O158" s="33" t="n">
        <f>1217</f>
        <v>1217.0</v>
      </c>
      <c r="P158" s="34" t="s">
        <v>225</v>
      </c>
      <c r="Q158" s="33" t="n">
        <f>1344</f>
        <v>1344.0</v>
      </c>
      <c r="R158" s="34" t="s">
        <v>90</v>
      </c>
      <c r="S158" s="35" t="n">
        <f>1294.36</f>
        <v>1294.36</v>
      </c>
      <c r="T158" s="32" t="n">
        <f>8000</f>
        <v>8000.0</v>
      </c>
      <c r="U158" s="32" t="str">
        <f>"－"</f>
        <v>－</v>
      </c>
      <c r="V158" s="32" t="n">
        <f>10437020</f>
        <v>1.043702E7</v>
      </c>
      <c r="W158" s="32" t="str">
        <f>"－"</f>
        <v>－</v>
      </c>
      <c r="X158" s="36" t="n">
        <f>11</f>
        <v>11.0</v>
      </c>
    </row>
    <row r="159">
      <c r="A159" s="27" t="s">
        <v>42</v>
      </c>
      <c r="B159" s="27" t="s">
        <v>519</v>
      </c>
      <c r="C159" s="27" t="s">
        <v>520</v>
      </c>
      <c r="D159" s="27" t="s">
        <v>521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2438</f>
        <v>2438.0</v>
      </c>
      <c r="L159" s="34" t="s">
        <v>48</v>
      </c>
      <c r="M159" s="33" t="n">
        <f>2738</f>
        <v>2738.0</v>
      </c>
      <c r="N159" s="34" t="s">
        <v>66</v>
      </c>
      <c r="O159" s="33" t="n">
        <f>2437</f>
        <v>2437.0</v>
      </c>
      <c r="P159" s="34" t="s">
        <v>48</v>
      </c>
      <c r="Q159" s="33" t="n">
        <f>2689</f>
        <v>2689.0</v>
      </c>
      <c r="R159" s="34" t="s">
        <v>50</v>
      </c>
      <c r="S159" s="35" t="n">
        <f>2652.74</f>
        <v>2652.74</v>
      </c>
      <c r="T159" s="32" t="n">
        <f>5494977</f>
        <v>5494977.0</v>
      </c>
      <c r="U159" s="32" t="n">
        <f>689010</f>
        <v>689010.0</v>
      </c>
      <c r="V159" s="32" t="n">
        <f>14434473911</f>
        <v>1.4434473911E10</v>
      </c>
      <c r="W159" s="32" t="n">
        <f>1795632393</f>
        <v>1.795632393E9</v>
      </c>
      <c r="X159" s="36" t="n">
        <f>19</f>
        <v>19.0</v>
      </c>
    </row>
    <row r="160">
      <c r="A160" s="27" t="s">
        <v>42</v>
      </c>
      <c r="B160" s="27" t="s">
        <v>522</v>
      </c>
      <c r="C160" s="27" t="s">
        <v>523</v>
      </c>
      <c r="D160" s="27" t="s">
        <v>524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2605</f>
        <v>2605.0</v>
      </c>
      <c r="L160" s="34" t="s">
        <v>48</v>
      </c>
      <c r="M160" s="33" t="n">
        <f>2624</f>
        <v>2624.0</v>
      </c>
      <c r="N160" s="34" t="s">
        <v>225</v>
      </c>
      <c r="O160" s="33" t="n">
        <f>2577</f>
        <v>2577.0</v>
      </c>
      <c r="P160" s="34" t="s">
        <v>97</v>
      </c>
      <c r="Q160" s="33" t="n">
        <f>2592</f>
        <v>2592.0</v>
      </c>
      <c r="R160" s="34" t="s">
        <v>50</v>
      </c>
      <c r="S160" s="35" t="n">
        <f>2600.21</f>
        <v>2600.21</v>
      </c>
      <c r="T160" s="32" t="n">
        <f>1273363</f>
        <v>1273363.0</v>
      </c>
      <c r="U160" s="32" t="n">
        <f>787000</f>
        <v>787000.0</v>
      </c>
      <c r="V160" s="32" t="n">
        <f>3315830494</f>
        <v>3.315830494E9</v>
      </c>
      <c r="W160" s="32" t="n">
        <f>2045658100</f>
        <v>2.0456581E9</v>
      </c>
      <c r="X160" s="36" t="n">
        <f>19</f>
        <v>19.0</v>
      </c>
    </row>
    <row r="161">
      <c r="A161" s="27" t="s">
        <v>42</v>
      </c>
      <c r="B161" s="27" t="s">
        <v>525</v>
      </c>
      <c r="C161" s="27" t="s">
        <v>526</v>
      </c>
      <c r="D161" s="27" t="s">
        <v>527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2162</f>
        <v>2162.0</v>
      </c>
      <c r="L161" s="34" t="s">
        <v>48</v>
      </c>
      <c r="M161" s="33" t="n">
        <f>2455</f>
        <v>2455.0</v>
      </c>
      <c r="N161" s="34" t="s">
        <v>66</v>
      </c>
      <c r="O161" s="33" t="n">
        <f>2160</f>
        <v>2160.0</v>
      </c>
      <c r="P161" s="34" t="s">
        <v>48</v>
      </c>
      <c r="Q161" s="33" t="n">
        <f>2417</f>
        <v>2417.0</v>
      </c>
      <c r="R161" s="34" t="s">
        <v>50</v>
      </c>
      <c r="S161" s="35" t="n">
        <f>2367.68</f>
        <v>2367.68</v>
      </c>
      <c r="T161" s="32" t="n">
        <f>64691</f>
        <v>64691.0</v>
      </c>
      <c r="U161" s="32" t="n">
        <f>2</f>
        <v>2.0</v>
      </c>
      <c r="V161" s="32" t="n">
        <f>152669872</f>
        <v>1.52669872E8</v>
      </c>
      <c r="W161" s="32" t="n">
        <f>4851</f>
        <v>4851.0</v>
      </c>
      <c r="X161" s="36" t="n">
        <f>19</f>
        <v>19.0</v>
      </c>
    </row>
    <row r="162">
      <c r="A162" s="27" t="s">
        <v>42</v>
      </c>
      <c r="B162" s="27" t="s">
        <v>528</v>
      </c>
      <c r="C162" s="27" t="s">
        <v>529</v>
      </c>
      <c r="D162" s="27" t="s">
        <v>530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1856</f>
        <v>1856.0</v>
      </c>
      <c r="L162" s="34" t="s">
        <v>48</v>
      </c>
      <c r="M162" s="33" t="n">
        <f>2092</f>
        <v>2092.0</v>
      </c>
      <c r="N162" s="34" t="s">
        <v>66</v>
      </c>
      <c r="O162" s="33" t="n">
        <f>1851</f>
        <v>1851.0</v>
      </c>
      <c r="P162" s="34" t="s">
        <v>48</v>
      </c>
      <c r="Q162" s="33" t="n">
        <f>2041</f>
        <v>2041.0</v>
      </c>
      <c r="R162" s="34" t="s">
        <v>50</v>
      </c>
      <c r="S162" s="35" t="n">
        <f>2008.63</f>
        <v>2008.63</v>
      </c>
      <c r="T162" s="32" t="n">
        <f>299969</f>
        <v>299969.0</v>
      </c>
      <c r="U162" s="32" t="n">
        <f>4</f>
        <v>4.0</v>
      </c>
      <c r="V162" s="32" t="n">
        <f>595139247</f>
        <v>5.95139247E8</v>
      </c>
      <c r="W162" s="32" t="n">
        <f>8221</f>
        <v>8221.0</v>
      </c>
      <c r="X162" s="36" t="n">
        <f>19</f>
        <v>19.0</v>
      </c>
    </row>
    <row r="163">
      <c r="A163" s="27" t="s">
        <v>42</v>
      </c>
      <c r="B163" s="27" t="s">
        <v>531</v>
      </c>
      <c r="C163" s="27" t="s">
        <v>532</v>
      </c>
      <c r="D163" s="27" t="s">
        <v>533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1671</f>
        <v>1671.0</v>
      </c>
      <c r="L163" s="34" t="s">
        <v>48</v>
      </c>
      <c r="M163" s="33" t="n">
        <f>1898</f>
        <v>1898.0</v>
      </c>
      <c r="N163" s="34" t="s">
        <v>129</v>
      </c>
      <c r="O163" s="33" t="n">
        <f>1666</f>
        <v>1666.0</v>
      </c>
      <c r="P163" s="34" t="s">
        <v>48</v>
      </c>
      <c r="Q163" s="33" t="n">
        <f>1844</f>
        <v>1844.0</v>
      </c>
      <c r="R163" s="34" t="s">
        <v>50</v>
      </c>
      <c r="S163" s="35" t="n">
        <f>1826.53</f>
        <v>1826.53</v>
      </c>
      <c r="T163" s="32" t="n">
        <f>629962</f>
        <v>629962.0</v>
      </c>
      <c r="U163" s="32" t="n">
        <f>1</f>
        <v>1.0</v>
      </c>
      <c r="V163" s="32" t="n">
        <f>1143011489</f>
        <v>1.143011489E9</v>
      </c>
      <c r="W163" s="32" t="n">
        <f>1893</f>
        <v>1893.0</v>
      </c>
      <c r="X163" s="36" t="n">
        <f>19</f>
        <v>19.0</v>
      </c>
    </row>
    <row r="164">
      <c r="A164" s="27" t="s">
        <v>42</v>
      </c>
      <c r="B164" s="27" t="s">
        <v>534</v>
      </c>
      <c r="C164" s="27" t="s">
        <v>535</v>
      </c>
      <c r="D164" s="27" t="s">
        <v>536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8800</f>
        <v>8800.0</v>
      </c>
      <c r="L164" s="34" t="s">
        <v>48</v>
      </c>
      <c r="M164" s="33" t="n">
        <f>9610</f>
        <v>9610.0</v>
      </c>
      <c r="N164" s="34" t="s">
        <v>113</v>
      </c>
      <c r="O164" s="33" t="n">
        <f>8800</f>
        <v>8800.0</v>
      </c>
      <c r="P164" s="34" t="s">
        <v>48</v>
      </c>
      <c r="Q164" s="33" t="n">
        <f>9360</f>
        <v>9360.0</v>
      </c>
      <c r="R164" s="34" t="s">
        <v>50</v>
      </c>
      <c r="S164" s="35" t="n">
        <f>9266.84</f>
        <v>9266.84</v>
      </c>
      <c r="T164" s="32" t="n">
        <f>18302</f>
        <v>18302.0</v>
      </c>
      <c r="U164" s="32" t="n">
        <f>2</f>
        <v>2.0</v>
      </c>
      <c r="V164" s="32" t="n">
        <f>169993420</f>
        <v>1.6999342E8</v>
      </c>
      <c r="W164" s="32" t="n">
        <f>18770</f>
        <v>18770.0</v>
      </c>
      <c r="X164" s="36" t="n">
        <f>19</f>
        <v>19.0</v>
      </c>
    </row>
    <row r="165">
      <c r="A165" s="27" t="s">
        <v>42</v>
      </c>
      <c r="B165" s="27" t="s">
        <v>537</v>
      </c>
      <c r="C165" s="27" t="s">
        <v>538</v>
      </c>
      <c r="D165" s="27" t="s">
        <v>539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100.0</v>
      </c>
      <c r="K165" s="33" t="n">
        <f>114</f>
        <v>114.0</v>
      </c>
      <c r="L165" s="34" t="s">
        <v>48</v>
      </c>
      <c r="M165" s="33" t="n">
        <f>124</f>
        <v>124.0</v>
      </c>
      <c r="N165" s="34" t="s">
        <v>86</v>
      </c>
      <c r="O165" s="33" t="n">
        <f>111</f>
        <v>111.0</v>
      </c>
      <c r="P165" s="34" t="s">
        <v>48</v>
      </c>
      <c r="Q165" s="33" t="n">
        <f>120</f>
        <v>120.0</v>
      </c>
      <c r="R165" s="34" t="s">
        <v>50</v>
      </c>
      <c r="S165" s="35" t="n">
        <f>117.68</f>
        <v>117.68</v>
      </c>
      <c r="T165" s="32" t="n">
        <f>29800</f>
        <v>29800.0</v>
      </c>
      <c r="U165" s="32" t="str">
        <f>"－"</f>
        <v>－</v>
      </c>
      <c r="V165" s="32" t="n">
        <f>3526600</f>
        <v>3526600.0</v>
      </c>
      <c r="W165" s="32" t="str">
        <f>"－"</f>
        <v>－</v>
      </c>
      <c r="X165" s="36" t="n">
        <f>19</f>
        <v>19.0</v>
      </c>
    </row>
    <row r="166">
      <c r="A166" s="27" t="s">
        <v>42</v>
      </c>
      <c r="B166" s="27" t="s">
        <v>540</v>
      </c>
      <c r="C166" s="27" t="s">
        <v>541</v>
      </c>
      <c r="D166" s="27" t="s">
        <v>542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708</f>
        <v>708.0</v>
      </c>
      <c r="L166" s="34" t="s">
        <v>48</v>
      </c>
      <c r="M166" s="33" t="n">
        <f>928</f>
        <v>928.0</v>
      </c>
      <c r="N166" s="34" t="s">
        <v>90</v>
      </c>
      <c r="O166" s="33" t="n">
        <f>707</f>
        <v>707.0</v>
      </c>
      <c r="P166" s="34" t="s">
        <v>48</v>
      </c>
      <c r="Q166" s="33" t="n">
        <f>899</f>
        <v>899.0</v>
      </c>
      <c r="R166" s="34" t="s">
        <v>50</v>
      </c>
      <c r="S166" s="35" t="n">
        <f>838.84</f>
        <v>838.84</v>
      </c>
      <c r="T166" s="32" t="n">
        <f>61628706</f>
        <v>6.1628706E7</v>
      </c>
      <c r="U166" s="32" t="n">
        <f>538882</f>
        <v>538882.0</v>
      </c>
      <c r="V166" s="32" t="n">
        <f>51825258328</f>
        <v>5.1825258328E10</v>
      </c>
      <c r="W166" s="32" t="n">
        <f>390555489</f>
        <v>3.90555489E8</v>
      </c>
      <c r="X166" s="36" t="n">
        <f>19</f>
        <v>19.0</v>
      </c>
    </row>
    <row r="167">
      <c r="A167" s="27" t="s">
        <v>42</v>
      </c>
      <c r="B167" s="27" t="s">
        <v>543</v>
      </c>
      <c r="C167" s="27" t="s">
        <v>544</v>
      </c>
      <c r="D167" s="27" t="s">
        <v>545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18340</f>
        <v>18340.0</v>
      </c>
      <c r="L167" s="34" t="s">
        <v>48</v>
      </c>
      <c r="M167" s="33" t="n">
        <f>19330</f>
        <v>19330.0</v>
      </c>
      <c r="N167" s="34" t="s">
        <v>97</v>
      </c>
      <c r="O167" s="33" t="n">
        <f>17400</f>
        <v>17400.0</v>
      </c>
      <c r="P167" s="34" t="s">
        <v>50</v>
      </c>
      <c r="Q167" s="33" t="n">
        <f>17510</f>
        <v>17510.0</v>
      </c>
      <c r="R167" s="34" t="s">
        <v>50</v>
      </c>
      <c r="S167" s="35" t="n">
        <f>18510.53</f>
        <v>18510.53</v>
      </c>
      <c r="T167" s="32" t="n">
        <f>7705</f>
        <v>7705.0</v>
      </c>
      <c r="U167" s="32" t="str">
        <f>"－"</f>
        <v>－</v>
      </c>
      <c r="V167" s="32" t="n">
        <f>141853880</f>
        <v>1.4185388E8</v>
      </c>
      <c r="W167" s="32" t="str">
        <f>"－"</f>
        <v>－</v>
      </c>
      <c r="X167" s="36" t="n">
        <f>19</f>
        <v>19.0</v>
      </c>
    </row>
    <row r="168">
      <c r="A168" s="27" t="s">
        <v>42</v>
      </c>
      <c r="B168" s="27" t="s">
        <v>546</v>
      </c>
      <c r="C168" s="27" t="s">
        <v>547</v>
      </c>
      <c r="D168" s="27" t="s">
        <v>548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2277</f>
        <v>2277.0</v>
      </c>
      <c r="L168" s="34" t="s">
        <v>48</v>
      </c>
      <c r="M168" s="33" t="n">
        <f>2519</f>
        <v>2519.0</v>
      </c>
      <c r="N168" s="34" t="s">
        <v>97</v>
      </c>
      <c r="O168" s="33" t="n">
        <f>2120</f>
        <v>2120.0</v>
      </c>
      <c r="P168" s="34" t="s">
        <v>50</v>
      </c>
      <c r="Q168" s="33" t="n">
        <f>2145</f>
        <v>2145.0</v>
      </c>
      <c r="R168" s="34" t="s">
        <v>50</v>
      </c>
      <c r="S168" s="35" t="n">
        <f>2347.84</f>
        <v>2347.84</v>
      </c>
      <c r="T168" s="32" t="n">
        <f>29790</f>
        <v>29790.0</v>
      </c>
      <c r="U168" s="32" t="str">
        <f>"－"</f>
        <v>－</v>
      </c>
      <c r="V168" s="32" t="n">
        <f>68821390</f>
        <v>6.882139E7</v>
      </c>
      <c r="W168" s="32" t="str">
        <f>"－"</f>
        <v>－</v>
      </c>
      <c r="X168" s="36" t="n">
        <f>19</f>
        <v>19.0</v>
      </c>
    </row>
    <row r="169">
      <c r="A169" s="27" t="s">
        <v>42</v>
      </c>
      <c r="B169" s="27" t="s">
        <v>549</v>
      </c>
      <c r="C169" s="27" t="s">
        <v>550</v>
      </c>
      <c r="D169" s="27" t="s">
        <v>551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8250</f>
        <v>8250.0</v>
      </c>
      <c r="L169" s="34" t="s">
        <v>48</v>
      </c>
      <c r="M169" s="33" t="n">
        <f>9600</f>
        <v>9600.0</v>
      </c>
      <c r="N169" s="34" t="s">
        <v>49</v>
      </c>
      <c r="O169" s="33" t="n">
        <f>8200</f>
        <v>8200.0</v>
      </c>
      <c r="P169" s="34" t="s">
        <v>48</v>
      </c>
      <c r="Q169" s="33" t="n">
        <f>9390</f>
        <v>9390.0</v>
      </c>
      <c r="R169" s="34" t="s">
        <v>50</v>
      </c>
      <c r="S169" s="35" t="n">
        <f>9002.11</f>
        <v>9002.11</v>
      </c>
      <c r="T169" s="32" t="n">
        <f>16171</f>
        <v>16171.0</v>
      </c>
      <c r="U169" s="32" t="n">
        <f>1</f>
        <v>1.0</v>
      </c>
      <c r="V169" s="32" t="n">
        <f>147544580</f>
        <v>1.4754458E8</v>
      </c>
      <c r="W169" s="32" t="n">
        <f>8670</f>
        <v>8670.0</v>
      </c>
      <c r="X169" s="36" t="n">
        <f>19</f>
        <v>19.0</v>
      </c>
    </row>
    <row r="170">
      <c r="A170" s="27" t="s">
        <v>42</v>
      </c>
      <c r="B170" s="27" t="s">
        <v>552</v>
      </c>
      <c r="C170" s="27" t="s">
        <v>553</v>
      </c>
      <c r="D170" s="27" t="s">
        <v>554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22500</f>
        <v>22500.0</v>
      </c>
      <c r="L170" s="34" t="s">
        <v>225</v>
      </c>
      <c r="M170" s="33" t="n">
        <f>24900</f>
        <v>24900.0</v>
      </c>
      <c r="N170" s="34" t="s">
        <v>555</v>
      </c>
      <c r="O170" s="33" t="n">
        <f>22400</f>
        <v>22400.0</v>
      </c>
      <c r="P170" s="34" t="s">
        <v>225</v>
      </c>
      <c r="Q170" s="33" t="n">
        <f>23400</f>
        <v>23400.0</v>
      </c>
      <c r="R170" s="34" t="s">
        <v>90</v>
      </c>
      <c r="S170" s="35" t="n">
        <f>23606.92</f>
        <v>23606.92</v>
      </c>
      <c r="T170" s="32" t="n">
        <f>184</f>
        <v>184.0</v>
      </c>
      <c r="U170" s="32" t="str">
        <f>"－"</f>
        <v>－</v>
      </c>
      <c r="V170" s="32" t="n">
        <f>4393580</f>
        <v>4393580.0</v>
      </c>
      <c r="W170" s="32" t="str">
        <f>"－"</f>
        <v>－</v>
      </c>
      <c r="X170" s="36" t="n">
        <f>13</f>
        <v>13.0</v>
      </c>
    </row>
    <row r="171">
      <c r="A171" s="27" t="s">
        <v>42</v>
      </c>
      <c r="B171" s="27" t="s">
        <v>556</v>
      </c>
      <c r="C171" s="27" t="s">
        <v>557</v>
      </c>
      <c r="D171" s="27" t="s">
        <v>558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15240</f>
        <v>15240.0</v>
      </c>
      <c r="L171" s="34" t="s">
        <v>48</v>
      </c>
      <c r="M171" s="33" t="n">
        <f>17200</f>
        <v>17200.0</v>
      </c>
      <c r="N171" s="34" t="s">
        <v>113</v>
      </c>
      <c r="O171" s="33" t="n">
        <f>15240</f>
        <v>15240.0</v>
      </c>
      <c r="P171" s="34" t="s">
        <v>48</v>
      </c>
      <c r="Q171" s="33" t="n">
        <f>16460</f>
        <v>16460.0</v>
      </c>
      <c r="R171" s="34" t="s">
        <v>50</v>
      </c>
      <c r="S171" s="35" t="n">
        <f>16590</f>
        <v>16590.0</v>
      </c>
      <c r="T171" s="32" t="n">
        <f>12</f>
        <v>12.0</v>
      </c>
      <c r="U171" s="32" t="str">
        <f>"－"</f>
        <v>－</v>
      </c>
      <c r="V171" s="32" t="n">
        <f>194910</f>
        <v>194910.0</v>
      </c>
      <c r="W171" s="32" t="str">
        <f>"－"</f>
        <v>－</v>
      </c>
      <c r="X171" s="36" t="n">
        <f>4</f>
        <v>4.0</v>
      </c>
    </row>
    <row r="172">
      <c r="A172" s="27" t="s">
        <v>42</v>
      </c>
      <c r="B172" s="27" t="s">
        <v>559</v>
      </c>
      <c r="C172" s="27" t="s">
        <v>560</v>
      </c>
      <c r="D172" s="27" t="s">
        <v>561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50800</f>
        <v>50800.0</v>
      </c>
      <c r="L172" s="34" t="s">
        <v>48</v>
      </c>
      <c r="M172" s="33" t="n">
        <f>51300</f>
        <v>51300.0</v>
      </c>
      <c r="N172" s="34" t="s">
        <v>90</v>
      </c>
      <c r="O172" s="33" t="n">
        <f>50500</f>
        <v>50500.0</v>
      </c>
      <c r="P172" s="34" t="s">
        <v>48</v>
      </c>
      <c r="Q172" s="33" t="n">
        <f>51300</f>
        <v>51300.0</v>
      </c>
      <c r="R172" s="34" t="s">
        <v>50</v>
      </c>
      <c r="S172" s="35" t="n">
        <f>50894.74</f>
        <v>50894.74</v>
      </c>
      <c r="T172" s="32" t="n">
        <f>8150</f>
        <v>8150.0</v>
      </c>
      <c r="U172" s="32" t="n">
        <f>20</f>
        <v>20.0</v>
      </c>
      <c r="V172" s="32" t="n">
        <f>414664000</f>
        <v>4.14664E8</v>
      </c>
      <c r="W172" s="32" t="n">
        <f>1015000</f>
        <v>1015000.0</v>
      </c>
      <c r="X172" s="36" t="n">
        <f>19</f>
        <v>19.0</v>
      </c>
    </row>
    <row r="173">
      <c r="A173" s="27" t="s">
        <v>42</v>
      </c>
      <c r="B173" s="27" t="s">
        <v>562</v>
      </c>
      <c r="C173" s="27" t="s">
        <v>563</v>
      </c>
      <c r="D173" s="27" t="s">
        <v>564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146</f>
        <v>146.0</v>
      </c>
      <c r="L173" s="34" t="s">
        <v>48</v>
      </c>
      <c r="M173" s="33" t="n">
        <f>167</f>
        <v>167.0</v>
      </c>
      <c r="N173" s="34" t="s">
        <v>66</v>
      </c>
      <c r="O173" s="33" t="n">
        <f>145</f>
        <v>145.0</v>
      </c>
      <c r="P173" s="34" t="s">
        <v>48</v>
      </c>
      <c r="Q173" s="33" t="n">
        <f>161</f>
        <v>161.0</v>
      </c>
      <c r="R173" s="34" t="s">
        <v>50</v>
      </c>
      <c r="S173" s="35" t="n">
        <f>159.05</f>
        <v>159.05</v>
      </c>
      <c r="T173" s="32" t="n">
        <f>9200200</f>
        <v>9200200.0</v>
      </c>
      <c r="U173" s="32" t="n">
        <f>9400</f>
        <v>9400.0</v>
      </c>
      <c r="V173" s="32" t="n">
        <f>1473532900</f>
        <v>1.4735329E9</v>
      </c>
      <c r="W173" s="32" t="n">
        <f>1522500</f>
        <v>1522500.0</v>
      </c>
      <c r="X173" s="36" t="n">
        <f>19</f>
        <v>19.0</v>
      </c>
    </row>
    <row r="174">
      <c r="A174" s="27" t="s">
        <v>42</v>
      </c>
      <c r="B174" s="27" t="s">
        <v>565</v>
      </c>
      <c r="C174" s="27" t="s">
        <v>566</v>
      </c>
      <c r="D174" s="27" t="s">
        <v>567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24630</f>
        <v>24630.0</v>
      </c>
      <c r="L174" s="34" t="s">
        <v>48</v>
      </c>
      <c r="M174" s="33" t="n">
        <f>28110</f>
        <v>28110.0</v>
      </c>
      <c r="N174" s="34" t="s">
        <v>66</v>
      </c>
      <c r="O174" s="33" t="n">
        <f>24610</f>
        <v>24610.0</v>
      </c>
      <c r="P174" s="34" t="s">
        <v>48</v>
      </c>
      <c r="Q174" s="33" t="n">
        <f>27500</f>
        <v>27500.0</v>
      </c>
      <c r="R174" s="34" t="s">
        <v>50</v>
      </c>
      <c r="S174" s="35" t="n">
        <f>27078.95</f>
        <v>27078.95</v>
      </c>
      <c r="T174" s="32" t="n">
        <f>13480</f>
        <v>13480.0</v>
      </c>
      <c r="U174" s="32" t="n">
        <f>10</f>
        <v>10.0</v>
      </c>
      <c r="V174" s="32" t="n">
        <f>361660600</f>
        <v>3.616606E8</v>
      </c>
      <c r="W174" s="32" t="n">
        <f>270800</f>
        <v>270800.0</v>
      </c>
      <c r="X174" s="36" t="n">
        <f>19</f>
        <v>19.0</v>
      </c>
    </row>
    <row r="175">
      <c r="A175" s="27" t="s">
        <v>42</v>
      </c>
      <c r="B175" s="27" t="s">
        <v>568</v>
      </c>
      <c r="C175" s="27" t="s">
        <v>569</v>
      </c>
      <c r="D175" s="27" t="s">
        <v>570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2533</f>
        <v>2533.0</v>
      </c>
      <c r="L175" s="34" t="s">
        <v>48</v>
      </c>
      <c r="M175" s="33" t="n">
        <f>2839</f>
        <v>2839.0</v>
      </c>
      <c r="N175" s="34" t="s">
        <v>66</v>
      </c>
      <c r="O175" s="33" t="n">
        <f>2526</f>
        <v>2526.0</v>
      </c>
      <c r="P175" s="34" t="s">
        <v>48</v>
      </c>
      <c r="Q175" s="33" t="n">
        <f>2789</f>
        <v>2789.0</v>
      </c>
      <c r="R175" s="34" t="s">
        <v>50</v>
      </c>
      <c r="S175" s="35" t="n">
        <f>2744.16</f>
        <v>2744.16</v>
      </c>
      <c r="T175" s="32" t="n">
        <f>169420</f>
        <v>169420.0</v>
      </c>
      <c r="U175" s="32" t="n">
        <f>10</f>
        <v>10.0</v>
      </c>
      <c r="V175" s="32" t="n">
        <f>469504280</f>
        <v>4.6950428E8</v>
      </c>
      <c r="W175" s="32" t="n">
        <f>27210</f>
        <v>27210.0</v>
      </c>
      <c r="X175" s="36" t="n">
        <f>19</f>
        <v>19.0</v>
      </c>
    </row>
    <row r="176">
      <c r="A176" s="27" t="s">
        <v>42</v>
      </c>
      <c r="B176" s="27" t="s">
        <v>571</v>
      </c>
      <c r="C176" s="27" t="s">
        <v>572</v>
      </c>
      <c r="D176" s="27" t="s">
        <v>573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1454</f>
        <v>1454.0</v>
      </c>
      <c r="L176" s="34" t="s">
        <v>48</v>
      </c>
      <c r="M176" s="33" t="n">
        <f>1629</f>
        <v>1629.0</v>
      </c>
      <c r="N176" s="34" t="s">
        <v>66</v>
      </c>
      <c r="O176" s="33" t="n">
        <f>1453</f>
        <v>1453.0</v>
      </c>
      <c r="P176" s="34" t="s">
        <v>48</v>
      </c>
      <c r="Q176" s="33" t="n">
        <f>1591</f>
        <v>1591.0</v>
      </c>
      <c r="R176" s="34" t="s">
        <v>50</v>
      </c>
      <c r="S176" s="35" t="n">
        <f>1566.32</f>
        <v>1566.32</v>
      </c>
      <c r="T176" s="32" t="n">
        <f>196100</f>
        <v>196100.0</v>
      </c>
      <c r="U176" s="32" t="n">
        <f>30</f>
        <v>30.0</v>
      </c>
      <c r="V176" s="32" t="n">
        <f>308842770</f>
        <v>3.0884277E8</v>
      </c>
      <c r="W176" s="32" t="n">
        <f>47480</f>
        <v>47480.0</v>
      </c>
      <c r="X176" s="36" t="n">
        <f>19</f>
        <v>19.0</v>
      </c>
    </row>
    <row r="177">
      <c r="A177" s="27" t="s">
        <v>42</v>
      </c>
      <c r="B177" s="27" t="s">
        <v>574</v>
      </c>
      <c r="C177" s="27" t="s">
        <v>575</v>
      </c>
      <c r="D177" s="27" t="s">
        <v>576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152</f>
        <v>152.0</v>
      </c>
      <c r="L177" s="34" t="s">
        <v>48</v>
      </c>
      <c r="M177" s="33" t="n">
        <f>178</f>
        <v>178.0</v>
      </c>
      <c r="N177" s="34" t="s">
        <v>90</v>
      </c>
      <c r="O177" s="33" t="n">
        <f>151</f>
        <v>151.0</v>
      </c>
      <c r="P177" s="34" t="s">
        <v>48</v>
      </c>
      <c r="Q177" s="33" t="n">
        <f>170</f>
        <v>170.0</v>
      </c>
      <c r="R177" s="34" t="s">
        <v>50</v>
      </c>
      <c r="S177" s="35" t="n">
        <f>164.89</f>
        <v>164.89</v>
      </c>
      <c r="T177" s="32" t="n">
        <f>779200</f>
        <v>779200.0</v>
      </c>
      <c r="U177" s="32" t="n">
        <f>100</f>
        <v>100.0</v>
      </c>
      <c r="V177" s="32" t="n">
        <f>129903900</f>
        <v>1.299039E8</v>
      </c>
      <c r="W177" s="32" t="n">
        <f>17200</f>
        <v>17200.0</v>
      </c>
      <c r="X177" s="36" t="n">
        <f>19</f>
        <v>19.0</v>
      </c>
    </row>
    <row r="178">
      <c r="A178" s="27" t="s">
        <v>42</v>
      </c>
      <c r="B178" s="27" t="s">
        <v>577</v>
      </c>
      <c r="C178" s="27" t="s">
        <v>578</v>
      </c>
      <c r="D178" s="27" t="s">
        <v>579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795</f>
        <v>795.0</v>
      </c>
      <c r="L178" s="34" t="s">
        <v>314</v>
      </c>
      <c r="M178" s="33" t="n">
        <f>795</f>
        <v>795.0</v>
      </c>
      <c r="N178" s="34" t="s">
        <v>314</v>
      </c>
      <c r="O178" s="33" t="n">
        <f>795</f>
        <v>795.0</v>
      </c>
      <c r="P178" s="34" t="s">
        <v>314</v>
      </c>
      <c r="Q178" s="33" t="n">
        <f>795</f>
        <v>795.0</v>
      </c>
      <c r="R178" s="34" t="s">
        <v>314</v>
      </c>
      <c r="S178" s="35" t="n">
        <f>795</f>
        <v>795.0</v>
      </c>
      <c r="T178" s="32" t="n">
        <f>10</f>
        <v>10.0</v>
      </c>
      <c r="U178" s="32" t="str">
        <f>"－"</f>
        <v>－</v>
      </c>
      <c r="V178" s="32" t="n">
        <f>7950</f>
        <v>7950.0</v>
      </c>
      <c r="W178" s="32" t="str">
        <f>"－"</f>
        <v>－</v>
      </c>
      <c r="X178" s="36" t="n">
        <f>1</f>
        <v>1.0</v>
      </c>
    </row>
    <row r="179">
      <c r="A179" s="27" t="s">
        <v>42</v>
      </c>
      <c r="B179" s="27" t="s">
        <v>580</v>
      </c>
      <c r="C179" s="27" t="s">
        <v>581</v>
      </c>
      <c r="D179" s="27" t="s">
        <v>582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207</f>
        <v>207.0</v>
      </c>
      <c r="L179" s="34" t="s">
        <v>48</v>
      </c>
      <c r="M179" s="33" t="n">
        <f>222</f>
        <v>222.0</v>
      </c>
      <c r="N179" s="34" t="s">
        <v>90</v>
      </c>
      <c r="O179" s="33" t="n">
        <f>196</f>
        <v>196.0</v>
      </c>
      <c r="P179" s="34" t="s">
        <v>97</v>
      </c>
      <c r="Q179" s="33" t="n">
        <f>216</f>
        <v>216.0</v>
      </c>
      <c r="R179" s="34" t="s">
        <v>50</v>
      </c>
      <c r="S179" s="35" t="n">
        <f>211.71</f>
        <v>211.71</v>
      </c>
      <c r="T179" s="32" t="n">
        <f>15500</f>
        <v>15500.0</v>
      </c>
      <c r="U179" s="32" t="str">
        <f>"－"</f>
        <v>－</v>
      </c>
      <c r="V179" s="32" t="n">
        <f>3346000</f>
        <v>3346000.0</v>
      </c>
      <c r="W179" s="32" t="str">
        <f>"－"</f>
        <v>－</v>
      </c>
      <c r="X179" s="36" t="n">
        <f>17</f>
        <v>17.0</v>
      </c>
    </row>
    <row r="180">
      <c r="A180" s="27" t="s">
        <v>42</v>
      </c>
      <c r="B180" s="27" t="s">
        <v>583</v>
      </c>
      <c r="C180" s="27" t="s">
        <v>584</v>
      </c>
      <c r="D180" s="27" t="s">
        <v>585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1260</f>
        <v>1260.0</v>
      </c>
      <c r="L180" s="34" t="s">
        <v>225</v>
      </c>
      <c r="M180" s="33" t="n">
        <f>1361</f>
        <v>1361.0</v>
      </c>
      <c r="N180" s="34" t="s">
        <v>66</v>
      </c>
      <c r="O180" s="33" t="n">
        <f>1260</f>
        <v>1260.0</v>
      </c>
      <c r="P180" s="34" t="s">
        <v>225</v>
      </c>
      <c r="Q180" s="33" t="n">
        <f>1335</f>
        <v>1335.0</v>
      </c>
      <c r="R180" s="34" t="s">
        <v>50</v>
      </c>
      <c r="S180" s="35" t="n">
        <f>1299.2</f>
        <v>1299.2</v>
      </c>
      <c r="T180" s="32" t="n">
        <f>140</f>
        <v>140.0</v>
      </c>
      <c r="U180" s="32" t="str">
        <f>"－"</f>
        <v>－</v>
      </c>
      <c r="V180" s="32" t="n">
        <f>182620</f>
        <v>182620.0</v>
      </c>
      <c r="W180" s="32" t="str">
        <f>"－"</f>
        <v>－</v>
      </c>
      <c r="X180" s="36" t="n">
        <f>5</f>
        <v>5.0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432</f>
        <v>432.0</v>
      </c>
      <c r="L181" s="34" t="s">
        <v>48</v>
      </c>
      <c r="M181" s="33" t="n">
        <f>459</f>
        <v>459.0</v>
      </c>
      <c r="N181" s="34" t="s">
        <v>90</v>
      </c>
      <c r="O181" s="33" t="n">
        <f>420</f>
        <v>420.0</v>
      </c>
      <c r="P181" s="34" t="s">
        <v>48</v>
      </c>
      <c r="Q181" s="33" t="n">
        <f>452</f>
        <v>452.0</v>
      </c>
      <c r="R181" s="34" t="s">
        <v>50</v>
      </c>
      <c r="S181" s="35" t="n">
        <f>443.32</f>
        <v>443.32</v>
      </c>
      <c r="T181" s="32" t="n">
        <f>30100</f>
        <v>30100.0</v>
      </c>
      <c r="U181" s="32" t="str">
        <f>"－"</f>
        <v>－</v>
      </c>
      <c r="V181" s="32" t="n">
        <f>13491480</f>
        <v>1.349148E7</v>
      </c>
      <c r="W181" s="32" t="str">
        <f>"－"</f>
        <v>－</v>
      </c>
      <c r="X181" s="36" t="n">
        <f>19</f>
        <v>19.0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310</f>
        <v>310.0</v>
      </c>
      <c r="L182" s="34" t="s">
        <v>48</v>
      </c>
      <c r="M182" s="33" t="n">
        <f>342</f>
        <v>342.0</v>
      </c>
      <c r="N182" s="34" t="s">
        <v>66</v>
      </c>
      <c r="O182" s="33" t="n">
        <f>303</f>
        <v>303.0</v>
      </c>
      <c r="P182" s="34" t="s">
        <v>48</v>
      </c>
      <c r="Q182" s="33" t="n">
        <f>338</f>
        <v>338.0</v>
      </c>
      <c r="R182" s="34" t="s">
        <v>50</v>
      </c>
      <c r="S182" s="35" t="n">
        <f>325.63</f>
        <v>325.63</v>
      </c>
      <c r="T182" s="32" t="n">
        <f>273480</f>
        <v>273480.0</v>
      </c>
      <c r="U182" s="32" t="n">
        <f>10</f>
        <v>10.0</v>
      </c>
      <c r="V182" s="32" t="n">
        <f>89191540</f>
        <v>8.919154E7</v>
      </c>
      <c r="W182" s="32" t="n">
        <f>3230</f>
        <v>3230.0</v>
      </c>
      <c r="X182" s="36" t="n">
        <f>19</f>
        <v>19.0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100.0</v>
      </c>
      <c r="K183" s="33" t="n">
        <f>1</f>
        <v>1.0</v>
      </c>
      <c r="L183" s="34" t="s">
        <v>48</v>
      </c>
      <c r="M183" s="33" t="n">
        <f>2</f>
        <v>2.0</v>
      </c>
      <c r="N183" s="34" t="s">
        <v>48</v>
      </c>
      <c r="O183" s="33" t="n">
        <f>1</f>
        <v>1.0</v>
      </c>
      <c r="P183" s="34" t="s">
        <v>48</v>
      </c>
      <c r="Q183" s="33" t="n">
        <f>2</f>
        <v>2.0</v>
      </c>
      <c r="R183" s="34" t="s">
        <v>50</v>
      </c>
      <c r="S183" s="35" t="n">
        <f>1.47</f>
        <v>1.47</v>
      </c>
      <c r="T183" s="32" t="n">
        <f>208074000</f>
        <v>2.08074E8</v>
      </c>
      <c r="U183" s="32" t="str">
        <f>"－"</f>
        <v>－</v>
      </c>
      <c r="V183" s="32" t="n">
        <f>343609700</f>
        <v>3.436097E8</v>
      </c>
      <c r="W183" s="32" t="str">
        <f>"－"</f>
        <v>－</v>
      </c>
      <c r="X183" s="36" t="n">
        <f>19</f>
        <v>19.0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330</f>
        <v>330.0</v>
      </c>
      <c r="L184" s="34" t="s">
        <v>48</v>
      </c>
      <c r="M184" s="33" t="n">
        <f>431</f>
        <v>431.0</v>
      </c>
      <c r="N184" s="34" t="s">
        <v>90</v>
      </c>
      <c r="O184" s="33" t="n">
        <f>329</f>
        <v>329.0</v>
      </c>
      <c r="P184" s="34" t="s">
        <v>48</v>
      </c>
      <c r="Q184" s="33" t="n">
        <f>417</f>
        <v>417.0</v>
      </c>
      <c r="R184" s="34" t="s">
        <v>50</v>
      </c>
      <c r="S184" s="35" t="n">
        <f>389.53</f>
        <v>389.53</v>
      </c>
      <c r="T184" s="32" t="n">
        <f>1892150</f>
        <v>1892150.0</v>
      </c>
      <c r="U184" s="32" t="n">
        <f>10</f>
        <v>10.0</v>
      </c>
      <c r="V184" s="32" t="n">
        <f>742812360</f>
        <v>7.4281236E8</v>
      </c>
      <c r="W184" s="32" t="n">
        <f>4080</f>
        <v>4080.0</v>
      </c>
      <c r="X184" s="36" t="n">
        <f>19</f>
        <v>19.0</v>
      </c>
    </row>
    <row r="185">
      <c r="A185" s="27" t="s">
        <v>42</v>
      </c>
      <c r="B185" s="27" t="s">
        <v>598</v>
      </c>
      <c r="C185" s="27" t="s">
        <v>599</v>
      </c>
      <c r="D185" s="27" t="s">
        <v>600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1.0</v>
      </c>
      <c r="K185" s="33" t="n">
        <f>1485</f>
        <v>1485.0</v>
      </c>
      <c r="L185" s="34" t="s">
        <v>48</v>
      </c>
      <c r="M185" s="33" t="n">
        <f>1795</f>
        <v>1795.0</v>
      </c>
      <c r="N185" s="34" t="s">
        <v>49</v>
      </c>
      <c r="O185" s="33" t="n">
        <f>1430</f>
        <v>1430.0</v>
      </c>
      <c r="P185" s="34" t="s">
        <v>48</v>
      </c>
      <c r="Q185" s="33" t="n">
        <f>1732</f>
        <v>1732.0</v>
      </c>
      <c r="R185" s="34" t="s">
        <v>50</v>
      </c>
      <c r="S185" s="35" t="n">
        <f>1631.06</f>
        <v>1631.06</v>
      </c>
      <c r="T185" s="32" t="n">
        <f>2191</f>
        <v>2191.0</v>
      </c>
      <c r="U185" s="32" t="n">
        <f>1</f>
        <v>1.0</v>
      </c>
      <c r="V185" s="32" t="n">
        <f>3657724</f>
        <v>3657724.0</v>
      </c>
      <c r="W185" s="32" t="n">
        <f>1774</f>
        <v>1774.0</v>
      </c>
      <c r="X185" s="36" t="n">
        <f>18</f>
        <v>18.0</v>
      </c>
    </row>
    <row r="186">
      <c r="A186" s="27" t="s">
        <v>42</v>
      </c>
      <c r="B186" s="27" t="s">
        <v>601</v>
      </c>
      <c r="C186" s="27" t="s">
        <v>602</v>
      </c>
      <c r="D186" s="27" t="s">
        <v>603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100.0</v>
      </c>
      <c r="K186" s="33" t="n">
        <f>281</f>
        <v>281.0</v>
      </c>
      <c r="L186" s="34" t="s">
        <v>218</v>
      </c>
      <c r="M186" s="33" t="n">
        <f>290</f>
        <v>290.0</v>
      </c>
      <c r="N186" s="34" t="s">
        <v>555</v>
      </c>
      <c r="O186" s="33" t="n">
        <f>280</f>
        <v>280.0</v>
      </c>
      <c r="P186" s="34" t="s">
        <v>218</v>
      </c>
      <c r="Q186" s="33" t="n">
        <f>290</f>
        <v>290.0</v>
      </c>
      <c r="R186" s="34" t="s">
        <v>555</v>
      </c>
      <c r="S186" s="35" t="n">
        <f>285</f>
        <v>285.0</v>
      </c>
      <c r="T186" s="32" t="n">
        <f>3500</f>
        <v>3500.0</v>
      </c>
      <c r="U186" s="32" t="str">
        <f>"－"</f>
        <v>－</v>
      </c>
      <c r="V186" s="32" t="n">
        <f>985100</f>
        <v>985100.0</v>
      </c>
      <c r="W186" s="32" t="str">
        <f>"－"</f>
        <v>－</v>
      </c>
      <c r="X186" s="36" t="n">
        <f>2</f>
        <v>2.0</v>
      </c>
    </row>
    <row r="187">
      <c r="A187" s="27" t="s">
        <v>42</v>
      </c>
      <c r="B187" s="27" t="s">
        <v>604</v>
      </c>
      <c r="C187" s="27" t="s">
        <v>605</v>
      </c>
      <c r="D187" s="27" t="s">
        <v>606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10.0</v>
      </c>
      <c r="K187" s="33" t="n">
        <f>2899</f>
        <v>2899.0</v>
      </c>
      <c r="L187" s="34" t="s">
        <v>48</v>
      </c>
      <c r="M187" s="33" t="n">
        <f>3440</f>
        <v>3440.0</v>
      </c>
      <c r="N187" s="34" t="s">
        <v>50</v>
      </c>
      <c r="O187" s="33" t="n">
        <f>2805</f>
        <v>2805.0</v>
      </c>
      <c r="P187" s="34" t="s">
        <v>225</v>
      </c>
      <c r="Q187" s="33" t="n">
        <f>3240</f>
        <v>3240.0</v>
      </c>
      <c r="R187" s="34" t="s">
        <v>50</v>
      </c>
      <c r="S187" s="35" t="n">
        <f>3033.5</f>
        <v>3033.5</v>
      </c>
      <c r="T187" s="32" t="n">
        <f>12020</f>
        <v>12020.0</v>
      </c>
      <c r="U187" s="32" t="str">
        <f>"－"</f>
        <v>－</v>
      </c>
      <c r="V187" s="32" t="n">
        <f>37643600</f>
        <v>3.76436E7</v>
      </c>
      <c r="W187" s="32" t="str">
        <f>"－"</f>
        <v>－</v>
      </c>
      <c r="X187" s="36" t="n">
        <f>18</f>
        <v>18.0</v>
      </c>
    </row>
    <row r="188">
      <c r="A188" s="27" t="s">
        <v>42</v>
      </c>
      <c r="B188" s="27" t="s">
        <v>607</v>
      </c>
      <c r="C188" s="27" t="s">
        <v>608</v>
      </c>
      <c r="D188" s="27" t="s">
        <v>609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1525</f>
        <v>1525.0</v>
      </c>
      <c r="L188" s="34" t="s">
        <v>97</v>
      </c>
      <c r="M188" s="33" t="n">
        <f>1744</f>
        <v>1744.0</v>
      </c>
      <c r="N188" s="34" t="s">
        <v>50</v>
      </c>
      <c r="O188" s="33" t="n">
        <f>1525</f>
        <v>1525.0</v>
      </c>
      <c r="P188" s="34" t="s">
        <v>97</v>
      </c>
      <c r="Q188" s="33" t="n">
        <f>1739</f>
        <v>1739.0</v>
      </c>
      <c r="R188" s="34" t="s">
        <v>50</v>
      </c>
      <c r="S188" s="35" t="n">
        <f>1614.33</f>
        <v>1614.33</v>
      </c>
      <c r="T188" s="32" t="n">
        <f>860</f>
        <v>860.0</v>
      </c>
      <c r="U188" s="32" t="n">
        <f>130</f>
        <v>130.0</v>
      </c>
      <c r="V188" s="32" t="n">
        <f>1382690</f>
        <v>1382690.0</v>
      </c>
      <c r="W188" s="32" t="n">
        <f>204100</f>
        <v>204100.0</v>
      </c>
      <c r="X188" s="36" t="n">
        <f>9</f>
        <v>9.0</v>
      </c>
    </row>
    <row r="189">
      <c r="A189" s="27" t="s">
        <v>42</v>
      </c>
      <c r="B189" s="27" t="s">
        <v>610</v>
      </c>
      <c r="C189" s="27" t="s">
        <v>611</v>
      </c>
      <c r="D189" s="27" t="s">
        <v>612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100.0</v>
      </c>
      <c r="K189" s="33" t="n">
        <f>71</f>
        <v>71.0</v>
      </c>
      <c r="L189" s="34" t="s">
        <v>48</v>
      </c>
      <c r="M189" s="33" t="n">
        <f>74</f>
        <v>74.0</v>
      </c>
      <c r="N189" s="34" t="s">
        <v>113</v>
      </c>
      <c r="O189" s="33" t="n">
        <f>69</f>
        <v>69.0</v>
      </c>
      <c r="P189" s="34" t="s">
        <v>130</v>
      </c>
      <c r="Q189" s="33" t="n">
        <f>70</f>
        <v>70.0</v>
      </c>
      <c r="R189" s="34" t="s">
        <v>50</v>
      </c>
      <c r="S189" s="35" t="n">
        <f>71</f>
        <v>71.0</v>
      </c>
      <c r="T189" s="32" t="n">
        <f>5505600</f>
        <v>5505600.0</v>
      </c>
      <c r="U189" s="32" t="n">
        <f>100</f>
        <v>100.0</v>
      </c>
      <c r="V189" s="32" t="n">
        <f>392810200</f>
        <v>3.928102E8</v>
      </c>
      <c r="W189" s="32" t="n">
        <f>7200</f>
        <v>7200.0</v>
      </c>
      <c r="X189" s="36" t="n">
        <f>19</f>
        <v>19.0</v>
      </c>
    </row>
    <row r="190">
      <c r="A190" s="27" t="s">
        <v>42</v>
      </c>
      <c r="B190" s="27" t="s">
        <v>613</v>
      </c>
      <c r="C190" s="27" t="s">
        <v>614</v>
      </c>
      <c r="D190" s="27" t="s">
        <v>615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100.0</v>
      </c>
      <c r="K190" s="33" t="n">
        <f>73</f>
        <v>73.0</v>
      </c>
      <c r="L190" s="34" t="s">
        <v>48</v>
      </c>
      <c r="M190" s="33" t="n">
        <f>79</f>
        <v>79.0</v>
      </c>
      <c r="N190" s="34" t="s">
        <v>113</v>
      </c>
      <c r="O190" s="33" t="n">
        <f>72</f>
        <v>72.0</v>
      </c>
      <c r="P190" s="34" t="s">
        <v>48</v>
      </c>
      <c r="Q190" s="33" t="n">
        <f>78</f>
        <v>78.0</v>
      </c>
      <c r="R190" s="34" t="s">
        <v>50</v>
      </c>
      <c r="S190" s="35" t="n">
        <f>75.84</f>
        <v>75.84</v>
      </c>
      <c r="T190" s="32" t="n">
        <f>2760700</f>
        <v>2760700.0</v>
      </c>
      <c r="U190" s="32" t="n">
        <f>100</f>
        <v>100.0</v>
      </c>
      <c r="V190" s="32" t="n">
        <f>210586300</f>
        <v>2.105863E8</v>
      </c>
      <c r="W190" s="32" t="n">
        <f>7800</f>
        <v>7800.0</v>
      </c>
      <c r="X190" s="36" t="n">
        <f>19</f>
        <v>19.0</v>
      </c>
    </row>
    <row r="191">
      <c r="A191" s="27" t="s">
        <v>42</v>
      </c>
      <c r="B191" s="27" t="s">
        <v>616</v>
      </c>
      <c r="C191" s="27" t="s">
        <v>617</v>
      </c>
      <c r="D191" s="27" t="s">
        <v>618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10.0</v>
      </c>
      <c r="K191" s="33" t="n">
        <f>1915</f>
        <v>1915.0</v>
      </c>
      <c r="L191" s="34" t="s">
        <v>48</v>
      </c>
      <c r="M191" s="33" t="n">
        <f>2199</f>
        <v>2199.0</v>
      </c>
      <c r="N191" s="34" t="s">
        <v>66</v>
      </c>
      <c r="O191" s="33" t="n">
        <f>1908</f>
        <v>1908.0</v>
      </c>
      <c r="P191" s="34" t="s">
        <v>48</v>
      </c>
      <c r="Q191" s="33" t="n">
        <f>2147</f>
        <v>2147.0</v>
      </c>
      <c r="R191" s="34" t="s">
        <v>50</v>
      </c>
      <c r="S191" s="35" t="n">
        <f>2081.79</f>
        <v>2081.79</v>
      </c>
      <c r="T191" s="32" t="n">
        <f>20230</f>
        <v>20230.0</v>
      </c>
      <c r="U191" s="32" t="str">
        <f>"－"</f>
        <v>－</v>
      </c>
      <c r="V191" s="32" t="n">
        <f>41985680</f>
        <v>4.198568E7</v>
      </c>
      <c r="W191" s="32" t="str">
        <f>"－"</f>
        <v>－</v>
      </c>
      <c r="X191" s="36" t="n">
        <f>19</f>
        <v>19.0</v>
      </c>
    </row>
    <row r="192">
      <c r="A192" s="27" t="s">
        <v>42</v>
      </c>
      <c r="B192" s="27" t="s">
        <v>619</v>
      </c>
      <c r="C192" s="27" t="s">
        <v>620</v>
      </c>
      <c r="D192" s="27" t="s">
        <v>621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10.0</v>
      </c>
      <c r="K192" s="33" t="n">
        <f>1397</f>
        <v>1397.0</v>
      </c>
      <c r="L192" s="34" t="s">
        <v>48</v>
      </c>
      <c r="M192" s="33" t="n">
        <f>1571</f>
        <v>1571.0</v>
      </c>
      <c r="N192" s="34" t="s">
        <v>66</v>
      </c>
      <c r="O192" s="33" t="n">
        <f>1397</f>
        <v>1397.0</v>
      </c>
      <c r="P192" s="34" t="s">
        <v>48</v>
      </c>
      <c r="Q192" s="33" t="n">
        <f>1519</f>
        <v>1519.0</v>
      </c>
      <c r="R192" s="34" t="s">
        <v>50</v>
      </c>
      <c r="S192" s="35" t="n">
        <f>1495.37</f>
        <v>1495.37</v>
      </c>
      <c r="T192" s="32" t="n">
        <f>556510</f>
        <v>556510.0</v>
      </c>
      <c r="U192" s="32" t="n">
        <f>60020</f>
        <v>60020.0</v>
      </c>
      <c r="V192" s="32" t="n">
        <f>841630080</f>
        <v>8.4163008E8</v>
      </c>
      <c r="W192" s="32" t="n">
        <f>87334350</f>
        <v>8.733435E7</v>
      </c>
      <c r="X192" s="36" t="n">
        <f>19</f>
        <v>19.0</v>
      </c>
    </row>
    <row r="193">
      <c r="A193" s="27" t="s">
        <v>42</v>
      </c>
      <c r="B193" s="27" t="s">
        <v>622</v>
      </c>
      <c r="C193" s="27" t="s">
        <v>623</v>
      </c>
      <c r="D193" s="27" t="s">
        <v>624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87</f>
        <v>87.0</v>
      </c>
      <c r="L193" s="34" t="s">
        <v>48</v>
      </c>
      <c r="M193" s="33" t="n">
        <f>114</f>
        <v>114.0</v>
      </c>
      <c r="N193" s="34" t="s">
        <v>66</v>
      </c>
      <c r="O193" s="33" t="n">
        <f>86</f>
        <v>86.0</v>
      </c>
      <c r="P193" s="34" t="s">
        <v>48</v>
      </c>
      <c r="Q193" s="33" t="n">
        <f>110</f>
        <v>110.0</v>
      </c>
      <c r="R193" s="34" t="s">
        <v>50</v>
      </c>
      <c r="S193" s="35" t="n">
        <f>102.63</f>
        <v>102.63</v>
      </c>
      <c r="T193" s="32" t="n">
        <f>337554720</f>
        <v>3.3755472E8</v>
      </c>
      <c r="U193" s="32" t="n">
        <f>228040</f>
        <v>228040.0</v>
      </c>
      <c r="V193" s="32" t="n">
        <f>34783289282</f>
        <v>3.4783289282E10</v>
      </c>
      <c r="W193" s="32" t="n">
        <f>24119692</f>
        <v>2.4119692E7</v>
      </c>
      <c r="X193" s="36" t="n">
        <f>19</f>
        <v>19.0</v>
      </c>
    </row>
    <row r="194">
      <c r="A194" s="27" t="s">
        <v>42</v>
      </c>
      <c r="B194" s="27" t="s">
        <v>625</v>
      </c>
      <c r="C194" s="27" t="s">
        <v>626</v>
      </c>
      <c r="D194" s="27" t="s">
        <v>627</v>
      </c>
      <c r="E194" s="28" t="s">
        <v>46</v>
      </c>
      <c r="F194" s="29" t="s">
        <v>46</v>
      </c>
      <c r="G194" s="30" t="s">
        <v>46</v>
      </c>
      <c r="H194" s="31"/>
      <c r="I194" s="31" t="s">
        <v>628</v>
      </c>
      <c r="J194" s="32" t="n">
        <v>1.0</v>
      </c>
      <c r="K194" s="33" t="n">
        <f>8260</f>
        <v>8260.0</v>
      </c>
      <c r="L194" s="34" t="s">
        <v>48</v>
      </c>
      <c r="M194" s="33" t="n">
        <f>10230</f>
        <v>10230.0</v>
      </c>
      <c r="N194" s="34" t="s">
        <v>66</v>
      </c>
      <c r="O194" s="33" t="n">
        <f>8200</f>
        <v>8200.0</v>
      </c>
      <c r="P194" s="34" t="s">
        <v>48</v>
      </c>
      <c r="Q194" s="33" t="n">
        <f>9850</f>
        <v>9850.0</v>
      </c>
      <c r="R194" s="34" t="s">
        <v>50</v>
      </c>
      <c r="S194" s="35" t="n">
        <f>9595.79</f>
        <v>9595.79</v>
      </c>
      <c r="T194" s="32" t="n">
        <f>12831</f>
        <v>12831.0</v>
      </c>
      <c r="U194" s="32" t="n">
        <f>3</f>
        <v>3.0</v>
      </c>
      <c r="V194" s="32" t="n">
        <f>122383530</f>
        <v>1.2238353E8</v>
      </c>
      <c r="W194" s="32" t="n">
        <f>28940</f>
        <v>28940.0</v>
      </c>
      <c r="X194" s="36" t="n">
        <f>19</f>
        <v>19.0</v>
      </c>
    </row>
    <row r="195">
      <c r="A195" s="27" t="s">
        <v>42</v>
      </c>
      <c r="B195" s="27" t="s">
        <v>629</v>
      </c>
      <c r="C195" s="27" t="s">
        <v>630</v>
      </c>
      <c r="D195" s="27" t="s">
        <v>631</v>
      </c>
      <c r="E195" s="28" t="s">
        <v>46</v>
      </c>
      <c r="F195" s="29" t="s">
        <v>46</v>
      </c>
      <c r="G195" s="30" t="s">
        <v>46</v>
      </c>
      <c r="H195" s="31"/>
      <c r="I195" s="31" t="s">
        <v>628</v>
      </c>
      <c r="J195" s="32" t="n">
        <v>1.0</v>
      </c>
      <c r="K195" s="33" t="n">
        <f>6230</f>
        <v>6230.0</v>
      </c>
      <c r="L195" s="34" t="s">
        <v>48</v>
      </c>
      <c r="M195" s="33" t="n">
        <f>6230</f>
        <v>6230.0</v>
      </c>
      <c r="N195" s="34" t="s">
        <v>48</v>
      </c>
      <c r="O195" s="33" t="n">
        <f>5450</f>
        <v>5450.0</v>
      </c>
      <c r="P195" s="34" t="s">
        <v>50</v>
      </c>
      <c r="Q195" s="33" t="n">
        <f>5500</f>
        <v>5500.0</v>
      </c>
      <c r="R195" s="34" t="s">
        <v>50</v>
      </c>
      <c r="S195" s="35" t="n">
        <f>5673.16</f>
        <v>5673.16</v>
      </c>
      <c r="T195" s="32" t="n">
        <f>2429</f>
        <v>2429.0</v>
      </c>
      <c r="U195" s="32" t="n">
        <f>1</f>
        <v>1.0</v>
      </c>
      <c r="V195" s="32" t="n">
        <f>13989170</f>
        <v>1.398917E7</v>
      </c>
      <c r="W195" s="32" t="n">
        <f>5680</f>
        <v>5680.0</v>
      </c>
      <c r="X195" s="36" t="n">
        <f>19</f>
        <v>19.0</v>
      </c>
    </row>
    <row r="196">
      <c r="A196" s="27" t="s">
        <v>42</v>
      </c>
      <c r="B196" s="27" t="s">
        <v>632</v>
      </c>
      <c r="C196" s="27" t="s">
        <v>633</v>
      </c>
      <c r="D196" s="27" t="s">
        <v>634</v>
      </c>
      <c r="E196" s="28" t="s">
        <v>46</v>
      </c>
      <c r="F196" s="29" t="s">
        <v>46</v>
      </c>
      <c r="G196" s="30" t="s">
        <v>46</v>
      </c>
      <c r="H196" s="31"/>
      <c r="I196" s="31" t="s">
        <v>628</v>
      </c>
      <c r="J196" s="32" t="n">
        <v>1.0</v>
      </c>
      <c r="K196" s="33" t="n">
        <f>9770</f>
        <v>9770.0</v>
      </c>
      <c r="L196" s="34" t="s">
        <v>48</v>
      </c>
      <c r="M196" s="33" t="n">
        <f>13320</f>
        <v>13320.0</v>
      </c>
      <c r="N196" s="34" t="s">
        <v>50</v>
      </c>
      <c r="O196" s="33" t="n">
        <f>9770</f>
        <v>9770.0</v>
      </c>
      <c r="P196" s="34" t="s">
        <v>48</v>
      </c>
      <c r="Q196" s="33" t="n">
        <f>13320</f>
        <v>13320.0</v>
      </c>
      <c r="R196" s="34" t="s">
        <v>50</v>
      </c>
      <c r="S196" s="35" t="n">
        <f>11869.33</f>
        <v>11869.33</v>
      </c>
      <c r="T196" s="32" t="n">
        <f>1021</f>
        <v>1021.0</v>
      </c>
      <c r="U196" s="32" t="str">
        <f>"－"</f>
        <v>－</v>
      </c>
      <c r="V196" s="32" t="n">
        <f>11437340</f>
        <v>1.143734E7</v>
      </c>
      <c r="W196" s="32" t="str">
        <f>"－"</f>
        <v>－</v>
      </c>
      <c r="X196" s="36" t="n">
        <f>15</f>
        <v>15.0</v>
      </c>
    </row>
    <row r="197">
      <c r="A197" s="27" t="s">
        <v>42</v>
      </c>
      <c r="B197" s="27" t="s">
        <v>635</v>
      </c>
      <c r="C197" s="27" t="s">
        <v>636</v>
      </c>
      <c r="D197" s="27" t="s">
        <v>637</v>
      </c>
      <c r="E197" s="28" t="s">
        <v>46</v>
      </c>
      <c r="F197" s="29" t="s">
        <v>46</v>
      </c>
      <c r="G197" s="30" t="s">
        <v>46</v>
      </c>
      <c r="H197" s="31"/>
      <c r="I197" s="31" t="s">
        <v>628</v>
      </c>
      <c r="J197" s="32" t="n">
        <v>1.0</v>
      </c>
      <c r="K197" s="33" t="n">
        <f>8220</f>
        <v>8220.0</v>
      </c>
      <c r="L197" s="34" t="s">
        <v>48</v>
      </c>
      <c r="M197" s="33" t="n">
        <f>8220</f>
        <v>8220.0</v>
      </c>
      <c r="N197" s="34" t="s">
        <v>48</v>
      </c>
      <c r="O197" s="33" t="n">
        <f>7030</f>
        <v>7030.0</v>
      </c>
      <c r="P197" s="34" t="s">
        <v>50</v>
      </c>
      <c r="Q197" s="33" t="n">
        <f>7170</f>
        <v>7170.0</v>
      </c>
      <c r="R197" s="34" t="s">
        <v>50</v>
      </c>
      <c r="S197" s="35" t="n">
        <f>7467.89</f>
        <v>7467.89</v>
      </c>
      <c r="T197" s="32" t="n">
        <f>7018</f>
        <v>7018.0</v>
      </c>
      <c r="U197" s="32" t="str">
        <f>"－"</f>
        <v>－</v>
      </c>
      <c r="V197" s="32" t="n">
        <f>52257880</f>
        <v>5.225788E7</v>
      </c>
      <c r="W197" s="32" t="str">
        <f>"－"</f>
        <v>－</v>
      </c>
      <c r="X197" s="36" t="n">
        <f>19</f>
        <v>19.0</v>
      </c>
    </row>
    <row r="198">
      <c r="A198" s="27" t="s">
        <v>42</v>
      </c>
      <c r="B198" s="27" t="s">
        <v>638</v>
      </c>
      <c r="C198" s="27" t="s">
        <v>639</v>
      </c>
      <c r="D198" s="27" t="s">
        <v>640</v>
      </c>
      <c r="E198" s="28" t="s">
        <v>46</v>
      </c>
      <c r="F198" s="29" t="s">
        <v>46</v>
      </c>
      <c r="G198" s="30" t="s">
        <v>46</v>
      </c>
      <c r="H198" s="31"/>
      <c r="I198" s="31" t="s">
        <v>628</v>
      </c>
      <c r="J198" s="32" t="n">
        <v>1.0</v>
      </c>
      <c r="K198" s="33" t="n">
        <f>425</f>
        <v>425.0</v>
      </c>
      <c r="L198" s="34" t="s">
        <v>48</v>
      </c>
      <c r="M198" s="33" t="n">
        <f>426</f>
        <v>426.0</v>
      </c>
      <c r="N198" s="34" t="s">
        <v>48</v>
      </c>
      <c r="O198" s="33" t="n">
        <f>333</f>
        <v>333.0</v>
      </c>
      <c r="P198" s="34" t="s">
        <v>172</v>
      </c>
      <c r="Q198" s="33" t="n">
        <f>379</f>
        <v>379.0</v>
      </c>
      <c r="R198" s="34" t="s">
        <v>50</v>
      </c>
      <c r="S198" s="35" t="n">
        <f>368.37</f>
        <v>368.37</v>
      </c>
      <c r="T198" s="32" t="n">
        <f>19604318</f>
        <v>1.9604318E7</v>
      </c>
      <c r="U198" s="32" t="n">
        <f>10</f>
        <v>10.0</v>
      </c>
      <c r="V198" s="32" t="n">
        <f>7265310688</f>
        <v>7.265310688E9</v>
      </c>
      <c r="W198" s="32" t="n">
        <f>3697</f>
        <v>3697.0</v>
      </c>
      <c r="X198" s="36" t="n">
        <f>19</f>
        <v>19.0</v>
      </c>
    </row>
    <row r="199">
      <c r="A199" s="27" t="s">
        <v>42</v>
      </c>
      <c r="B199" s="27" t="s">
        <v>641</v>
      </c>
      <c r="C199" s="27" t="s">
        <v>642</v>
      </c>
      <c r="D199" s="27" t="s">
        <v>643</v>
      </c>
      <c r="E199" s="28" t="s">
        <v>46</v>
      </c>
      <c r="F199" s="29" t="s">
        <v>46</v>
      </c>
      <c r="G199" s="30" t="s">
        <v>46</v>
      </c>
      <c r="H199" s="31"/>
      <c r="I199" s="31" t="s">
        <v>628</v>
      </c>
      <c r="J199" s="32" t="n">
        <v>1.0</v>
      </c>
      <c r="K199" s="33" t="n">
        <f>17760</f>
        <v>17760.0</v>
      </c>
      <c r="L199" s="34" t="s">
        <v>48</v>
      </c>
      <c r="M199" s="33" t="n">
        <f>19090</f>
        <v>19090.0</v>
      </c>
      <c r="N199" s="34" t="s">
        <v>97</v>
      </c>
      <c r="O199" s="33" t="n">
        <f>15460</f>
        <v>15460.0</v>
      </c>
      <c r="P199" s="34" t="s">
        <v>50</v>
      </c>
      <c r="Q199" s="33" t="n">
        <f>15620</f>
        <v>15620.0</v>
      </c>
      <c r="R199" s="34" t="s">
        <v>50</v>
      </c>
      <c r="S199" s="35" t="n">
        <f>17644.74</f>
        <v>17644.74</v>
      </c>
      <c r="T199" s="32" t="n">
        <f>55424</f>
        <v>55424.0</v>
      </c>
      <c r="U199" s="32" t="str">
        <f>"－"</f>
        <v>－</v>
      </c>
      <c r="V199" s="32" t="n">
        <f>967130450</f>
        <v>9.6713045E8</v>
      </c>
      <c r="W199" s="32" t="str">
        <f>"－"</f>
        <v>－</v>
      </c>
      <c r="X199" s="36" t="n">
        <f>19</f>
        <v>19.0</v>
      </c>
    </row>
    <row r="200">
      <c r="A200" s="27" t="s">
        <v>42</v>
      </c>
      <c r="B200" s="27" t="s">
        <v>644</v>
      </c>
      <c r="C200" s="27" t="s">
        <v>645</v>
      </c>
      <c r="D200" s="27" t="s">
        <v>646</v>
      </c>
      <c r="E200" s="28" t="s">
        <v>46</v>
      </c>
      <c r="F200" s="29" t="s">
        <v>46</v>
      </c>
      <c r="G200" s="30" t="s">
        <v>46</v>
      </c>
      <c r="H200" s="31"/>
      <c r="I200" s="31" t="s">
        <v>628</v>
      </c>
      <c r="J200" s="32" t="n">
        <v>1.0</v>
      </c>
      <c r="K200" s="33" t="n">
        <f>5650</f>
        <v>5650.0</v>
      </c>
      <c r="L200" s="34" t="s">
        <v>48</v>
      </c>
      <c r="M200" s="33" t="n">
        <f>6110</f>
        <v>6110.0</v>
      </c>
      <c r="N200" s="34" t="s">
        <v>50</v>
      </c>
      <c r="O200" s="33" t="n">
        <f>5440</f>
        <v>5440.0</v>
      </c>
      <c r="P200" s="34" t="s">
        <v>97</v>
      </c>
      <c r="Q200" s="33" t="n">
        <f>6110</f>
        <v>6110.0</v>
      </c>
      <c r="R200" s="34" t="s">
        <v>50</v>
      </c>
      <c r="S200" s="35" t="n">
        <f>5684.74</f>
        <v>5684.74</v>
      </c>
      <c r="T200" s="32" t="n">
        <f>15937</f>
        <v>15937.0</v>
      </c>
      <c r="U200" s="32" t="str">
        <f>"－"</f>
        <v>－</v>
      </c>
      <c r="V200" s="32" t="n">
        <f>91624120</f>
        <v>9.162412E7</v>
      </c>
      <c r="W200" s="32" t="str">
        <f>"－"</f>
        <v>－</v>
      </c>
      <c r="X200" s="36" t="n">
        <f>19</f>
        <v>19.0</v>
      </c>
    </row>
    <row r="201">
      <c r="A201" s="27" t="s">
        <v>42</v>
      </c>
      <c r="B201" s="27" t="s">
        <v>647</v>
      </c>
      <c r="C201" s="27" t="s">
        <v>648</v>
      </c>
      <c r="D201" s="27" t="s">
        <v>649</v>
      </c>
      <c r="E201" s="28" t="s">
        <v>46</v>
      </c>
      <c r="F201" s="29" t="s">
        <v>46</v>
      </c>
      <c r="G201" s="30" t="s">
        <v>46</v>
      </c>
      <c r="H201" s="31"/>
      <c r="I201" s="31" t="s">
        <v>628</v>
      </c>
      <c r="J201" s="32" t="n">
        <v>1.0</v>
      </c>
      <c r="K201" s="33" t="n">
        <f>167</f>
        <v>167.0</v>
      </c>
      <c r="L201" s="34" t="s">
        <v>48</v>
      </c>
      <c r="M201" s="33" t="n">
        <f>268</f>
        <v>268.0</v>
      </c>
      <c r="N201" s="34" t="s">
        <v>90</v>
      </c>
      <c r="O201" s="33" t="n">
        <f>166</f>
        <v>166.0</v>
      </c>
      <c r="P201" s="34" t="s">
        <v>48</v>
      </c>
      <c r="Q201" s="33" t="n">
        <f>254</f>
        <v>254.0</v>
      </c>
      <c r="R201" s="34" t="s">
        <v>50</v>
      </c>
      <c r="S201" s="35" t="n">
        <f>224.89</f>
        <v>224.89</v>
      </c>
      <c r="T201" s="32" t="n">
        <f>276557424</f>
        <v>2.76557424E8</v>
      </c>
      <c r="U201" s="32" t="n">
        <f>285094</f>
        <v>285094.0</v>
      </c>
      <c r="V201" s="32" t="n">
        <f>62819896587</f>
        <v>6.2819896587E10</v>
      </c>
      <c r="W201" s="32" t="n">
        <f>63636017</f>
        <v>6.3636017E7</v>
      </c>
      <c r="X201" s="36" t="n">
        <f>19</f>
        <v>19.0</v>
      </c>
    </row>
    <row r="202">
      <c r="A202" s="27" t="s">
        <v>42</v>
      </c>
      <c r="B202" s="27" t="s">
        <v>650</v>
      </c>
      <c r="C202" s="27" t="s">
        <v>651</v>
      </c>
      <c r="D202" s="27" t="s">
        <v>652</v>
      </c>
      <c r="E202" s="28" t="s">
        <v>46</v>
      </c>
      <c r="F202" s="29" t="s">
        <v>46</v>
      </c>
      <c r="G202" s="30" t="s">
        <v>46</v>
      </c>
      <c r="H202" s="31"/>
      <c r="I202" s="31" t="s">
        <v>628</v>
      </c>
      <c r="J202" s="32" t="n">
        <v>1.0</v>
      </c>
      <c r="K202" s="33" t="n">
        <f>7190</f>
        <v>7190.0</v>
      </c>
      <c r="L202" s="34" t="s">
        <v>48</v>
      </c>
      <c r="M202" s="33" t="n">
        <f>7190</f>
        <v>7190.0</v>
      </c>
      <c r="N202" s="34" t="s">
        <v>48</v>
      </c>
      <c r="O202" s="33" t="n">
        <f>5510</f>
        <v>5510.0</v>
      </c>
      <c r="P202" s="34" t="s">
        <v>90</v>
      </c>
      <c r="Q202" s="33" t="n">
        <f>5680</f>
        <v>5680.0</v>
      </c>
      <c r="R202" s="34" t="s">
        <v>50</v>
      </c>
      <c r="S202" s="35" t="n">
        <f>6086.32</f>
        <v>6086.32</v>
      </c>
      <c r="T202" s="32" t="n">
        <f>302274</f>
        <v>302274.0</v>
      </c>
      <c r="U202" s="32" t="n">
        <f>2</f>
        <v>2.0</v>
      </c>
      <c r="V202" s="32" t="n">
        <f>1844019180</f>
        <v>1.84401918E9</v>
      </c>
      <c r="W202" s="32" t="n">
        <f>12380</f>
        <v>12380.0</v>
      </c>
      <c r="X202" s="36" t="n">
        <f>19</f>
        <v>19.0</v>
      </c>
    </row>
    <row r="203">
      <c r="A203" s="27" t="s">
        <v>42</v>
      </c>
      <c r="B203" s="27" t="s">
        <v>653</v>
      </c>
      <c r="C203" s="27" t="s">
        <v>654</v>
      </c>
      <c r="D203" s="27" t="s">
        <v>655</v>
      </c>
      <c r="E203" s="28" t="s">
        <v>46</v>
      </c>
      <c r="F203" s="29" t="s">
        <v>46</v>
      </c>
      <c r="G203" s="30" t="s">
        <v>46</v>
      </c>
      <c r="H203" s="31"/>
      <c r="I203" s="31" t="s">
        <v>628</v>
      </c>
      <c r="J203" s="32" t="n">
        <v>1.0</v>
      </c>
      <c r="K203" s="33" t="n">
        <f>18550</f>
        <v>18550.0</v>
      </c>
      <c r="L203" s="34" t="s">
        <v>48</v>
      </c>
      <c r="M203" s="33" t="n">
        <f>23940</f>
        <v>23940.0</v>
      </c>
      <c r="N203" s="34" t="s">
        <v>66</v>
      </c>
      <c r="O203" s="33" t="n">
        <f>18450</f>
        <v>18450.0</v>
      </c>
      <c r="P203" s="34" t="s">
        <v>48</v>
      </c>
      <c r="Q203" s="33" t="n">
        <f>23050</f>
        <v>23050.0</v>
      </c>
      <c r="R203" s="34" t="s">
        <v>50</v>
      </c>
      <c r="S203" s="35" t="n">
        <f>22303.68</f>
        <v>22303.68</v>
      </c>
      <c r="T203" s="32" t="n">
        <f>593043</f>
        <v>593043.0</v>
      </c>
      <c r="U203" s="32" t="n">
        <f>8801</f>
        <v>8801.0</v>
      </c>
      <c r="V203" s="32" t="n">
        <f>12882072220</f>
        <v>1.288207222E10</v>
      </c>
      <c r="W203" s="32" t="n">
        <f>198066420</f>
        <v>1.9806642E8</v>
      </c>
      <c r="X203" s="36" t="n">
        <f>19</f>
        <v>19.0</v>
      </c>
    </row>
    <row r="204">
      <c r="A204" s="27" t="s">
        <v>42</v>
      </c>
      <c r="B204" s="27" t="s">
        <v>656</v>
      </c>
      <c r="C204" s="27" t="s">
        <v>657</v>
      </c>
      <c r="D204" s="27" t="s">
        <v>658</v>
      </c>
      <c r="E204" s="28" t="s">
        <v>46</v>
      </c>
      <c r="F204" s="29" t="s">
        <v>46</v>
      </c>
      <c r="G204" s="30" t="s">
        <v>46</v>
      </c>
      <c r="H204" s="31"/>
      <c r="I204" s="31" t="s">
        <v>628</v>
      </c>
      <c r="J204" s="32" t="n">
        <v>1.0</v>
      </c>
      <c r="K204" s="33" t="n">
        <f>4005</f>
        <v>4005.0</v>
      </c>
      <c r="L204" s="34" t="s">
        <v>48</v>
      </c>
      <c r="M204" s="33" t="n">
        <f>4030</f>
        <v>4030.0</v>
      </c>
      <c r="N204" s="34" t="s">
        <v>48</v>
      </c>
      <c r="O204" s="33" t="n">
        <f>3480</f>
        <v>3480.0</v>
      </c>
      <c r="P204" s="34" t="s">
        <v>66</v>
      </c>
      <c r="Q204" s="33" t="n">
        <f>3570</f>
        <v>3570.0</v>
      </c>
      <c r="R204" s="34" t="s">
        <v>50</v>
      </c>
      <c r="S204" s="35" t="n">
        <f>3645.79</f>
        <v>3645.79</v>
      </c>
      <c r="T204" s="32" t="n">
        <f>718365</f>
        <v>718365.0</v>
      </c>
      <c r="U204" s="32" t="n">
        <f>5</f>
        <v>5.0</v>
      </c>
      <c r="V204" s="32" t="n">
        <f>2643915100</f>
        <v>2.6439151E9</v>
      </c>
      <c r="W204" s="32" t="n">
        <f>18045</f>
        <v>18045.0</v>
      </c>
      <c r="X204" s="36" t="n">
        <f>19</f>
        <v>19.0</v>
      </c>
    </row>
    <row r="205">
      <c r="A205" s="27" t="s">
        <v>42</v>
      </c>
      <c r="B205" s="27" t="s">
        <v>659</v>
      </c>
      <c r="C205" s="27" t="s">
        <v>660</v>
      </c>
      <c r="D205" s="27" t="s">
        <v>661</v>
      </c>
      <c r="E205" s="28" t="s">
        <v>46</v>
      </c>
      <c r="F205" s="29" t="s">
        <v>46</v>
      </c>
      <c r="G205" s="30" t="s">
        <v>46</v>
      </c>
      <c r="H205" s="31"/>
      <c r="I205" s="31" t="s">
        <v>628</v>
      </c>
      <c r="J205" s="32" t="n">
        <v>1.0</v>
      </c>
      <c r="K205" s="33" t="n">
        <f>12640</f>
        <v>12640.0</v>
      </c>
      <c r="L205" s="34" t="s">
        <v>48</v>
      </c>
      <c r="M205" s="33" t="n">
        <f>13560</f>
        <v>13560.0</v>
      </c>
      <c r="N205" s="34" t="s">
        <v>277</v>
      </c>
      <c r="O205" s="33" t="n">
        <f>12290</f>
        <v>12290.0</v>
      </c>
      <c r="P205" s="34" t="s">
        <v>113</v>
      </c>
      <c r="Q205" s="33" t="n">
        <f>13270</f>
        <v>13270.0</v>
      </c>
      <c r="R205" s="34" t="s">
        <v>50</v>
      </c>
      <c r="S205" s="35" t="n">
        <f>12994.74</f>
        <v>12994.74</v>
      </c>
      <c r="T205" s="32" t="n">
        <f>109183</f>
        <v>109183.0</v>
      </c>
      <c r="U205" s="32" t="n">
        <f>1</f>
        <v>1.0</v>
      </c>
      <c r="V205" s="32" t="n">
        <f>1425681150</f>
        <v>1.42568115E9</v>
      </c>
      <c r="W205" s="32" t="n">
        <f>12740</f>
        <v>12740.0</v>
      </c>
      <c r="X205" s="36" t="n">
        <f>19</f>
        <v>19.0</v>
      </c>
    </row>
    <row r="206">
      <c r="A206" s="27" t="s">
        <v>42</v>
      </c>
      <c r="B206" s="27" t="s">
        <v>662</v>
      </c>
      <c r="C206" s="27" t="s">
        <v>663</v>
      </c>
      <c r="D206" s="27" t="s">
        <v>664</v>
      </c>
      <c r="E206" s="28" t="s">
        <v>46</v>
      </c>
      <c r="F206" s="29" t="s">
        <v>46</v>
      </c>
      <c r="G206" s="30" t="s">
        <v>46</v>
      </c>
      <c r="H206" s="31"/>
      <c r="I206" s="31" t="s">
        <v>628</v>
      </c>
      <c r="J206" s="32" t="n">
        <v>1.0</v>
      </c>
      <c r="K206" s="33" t="n">
        <f>9650</f>
        <v>9650.0</v>
      </c>
      <c r="L206" s="34" t="s">
        <v>225</v>
      </c>
      <c r="M206" s="33" t="n">
        <f>11770</f>
        <v>11770.0</v>
      </c>
      <c r="N206" s="34" t="s">
        <v>90</v>
      </c>
      <c r="O206" s="33" t="n">
        <f>9640</f>
        <v>9640.0</v>
      </c>
      <c r="P206" s="34" t="s">
        <v>277</v>
      </c>
      <c r="Q206" s="33" t="n">
        <f>11610</f>
        <v>11610.0</v>
      </c>
      <c r="R206" s="34" t="s">
        <v>50</v>
      </c>
      <c r="S206" s="35" t="n">
        <f>10878.89</f>
        <v>10878.89</v>
      </c>
      <c r="T206" s="32" t="n">
        <f>629</f>
        <v>629.0</v>
      </c>
      <c r="U206" s="32" t="str">
        <f>"－"</f>
        <v>－</v>
      </c>
      <c r="V206" s="32" t="n">
        <f>6990770</f>
        <v>6990770.0</v>
      </c>
      <c r="W206" s="32" t="str">
        <f>"－"</f>
        <v>－</v>
      </c>
      <c r="X206" s="36" t="n">
        <f>18</f>
        <v>18.0</v>
      </c>
    </row>
    <row r="207">
      <c r="A207" s="27" t="s">
        <v>42</v>
      </c>
      <c r="B207" s="27" t="s">
        <v>665</v>
      </c>
      <c r="C207" s="27" t="s">
        <v>666</v>
      </c>
      <c r="D207" s="27" t="s">
        <v>667</v>
      </c>
      <c r="E207" s="28" t="s">
        <v>46</v>
      </c>
      <c r="F207" s="29" t="s">
        <v>46</v>
      </c>
      <c r="G207" s="30" t="s">
        <v>46</v>
      </c>
      <c r="H207" s="31"/>
      <c r="I207" s="31" t="s">
        <v>628</v>
      </c>
      <c r="J207" s="32" t="n">
        <v>1.0</v>
      </c>
      <c r="K207" s="33" t="n">
        <f>13600</f>
        <v>13600.0</v>
      </c>
      <c r="L207" s="34" t="s">
        <v>48</v>
      </c>
      <c r="M207" s="33" t="n">
        <f>15620</f>
        <v>15620.0</v>
      </c>
      <c r="N207" s="34" t="s">
        <v>66</v>
      </c>
      <c r="O207" s="33" t="n">
        <f>13540</f>
        <v>13540.0</v>
      </c>
      <c r="P207" s="34" t="s">
        <v>48</v>
      </c>
      <c r="Q207" s="33" t="n">
        <f>15310</f>
        <v>15310.0</v>
      </c>
      <c r="R207" s="34" t="s">
        <v>50</v>
      </c>
      <c r="S207" s="35" t="n">
        <f>14923.16</f>
        <v>14923.16</v>
      </c>
      <c r="T207" s="32" t="n">
        <f>90040</f>
        <v>90040.0</v>
      </c>
      <c r="U207" s="32" t="n">
        <f>19890</f>
        <v>19890.0</v>
      </c>
      <c r="V207" s="32" t="n">
        <f>1350762880</f>
        <v>1.35076288E9</v>
      </c>
      <c r="W207" s="32" t="n">
        <f>296984320</f>
        <v>2.9698432E8</v>
      </c>
      <c r="X207" s="36" t="n">
        <f>19</f>
        <v>19.0</v>
      </c>
    </row>
    <row r="208">
      <c r="A208" s="27" t="s">
        <v>42</v>
      </c>
      <c r="B208" s="27" t="s">
        <v>668</v>
      </c>
      <c r="C208" s="27" t="s">
        <v>669</v>
      </c>
      <c r="D208" s="27" t="s">
        <v>670</v>
      </c>
      <c r="E208" s="28" t="s">
        <v>46</v>
      </c>
      <c r="F208" s="29" t="s">
        <v>46</v>
      </c>
      <c r="G208" s="30" t="s">
        <v>46</v>
      </c>
      <c r="H208" s="31"/>
      <c r="I208" s="31" t="s">
        <v>628</v>
      </c>
      <c r="J208" s="32" t="n">
        <v>1.0</v>
      </c>
      <c r="K208" s="33" t="n">
        <f>11420</f>
        <v>11420.0</v>
      </c>
      <c r="L208" s="34" t="s">
        <v>48</v>
      </c>
      <c r="M208" s="33" t="n">
        <f>12660</f>
        <v>12660.0</v>
      </c>
      <c r="N208" s="34" t="s">
        <v>50</v>
      </c>
      <c r="O208" s="33" t="n">
        <f>11210</f>
        <v>11210.0</v>
      </c>
      <c r="P208" s="34" t="s">
        <v>48</v>
      </c>
      <c r="Q208" s="33" t="n">
        <f>12230</f>
        <v>12230.0</v>
      </c>
      <c r="R208" s="34" t="s">
        <v>50</v>
      </c>
      <c r="S208" s="35" t="n">
        <f>12015.33</f>
        <v>12015.33</v>
      </c>
      <c r="T208" s="32" t="n">
        <f>1786</f>
        <v>1786.0</v>
      </c>
      <c r="U208" s="32" t="str">
        <f>"－"</f>
        <v>－</v>
      </c>
      <c r="V208" s="32" t="n">
        <f>21645250</f>
        <v>2.164525E7</v>
      </c>
      <c r="W208" s="32" t="str">
        <f>"－"</f>
        <v>－</v>
      </c>
      <c r="X208" s="36" t="n">
        <f>15</f>
        <v>15.0</v>
      </c>
    </row>
    <row r="209">
      <c r="A209" s="27" t="s">
        <v>42</v>
      </c>
      <c r="B209" s="27" t="s">
        <v>671</v>
      </c>
      <c r="C209" s="27" t="s">
        <v>672</v>
      </c>
      <c r="D209" s="27" t="s">
        <v>673</v>
      </c>
      <c r="E209" s="28" t="s">
        <v>46</v>
      </c>
      <c r="F209" s="29" t="s">
        <v>46</v>
      </c>
      <c r="G209" s="30" t="s">
        <v>46</v>
      </c>
      <c r="H209" s="31"/>
      <c r="I209" s="31" t="s">
        <v>628</v>
      </c>
      <c r="J209" s="32" t="n">
        <v>1.0</v>
      </c>
      <c r="K209" s="33" t="n">
        <f>7740</f>
        <v>7740.0</v>
      </c>
      <c r="L209" s="34" t="s">
        <v>48</v>
      </c>
      <c r="M209" s="33" t="n">
        <f>10100</f>
        <v>10100.0</v>
      </c>
      <c r="N209" s="34" t="s">
        <v>66</v>
      </c>
      <c r="O209" s="33" t="n">
        <f>7740</f>
        <v>7740.0</v>
      </c>
      <c r="P209" s="34" t="s">
        <v>48</v>
      </c>
      <c r="Q209" s="33" t="n">
        <f>9530</f>
        <v>9530.0</v>
      </c>
      <c r="R209" s="34" t="s">
        <v>50</v>
      </c>
      <c r="S209" s="35" t="n">
        <f>9223.68</f>
        <v>9223.68</v>
      </c>
      <c r="T209" s="32" t="n">
        <f>93197</f>
        <v>93197.0</v>
      </c>
      <c r="U209" s="32" t="str">
        <f>"－"</f>
        <v>－</v>
      </c>
      <c r="V209" s="32" t="n">
        <f>861130560</f>
        <v>8.6113056E8</v>
      </c>
      <c r="W209" s="32" t="str">
        <f>"－"</f>
        <v>－</v>
      </c>
      <c r="X209" s="36" t="n">
        <f>19</f>
        <v>19.0</v>
      </c>
    </row>
    <row r="210">
      <c r="A210" s="27" t="s">
        <v>42</v>
      </c>
      <c r="B210" s="27" t="s">
        <v>674</v>
      </c>
      <c r="C210" s="27" t="s">
        <v>675</v>
      </c>
      <c r="D210" s="27" t="s">
        <v>676</v>
      </c>
      <c r="E210" s="28" t="s">
        <v>46</v>
      </c>
      <c r="F210" s="29" t="s">
        <v>46</v>
      </c>
      <c r="G210" s="30" t="s">
        <v>46</v>
      </c>
      <c r="H210" s="31"/>
      <c r="I210" s="31" t="s">
        <v>628</v>
      </c>
      <c r="J210" s="32" t="n">
        <v>1.0</v>
      </c>
      <c r="K210" s="33" t="n">
        <f>5550</f>
        <v>5550.0</v>
      </c>
      <c r="L210" s="34" t="s">
        <v>48</v>
      </c>
      <c r="M210" s="33" t="n">
        <f>5650</f>
        <v>5650.0</v>
      </c>
      <c r="N210" s="34" t="s">
        <v>48</v>
      </c>
      <c r="O210" s="33" t="n">
        <f>4955</f>
        <v>4955.0</v>
      </c>
      <c r="P210" s="34" t="s">
        <v>66</v>
      </c>
      <c r="Q210" s="33" t="n">
        <f>5120</f>
        <v>5120.0</v>
      </c>
      <c r="R210" s="34" t="s">
        <v>50</v>
      </c>
      <c r="S210" s="35" t="n">
        <f>5201.05</f>
        <v>5201.05</v>
      </c>
      <c r="T210" s="32" t="n">
        <f>12867</f>
        <v>12867.0</v>
      </c>
      <c r="U210" s="32" t="n">
        <f>1</f>
        <v>1.0</v>
      </c>
      <c r="V210" s="32" t="n">
        <f>67289385</f>
        <v>6.7289385E7</v>
      </c>
      <c r="W210" s="32" t="n">
        <f>5120</f>
        <v>5120.0</v>
      </c>
      <c r="X210" s="36" t="n">
        <f>19</f>
        <v>19.0</v>
      </c>
    </row>
    <row r="211">
      <c r="A211" s="27" t="s">
        <v>42</v>
      </c>
      <c r="B211" s="27" t="s">
        <v>677</v>
      </c>
      <c r="C211" s="27" t="s">
        <v>678</v>
      </c>
      <c r="D211" s="27" t="s">
        <v>679</v>
      </c>
      <c r="E211" s="28" t="s">
        <v>46</v>
      </c>
      <c r="F211" s="29" t="s">
        <v>46</v>
      </c>
      <c r="G211" s="30" t="s">
        <v>46</v>
      </c>
      <c r="H211" s="31"/>
      <c r="I211" s="31" t="s">
        <v>628</v>
      </c>
      <c r="J211" s="32" t="n">
        <v>1.0</v>
      </c>
      <c r="K211" s="33" t="n">
        <f>8020</f>
        <v>8020.0</v>
      </c>
      <c r="L211" s="34" t="s">
        <v>48</v>
      </c>
      <c r="M211" s="33" t="n">
        <f>9020</f>
        <v>9020.0</v>
      </c>
      <c r="N211" s="34" t="s">
        <v>66</v>
      </c>
      <c r="O211" s="33" t="n">
        <f>8020</f>
        <v>8020.0</v>
      </c>
      <c r="P211" s="34" t="s">
        <v>48</v>
      </c>
      <c r="Q211" s="33" t="n">
        <f>8690</f>
        <v>8690.0</v>
      </c>
      <c r="R211" s="34" t="s">
        <v>50</v>
      </c>
      <c r="S211" s="35" t="n">
        <f>8626.15</f>
        <v>8626.15</v>
      </c>
      <c r="T211" s="32" t="n">
        <f>3177</f>
        <v>3177.0</v>
      </c>
      <c r="U211" s="32" t="str">
        <f>"－"</f>
        <v>－</v>
      </c>
      <c r="V211" s="32" t="n">
        <f>27280370</f>
        <v>2.728037E7</v>
      </c>
      <c r="W211" s="32" t="str">
        <f>"－"</f>
        <v>－</v>
      </c>
      <c r="X211" s="36" t="n">
        <f>13</f>
        <v>13.0</v>
      </c>
    </row>
    <row r="212">
      <c r="A212" s="27" t="s">
        <v>42</v>
      </c>
      <c r="B212" s="27" t="s">
        <v>680</v>
      </c>
      <c r="C212" s="27" t="s">
        <v>681</v>
      </c>
      <c r="D212" s="27" t="s">
        <v>682</v>
      </c>
      <c r="E212" s="28" t="s">
        <v>46</v>
      </c>
      <c r="F212" s="29" t="s">
        <v>46</v>
      </c>
      <c r="G212" s="30" t="s">
        <v>46</v>
      </c>
      <c r="H212" s="31"/>
      <c r="I212" s="31" t="s">
        <v>628</v>
      </c>
      <c r="J212" s="32" t="n">
        <v>1.0</v>
      </c>
      <c r="K212" s="33" t="n">
        <f>9900</f>
        <v>9900.0</v>
      </c>
      <c r="L212" s="34" t="s">
        <v>48</v>
      </c>
      <c r="M212" s="33" t="n">
        <f>10710</f>
        <v>10710.0</v>
      </c>
      <c r="N212" s="34" t="s">
        <v>66</v>
      </c>
      <c r="O212" s="33" t="n">
        <f>9900</f>
        <v>9900.0</v>
      </c>
      <c r="P212" s="34" t="s">
        <v>48</v>
      </c>
      <c r="Q212" s="33" t="n">
        <f>10570</f>
        <v>10570.0</v>
      </c>
      <c r="R212" s="34" t="s">
        <v>49</v>
      </c>
      <c r="S212" s="35" t="n">
        <f>10337.5</f>
        <v>10337.5</v>
      </c>
      <c r="T212" s="32" t="n">
        <f>3595</f>
        <v>3595.0</v>
      </c>
      <c r="U212" s="32" t="str">
        <f>"－"</f>
        <v>－</v>
      </c>
      <c r="V212" s="32" t="n">
        <f>37072980</f>
        <v>3.707298E7</v>
      </c>
      <c r="W212" s="32" t="str">
        <f>"－"</f>
        <v>－</v>
      </c>
      <c r="X212" s="36" t="n">
        <f>8</f>
        <v>8.0</v>
      </c>
    </row>
    <row r="213">
      <c r="A213" s="27" t="s">
        <v>42</v>
      </c>
      <c r="B213" s="27" t="s">
        <v>683</v>
      </c>
      <c r="C213" s="27" t="s">
        <v>684</v>
      </c>
      <c r="D213" s="27" t="s">
        <v>685</v>
      </c>
      <c r="E213" s="28" t="s">
        <v>46</v>
      </c>
      <c r="F213" s="29" t="s">
        <v>46</v>
      </c>
      <c r="G213" s="30" t="s">
        <v>46</v>
      </c>
      <c r="H213" s="31"/>
      <c r="I213" s="31" t="s">
        <v>628</v>
      </c>
      <c r="J213" s="32" t="n">
        <v>1.0</v>
      </c>
      <c r="K213" s="33" t="n">
        <f>10150</f>
        <v>10150.0</v>
      </c>
      <c r="L213" s="34" t="s">
        <v>218</v>
      </c>
      <c r="M213" s="33" t="n">
        <f>10890</f>
        <v>10890.0</v>
      </c>
      <c r="N213" s="34" t="s">
        <v>113</v>
      </c>
      <c r="O213" s="33" t="n">
        <f>10150</f>
        <v>10150.0</v>
      </c>
      <c r="P213" s="34" t="s">
        <v>218</v>
      </c>
      <c r="Q213" s="33" t="n">
        <f>10760</f>
        <v>10760.0</v>
      </c>
      <c r="R213" s="34" t="s">
        <v>49</v>
      </c>
      <c r="S213" s="35" t="n">
        <f>10625</f>
        <v>10625.0</v>
      </c>
      <c r="T213" s="32" t="n">
        <f>1011</f>
        <v>1011.0</v>
      </c>
      <c r="U213" s="32" t="str">
        <f>"－"</f>
        <v>－</v>
      </c>
      <c r="V213" s="32" t="n">
        <f>10431770</f>
        <v>1.043177E7</v>
      </c>
      <c r="W213" s="32" t="str">
        <f>"－"</f>
        <v>－</v>
      </c>
      <c r="X213" s="36" t="n">
        <f>8</f>
        <v>8.0</v>
      </c>
    </row>
    <row r="214">
      <c r="A214" s="27" t="s">
        <v>42</v>
      </c>
      <c r="B214" s="27" t="s">
        <v>686</v>
      </c>
      <c r="C214" s="27" t="s">
        <v>687</v>
      </c>
      <c r="D214" s="27" t="s">
        <v>688</v>
      </c>
      <c r="E214" s="28" t="s">
        <v>46</v>
      </c>
      <c r="F214" s="29" t="s">
        <v>46</v>
      </c>
      <c r="G214" s="30" t="s">
        <v>46</v>
      </c>
      <c r="H214" s="31"/>
      <c r="I214" s="31" t="s">
        <v>628</v>
      </c>
      <c r="J214" s="32" t="n">
        <v>1.0</v>
      </c>
      <c r="K214" s="33" t="n">
        <f>10190</f>
        <v>10190.0</v>
      </c>
      <c r="L214" s="34" t="s">
        <v>48</v>
      </c>
      <c r="M214" s="33" t="n">
        <f>10800</f>
        <v>10800.0</v>
      </c>
      <c r="N214" s="34" t="s">
        <v>113</v>
      </c>
      <c r="O214" s="33" t="n">
        <f>10190</f>
        <v>10190.0</v>
      </c>
      <c r="P214" s="34" t="s">
        <v>48</v>
      </c>
      <c r="Q214" s="33" t="n">
        <f>10410</f>
        <v>10410.0</v>
      </c>
      <c r="R214" s="34" t="s">
        <v>49</v>
      </c>
      <c r="S214" s="35" t="n">
        <f>10480</f>
        <v>10480.0</v>
      </c>
      <c r="T214" s="32" t="n">
        <f>259</f>
        <v>259.0</v>
      </c>
      <c r="U214" s="32" t="n">
        <f>1</f>
        <v>1.0</v>
      </c>
      <c r="V214" s="32" t="n">
        <f>2781290</f>
        <v>2781290.0</v>
      </c>
      <c r="W214" s="32" t="n">
        <f>10600</f>
        <v>10600.0</v>
      </c>
      <c r="X214" s="36" t="n">
        <f>10</f>
        <v>10.0</v>
      </c>
    </row>
    <row r="215">
      <c r="A215" s="27" t="s">
        <v>42</v>
      </c>
      <c r="B215" s="27" t="s">
        <v>689</v>
      </c>
      <c r="C215" s="27" t="s">
        <v>690</v>
      </c>
      <c r="D215" s="27" t="s">
        <v>691</v>
      </c>
      <c r="E215" s="28" t="s">
        <v>46</v>
      </c>
      <c r="F215" s="29" t="s">
        <v>46</v>
      </c>
      <c r="G215" s="30" t="s">
        <v>46</v>
      </c>
      <c r="H215" s="31"/>
      <c r="I215" s="31" t="s">
        <v>628</v>
      </c>
      <c r="J215" s="32" t="n">
        <v>1.0</v>
      </c>
      <c r="K215" s="33" t="n">
        <f>9590</f>
        <v>9590.0</v>
      </c>
      <c r="L215" s="34" t="s">
        <v>48</v>
      </c>
      <c r="M215" s="33" t="n">
        <f>10700</f>
        <v>10700.0</v>
      </c>
      <c r="N215" s="34" t="s">
        <v>66</v>
      </c>
      <c r="O215" s="33" t="n">
        <f>9580</f>
        <v>9580.0</v>
      </c>
      <c r="P215" s="34" t="s">
        <v>48</v>
      </c>
      <c r="Q215" s="33" t="n">
        <f>10420</f>
        <v>10420.0</v>
      </c>
      <c r="R215" s="34" t="s">
        <v>50</v>
      </c>
      <c r="S215" s="35" t="n">
        <f>10290</f>
        <v>10290.0</v>
      </c>
      <c r="T215" s="32" t="n">
        <f>7863</f>
        <v>7863.0</v>
      </c>
      <c r="U215" s="32" t="n">
        <f>1</f>
        <v>1.0</v>
      </c>
      <c r="V215" s="32" t="n">
        <f>79331040</f>
        <v>7.933104E7</v>
      </c>
      <c r="W215" s="32" t="n">
        <f>10380</f>
        <v>10380.0</v>
      </c>
      <c r="X215" s="36" t="n">
        <f>17</f>
        <v>17.0</v>
      </c>
    </row>
    <row r="216">
      <c r="A216" s="27" t="s">
        <v>42</v>
      </c>
      <c r="B216" s="27" t="s">
        <v>692</v>
      </c>
      <c r="C216" s="27" t="s">
        <v>693</v>
      </c>
      <c r="D216" s="27" t="s">
        <v>694</v>
      </c>
      <c r="E216" s="28" t="s">
        <v>46</v>
      </c>
      <c r="F216" s="29" t="s">
        <v>46</v>
      </c>
      <c r="G216" s="30" t="s">
        <v>46</v>
      </c>
      <c r="H216" s="31"/>
      <c r="I216" s="31" t="s">
        <v>628</v>
      </c>
      <c r="J216" s="32" t="n">
        <v>1.0</v>
      </c>
      <c r="K216" s="33" t="n">
        <f>10010</f>
        <v>10010.0</v>
      </c>
      <c r="L216" s="34" t="s">
        <v>48</v>
      </c>
      <c r="M216" s="33" t="n">
        <f>11930</f>
        <v>11930.0</v>
      </c>
      <c r="N216" s="34" t="s">
        <v>50</v>
      </c>
      <c r="O216" s="33" t="n">
        <f>10010</f>
        <v>10010.0</v>
      </c>
      <c r="P216" s="34" t="s">
        <v>48</v>
      </c>
      <c r="Q216" s="33" t="n">
        <f>11910</f>
        <v>11910.0</v>
      </c>
      <c r="R216" s="34" t="s">
        <v>50</v>
      </c>
      <c r="S216" s="35" t="n">
        <f>10908.89</f>
        <v>10908.89</v>
      </c>
      <c r="T216" s="32" t="n">
        <f>6813</f>
        <v>6813.0</v>
      </c>
      <c r="U216" s="32" t="n">
        <f>1</f>
        <v>1.0</v>
      </c>
      <c r="V216" s="32" t="n">
        <f>74090840</f>
        <v>7.409084E7</v>
      </c>
      <c r="W216" s="32" t="n">
        <f>11910</f>
        <v>11910.0</v>
      </c>
      <c r="X216" s="36" t="n">
        <f>9</f>
        <v>9.0</v>
      </c>
    </row>
    <row r="217">
      <c r="A217" s="27" t="s">
        <v>42</v>
      </c>
      <c r="B217" s="27" t="s">
        <v>695</v>
      </c>
      <c r="C217" s="27" t="s">
        <v>696</v>
      </c>
      <c r="D217" s="27" t="s">
        <v>697</v>
      </c>
      <c r="E217" s="28" t="s">
        <v>46</v>
      </c>
      <c r="F217" s="29" t="s">
        <v>46</v>
      </c>
      <c r="G217" s="30" t="s">
        <v>46</v>
      </c>
      <c r="H217" s="31"/>
      <c r="I217" s="31" t="s">
        <v>628</v>
      </c>
      <c r="J217" s="32" t="n">
        <v>1.0</v>
      </c>
      <c r="K217" s="33" t="n">
        <f>10790</f>
        <v>10790.0</v>
      </c>
      <c r="L217" s="34" t="s">
        <v>48</v>
      </c>
      <c r="M217" s="33" t="n">
        <f>11570</f>
        <v>11570.0</v>
      </c>
      <c r="N217" s="34" t="s">
        <v>50</v>
      </c>
      <c r="O217" s="33" t="n">
        <f>10790</f>
        <v>10790.0</v>
      </c>
      <c r="P217" s="34" t="s">
        <v>48</v>
      </c>
      <c r="Q217" s="33" t="n">
        <f>11570</f>
        <v>11570.0</v>
      </c>
      <c r="R217" s="34" t="s">
        <v>50</v>
      </c>
      <c r="S217" s="35" t="n">
        <f>11180</f>
        <v>11180.0</v>
      </c>
      <c r="T217" s="32" t="n">
        <f>1005</f>
        <v>1005.0</v>
      </c>
      <c r="U217" s="32" t="str">
        <f>"－"</f>
        <v>－</v>
      </c>
      <c r="V217" s="32" t="n">
        <f>10844730</f>
        <v>1.084473E7</v>
      </c>
      <c r="W217" s="32" t="str">
        <f>"－"</f>
        <v>－</v>
      </c>
      <c r="X217" s="36" t="n">
        <f>2</f>
        <v>2.0</v>
      </c>
    </row>
    <row r="218">
      <c r="A218" s="27" t="s">
        <v>42</v>
      </c>
      <c r="B218" s="27" t="s">
        <v>698</v>
      </c>
      <c r="C218" s="27" t="s">
        <v>699</v>
      </c>
      <c r="D218" s="27" t="s">
        <v>700</v>
      </c>
      <c r="E218" s="28" t="s">
        <v>701</v>
      </c>
      <c r="F218" s="29" t="s">
        <v>702</v>
      </c>
      <c r="G218" s="30" t="s">
        <v>703</v>
      </c>
      <c r="H218" s="31"/>
      <c r="I218" s="31" t="s">
        <v>628</v>
      </c>
      <c r="J218" s="32" t="n">
        <v>1.0</v>
      </c>
      <c r="K218" s="33" t="n">
        <f>10010</f>
        <v>10010.0</v>
      </c>
      <c r="L218" s="34" t="s">
        <v>90</v>
      </c>
      <c r="M218" s="33" t="n">
        <f>10210</f>
        <v>10210.0</v>
      </c>
      <c r="N218" s="34" t="s">
        <v>49</v>
      </c>
      <c r="O218" s="33" t="n">
        <f>9970</f>
        <v>9970.0</v>
      </c>
      <c r="P218" s="34" t="s">
        <v>50</v>
      </c>
      <c r="Q218" s="33" t="n">
        <f>9970</f>
        <v>9970.0</v>
      </c>
      <c r="R218" s="34" t="s">
        <v>50</v>
      </c>
      <c r="S218" s="35" t="n">
        <f>10076.67</f>
        <v>10076.67</v>
      </c>
      <c r="T218" s="32" t="n">
        <f>39907</f>
        <v>39907.0</v>
      </c>
      <c r="U218" s="32" t="str">
        <f>"－"</f>
        <v>－</v>
      </c>
      <c r="V218" s="32" t="n">
        <f>403649940</f>
        <v>4.0364994E8</v>
      </c>
      <c r="W218" s="32" t="str">
        <f>"－"</f>
        <v>－</v>
      </c>
      <c r="X218" s="36" t="n">
        <f>3</f>
        <v>3.0</v>
      </c>
    </row>
    <row r="219">
      <c r="A219" s="27" t="s">
        <v>42</v>
      </c>
      <c r="B219" s="27" t="s">
        <v>704</v>
      </c>
      <c r="C219" s="27" t="s">
        <v>705</v>
      </c>
      <c r="D219" s="27" t="s">
        <v>706</v>
      </c>
      <c r="E219" s="28" t="s">
        <v>701</v>
      </c>
      <c r="F219" s="29" t="s">
        <v>702</v>
      </c>
      <c r="G219" s="30" t="s">
        <v>703</v>
      </c>
      <c r="H219" s="31"/>
      <c r="I219" s="31" t="s">
        <v>628</v>
      </c>
      <c r="J219" s="32" t="n">
        <v>1.0</v>
      </c>
      <c r="K219" s="33" t="n">
        <f>10020</f>
        <v>10020.0</v>
      </c>
      <c r="L219" s="34" t="s">
        <v>90</v>
      </c>
      <c r="M219" s="33" t="n">
        <f>10270</f>
        <v>10270.0</v>
      </c>
      <c r="N219" s="34" t="s">
        <v>49</v>
      </c>
      <c r="O219" s="33" t="n">
        <f>10010</f>
        <v>10010.0</v>
      </c>
      <c r="P219" s="34" t="s">
        <v>90</v>
      </c>
      <c r="Q219" s="33" t="n">
        <f>10130</f>
        <v>10130.0</v>
      </c>
      <c r="R219" s="34" t="s">
        <v>50</v>
      </c>
      <c r="S219" s="35" t="n">
        <f>10173.33</f>
        <v>10173.33</v>
      </c>
      <c r="T219" s="32" t="n">
        <f>178370</f>
        <v>178370.0</v>
      </c>
      <c r="U219" s="32" t="str">
        <f>"－"</f>
        <v>－</v>
      </c>
      <c r="V219" s="32" t="n">
        <f>1815529010</f>
        <v>1.81552901E9</v>
      </c>
      <c r="W219" s="32" t="str">
        <f>"－"</f>
        <v>－</v>
      </c>
      <c r="X219" s="36" t="n">
        <f>3</f>
        <v>3.0</v>
      </c>
    </row>
    <row r="220">
      <c r="A220" s="27" t="s">
        <v>42</v>
      </c>
      <c r="B220" s="27" t="s">
        <v>707</v>
      </c>
      <c r="C220" s="27" t="s">
        <v>708</v>
      </c>
      <c r="D220" s="27" t="s">
        <v>709</v>
      </c>
      <c r="E220" s="28" t="s">
        <v>701</v>
      </c>
      <c r="F220" s="29" t="s">
        <v>702</v>
      </c>
      <c r="G220" s="30" t="s">
        <v>703</v>
      </c>
      <c r="H220" s="31"/>
      <c r="I220" s="31" t="s">
        <v>628</v>
      </c>
      <c r="J220" s="32" t="n">
        <v>1.0</v>
      </c>
      <c r="K220" s="33" t="n">
        <f>10040</f>
        <v>10040.0</v>
      </c>
      <c r="L220" s="34" t="s">
        <v>90</v>
      </c>
      <c r="M220" s="33" t="n">
        <f>10230</f>
        <v>10230.0</v>
      </c>
      <c r="N220" s="34" t="s">
        <v>49</v>
      </c>
      <c r="O220" s="33" t="n">
        <f>10030</f>
        <v>10030.0</v>
      </c>
      <c r="P220" s="34" t="s">
        <v>90</v>
      </c>
      <c r="Q220" s="33" t="n">
        <f>10050</f>
        <v>10050.0</v>
      </c>
      <c r="R220" s="34" t="s">
        <v>50</v>
      </c>
      <c r="S220" s="35" t="n">
        <f>10120</f>
        <v>10120.0</v>
      </c>
      <c r="T220" s="32" t="n">
        <f>131833</f>
        <v>131833.0</v>
      </c>
      <c r="U220" s="32" t="str">
        <f>"－"</f>
        <v>－</v>
      </c>
      <c r="V220" s="32" t="n">
        <f>1333417200</f>
        <v>1.3334172E9</v>
      </c>
      <c r="W220" s="32" t="str">
        <f>"－"</f>
        <v>－</v>
      </c>
      <c r="X220" s="36" t="n">
        <f>3</f>
        <v>3.0</v>
      </c>
    </row>
    <row r="221">
      <c r="A221" s="27" t="s">
        <v>42</v>
      </c>
      <c r="B221" s="27" t="s">
        <v>710</v>
      </c>
      <c r="C221" s="27" t="s">
        <v>711</v>
      </c>
      <c r="D221" s="27" t="s">
        <v>712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996</f>
        <v>996.0</v>
      </c>
      <c r="L221" s="34" t="s">
        <v>48</v>
      </c>
      <c r="M221" s="33" t="n">
        <f>1000</f>
        <v>1000.0</v>
      </c>
      <c r="N221" s="34" t="s">
        <v>130</v>
      </c>
      <c r="O221" s="33" t="n">
        <f>995</f>
        <v>995.0</v>
      </c>
      <c r="P221" s="34" t="s">
        <v>48</v>
      </c>
      <c r="Q221" s="33" t="n">
        <f>997</f>
        <v>997.0</v>
      </c>
      <c r="R221" s="34" t="s">
        <v>50</v>
      </c>
      <c r="S221" s="35" t="n">
        <f>997.79</f>
        <v>997.79</v>
      </c>
      <c r="T221" s="32" t="n">
        <f>124340</f>
        <v>124340.0</v>
      </c>
      <c r="U221" s="32" t="n">
        <f>3080</f>
        <v>3080.0</v>
      </c>
      <c r="V221" s="32" t="n">
        <f>124076310</f>
        <v>1.2407631E8</v>
      </c>
      <c r="W221" s="32" t="n">
        <f>3073840</f>
        <v>3073840.0</v>
      </c>
      <c r="X221" s="36" t="n">
        <f>19</f>
        <v>19.0</v>
      </c>
    </row>
    <row r="222">
      <c r="A222" s="27" t="s">
        <v>42</v>
      </c>
      <c r="B222" s="27" t="s">
        <v>713</v>
      </c>
      <c r="C222" s="27" t="s">
        <v>714</v>
      </c>
      <c r="D222" s="27" t="s">
        <v>715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984</f>
        <v>984.0</v>
      </c>
      <c r="L222" s="34" t="s">
        <v>48</v>
      </c>
      <c r="M222" s="33" t="n">
        <f>1050</f>
        <v>1050.0</v>
      </c>
      <c r="N222" s="34" t="s">
        <v>113</v>
      </c>
      <c r="O222" s="33" t="n">
        <f>984</f>
        <v>984.0</v>
      </c>
      <c r="P222" s="34" t="s">
        <v>48</v>
      </c>
      <c r="Q222" s="33" t="n">
        <f>997</f>
        <v>997.0</v>
      </c>
      <c r="R222" s="34" t="s">
        <v>50</v>
      </c>
      <c r="S222" s="35" t="n">
        <f>996</f>
        <v>996.0</v>
      </c>
      <c r="T222" s="32" t="n">
        <f>533240</f>
        <v>533240.0</v>
      </c>
      <c r="U222" s="32" t="n">
        <f>100560</f>
        <v>100560.0</v>
      </c>
      <c r="V222" s="32" t="n">
        <f>529844995</f>
        <v>5.29844995E8</v>
      </c>
      <c r="W222" s="32" t="n">
        <f>99886305</f>
        <v>9.9886305E7</v>
      </c>
      <c r="X222" s="36" t="n">
        <f>19</f>
        <v>19.0</v>
      </c>
    </row>
    <row r="223">
      <c r="A223" s="27" t="s">
        <v>42</v>
      </c>
      <c r="B223" s="27" t="s">
        <v>716</v>
      </c>
      <c r="C223" s="27" t="s">
        <v>717</v>
      </c>
      <c r="D223" s="27" t="s">
        <v>718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1058</f>
        <v>1058.0</v>
      </c>
      <c r="L223" s="34" t="s">
        <v>48</v>
      </c>
      <c r="M223" s="33" t="n">
        <f>1064</f>
        <v>1064.0</v>
      </c>
      <c r="N223" s="34" t="s">
        <v>277</v>
      </c>
      <c r="O223" s="33" t="n">
        <f>1048</f>
        <v>1048.0</v>
      </c>
      <c r="P223" s="34" t="s">
        <v>113</v>
      </c>
      <c r="Q223" s="33" t="n">
        <f>1061</f>
        <v>1061.0</v>
      </c>
      <c r="R223" s="34" t="s">
        <v>50</v>
      </c>
      <c r="S223" s="35" t="n">
        <f>1057.63</f>
        <v>1057.63</v>
      </c>
      <c r="T223" s="32" t="n">
        <f>1096840</f>
        <v>1096840.0</v>
      </c>
      <c r="U223" s="32" t="n">
        <f>244580</f>
        <v>244580.0</v>
      </c>
      <c r="V223" s="32" t="n">
        <f>1160982490</f>
        <v>1.16098249E9</v>
      </c>
      <c r="W223" s="32" t="n">
        <f>257574730</f>
        <v>2.5757473E8</v>
      </c>
      <c r="X223" s="36" t="n">
        <f>19</f>
        <v>19.0</v>
      </c>
    </row>
    <row r="224">
      <c r="A224" s="27" t="s">
        <v>42</v>
      </c>
      <c r="B224" s="27" t="s">
        <v>719</v>
      </c>
      <c r="C224" s="27" t="s">
        <v>720</v>
      </c>
      <c r="D224" s="27" t="s">
        <v>721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1064</f>
        <v>1064.0</v>
      </c>
      <c r="L224" s="34" t="s">
        <v>48</v>
      </c>
      <c r="M224" s="33" t="n">
        <f>1214</f>
        <v>1214.0</v>
      </c>
      <c r="N224" s="34" t="s">
        <v>66</v>
      </c>
      <c r="O224" s="33" t="n">
        <f>1064</f>
        <v>1064.0</v>
      </c>
      <c r="P224" s="34" t="s">
        <v>48</v>
      </c>
      <c r="Q224" s="33" t="n">
        <f>1197</f>
        <v>1197.0</v>
      </c>
      <c r="R224" s="34" t="s">
        <v>50</v>
      </c>
      <c r="S224" s="35" t="n">
        <f>1168.16</f>
        <v>1168.16</v>
      </c>
      <c r="T224" s="32" t="n">
        <f>433450</f>
        <v>433450.0</v>
      </c>
      <c r="U224" s="32" t="n">
        <f>176130</f>
        <v>176130.0</v>
      </c>
      <c r="V224" s="32" t="n">
        <f>498676770</f>
        <v>4.9867677E8</v>
      </c>
      <c r="W224" s="32" t="n">
        <f>204091070</f>
        <v>2.0409107E8</v>
      </c>
      <c r="X224" s="36" t="n">
        <f>19</f>
        <v>19.0</v>
      </c>
    </row>
    <row r="225">
      <c r="A225" s="27" t="s">
        <v>42</v>
      </c>
      <c r="B225" s="27" t="s">
        <v>722</v>
      </c>
      <c r="C225" s="27" t="s">
        <v>723</v>
      </c>
      <c r="D225" s="27" t="s">
        <v>724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1120</f>
        <v>1120.0</v>
      </c>
      <c r="L225" s="34" t="s">
        <v>48</v>
      </c>
      <c r="M225" s="33" t="n">
        <f>1268</f>
        <v>1268.0</v>
      </c>
      <c r="N225" s="34" t="s">
        <v>66</v>
      </c>
      <c r="O225" s="33" t="n">
        <f>1120</f>
        <v>1120.0</v>
      </c>
      <c r="P225" s="34" t="s">
        <v>48</v>
      </c>
      <c r="Q225" s="33" t="n">
        <f>1255</f>
        <v>1255.0</v>
      </c>
      <c r="R225" s="34" t="s">
        <v>50</v>
      </c>
      <c r="S225" s="35" t="n">
        <f>1226.37</f>
        <v>1226.37</v>
      </c>
      <c r="T225" s="32" t="n">
        <f>70200</f>
        <v>70200.0</v>
      </c>
      <c r="U225" s="32" t="str">
        <f>"－"</f>
        <v>－</v>
      </c>
      <c r="V225" s="32" t="n">
        <f>85975190</f>
        <v>8.597519E7</v>
      </c>
      <c r="W225" s="32" t="str">
        <f>"－"</f>
        <v>－</v>
      </c>
      <c r="X225" s="36" t="n">
        <f>19</f>
        <v>19.0</v>
      </c>
    </row>
    <row r="226">
      <c r="A226" s="27" t="s">
        <v>42</v>
      </c>
      <c r="B226" s="27" t="s">
        <v>725</v>
      </c>
      <c r="C226" s="27" t="s">
        <v>726</v>
      </c>
      <c r="D226" s="27" t="s">
        <v>727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796</f>
        <v>796.0</v>
      </c>
      <c r="L226" s="34" t="s">
        <v>48</v>
      </c>
      <c r="M226" s="33" t="n">
        <f>913</f>
        <v>913.0</v>
      </c>
      <c r="N226" s="34" t="s">
        <v>82</v>
      </c>
      <c r="O226" s="33" t="n">
        <f>794</f>
        <v>794.0</v>
      </c>
      <c r="P226" s="34" t="s">
        <v>48</v>
      </c>
      <c r="Q226" s="33" t="n">
        <f>895</f>
        <v>895.0</v>
      </c>
      <c r="R226" s="34" t="s">
        <v>50</v>
      </c>
      <c r="S226" s="35" t="n">
        <f>877.63</f>
        <v>877.63</v>
      </c>
      <c r="T226" s="32" t="n">
        <f>492910</f>
        <v>492910.0</v>
      </c>
      <c r="U226" s="32" t="n">
        <f>1100</f>
        <v>1100.0</v>
      </c>
      <c r="V226" s="32" t="n">
        <f>430215860</f>
        <v>4.3021586E8</v>
      </c>
      <c r="W226" s="32" t="n">
        <f>993300</f>
        <v>993300.0</v>
      </c>
      <c r="X226" s="36" t="n">
        <f>19</f>
        <v>19.0</v>
      </c>
    </row>
    <row r="227">
      <c r="A227" s="27" t="s">
        <v>42</v>
      </c>
      <c r="B227" s="27" t="s">
        <v>728</v>
      </c>
      <c r="C227" s="27" t="s">
        <v>729</v>
      </c>
      <c r="D227" s="27" t="s">
        <v>730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905</f>
        <v>905.0</v>
      </c>
      <c r="L227" s="34" t="s">
        <v>48</v>
      </c>
      <c r="M227" s="33" t="n">
        <f>978</f>
        <v>978.0</v>
      </c>
      <c r="N227" s="34" t="s">
        <v>97</v>
      </c>
      <c r="O227" s="33" t="n">
        <f>882</f>
        <v>882.0</v>
      </c>
      <c r="P227" s="34" t="s">
        <v>113</v>
      </c>
      <c r="Q227" s="33" t="n">
        <f>952</f>
        <v>952.0</v>
      </c>
      <c r="R227" s="34" t="s">
        <v>50</v>
      </c>
      <c r="S227" s="35" t="n">
        <f>935.26</f>
        <v>935.26</v>
      </c>
      <c r="T227" s="32" t="n">
        <f>20767330</f>
        <v>2.076733E7</v>
      </c>
      <c r="U227" s="32" t="n">
        <f>77180</f>
        <v>77180.0</v>
      </c>
      <c r="V227" s="32" t="n">
        <f>19378574000</f>
        <v>1.9378574E10</v>
      </c>
      <c r="W227" s="32" t="n">
        <f>73468740</f>
        <v>7.346874E7</v>
      </c>
      <c r="X227" s="36" t="n">
        <f>19</f>
        <v>19.0</v>
      </c>
    </row>
    <row r="228">
      <c r="A228" s="27" t="s">
        <v>42</v>
      </c>
      <c r="B228" s="27" t="s">
        <v>731</v>
      </c>
      <c r="C228" s="27" t="s">
        <v>732</v>
      </c>
      <c r="D228" s="27" t="s">
        <v>733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969</f>
        <v>969.0</v>
      </c>
      <c r="L228" s="34" t="s">
        <v>48</v>
      </c>
      <c r="M228" s="33" t="n">
        <f>1022</f>
        <v>1022.0</v>
      </c>
      <c r="N228" s="34" t="s">
        <v>113</v>
      </c>
      <c r="O228" s="33" t="n">
        <f>964</f>
        <v>964.0</v>
      </c>
      <c r="P228" s="34" t="s">
        <v>48</v>
      </c>
      <c r="Q228" s="33" t="n">
        <f>983</f>
        <v>983.0</v>
      </c>
      <c r="R228" s="34" t="s">
        <v>50</v>
      </c>
      <c r="S228" s="35" t="n">
        <f>992.16</f>
        <v>992.16</v>
      </c>
      <c r="T228" s="32" t="n">
        <f>60040</f>
        <v>60040.0</v>
      </c>
      <c r="U228" s="32" t="str">
        <f>"－"</f>
        <v>－</v>
      </c>
      <c r="V228" s="32" t="n">
        <f>59547100</f>
        <v>5.95471E7</v>
      </c>
      <c r="W228" s="32" t="str">
        <f>"－"</f>
        <v>－</v>
      </c>
      <c r="X228" s="36" t="n">
        <f>19</f>
        <v>19.0</v>
      </c>
    </row>
    <row r="229">
      <c r="A229" s="27" t="s">
        <v>42</v>
      </c>
      <c r="B229" s="27" t="s">
        <v>734</v>
      </c>
      <c r="C229" s="27" t="s">
        <v>735</v>
      </c>
      <c r="D229" s="27" t="s">
        <v>736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937</f>
        <v>937.0</v>
      </c>
      <c r="L229" s="34" t="s">
        <v>48</v>
      </c>
      <c r="M229" s="33" t="n">
        <f>1060</f>
        <v>1060.0</v>
      </c>
      <c r="N229" s="34" t="s">
        <v>66</v>
      </c>
      <c r="O229" s="33" t="n">
        <f>937</f>
        <v>937.0</v>
      </c>
      <c r="P229" s="34" t="s">
        <v>48</v>
      </c>
      <c r="Q229" s="33" t="n">
        <f>1039</f>
        <v>1039.0</v>
      </c>
      <c r="R229" s="34" t="s">
        <v>50</v>
      </c>
      <c r="S229" s="35" t="n">
        <f>1012.53</f>
        <v>1012.53</v>
      </c>
      <c r="T229" s="32" t="n">
        <f>278572</f>
        <v>278572.0</v>
      </c>
      <c r="U229" s="32" t="n">
        <f>1</f>
        <v>1.0</v>
      </c>
      <c r="V229" s="32" t="n">
        <f>290948534</f>
        <v>2.90948534E8</v>
      </c>
      <c r="W229" s="32" t="n">
        <f>1025</f>
        <v>1025.0</v>
      </c>
      <c r="X229" s="36" t="n">
        <f>19</f>
        <v>19.0</v>
      </c>
    </row>
    <row r="230">
      <c r="A230" s="27" t="s">
        <v>42</v>
      </c>
      <c r="B230" s="27" t="s">
        <v>737</v>
      </c>
      <c r="C230" s="27" t="s">
        <v>738</v>
      </c>
      <c r="D230" s="27" t="s">
        <v>739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992</f>
        <v>992.0</v>
      </c>
      <c r="L230" s="34" t="s">
        <v>48</v>
      </c>
      <c r="M230" s="33" t="n">
        <f>1041</f>
        <v>1041.0</v>
      </c>
      <c r="N230" s="34" t="s">
        <v>168</v>
      </c>
      <c r="O230" s="33" t="n">
        <f>986</f>
        <v>986.0</v>
      </c>
      <c r="P230" s="34" t="s">
        <v>48</v>
      </c>
      <c r="Q230" s="33" t="n">
        <f>1023</f>
        <v>1023.0</v>
      </c>
      <c r="R230" s="34" t="s">
        <v>50</v>
      </c>
      <c r="S230" s="35" t="n">
        <f>1020.26</f>
        <v>1020.26</v>
      </c>
      <c r="T230" s="32" t="n">
        <f>65870</f>
        <v>65870.0</v>
      </c>
      <c r="U230" s="32" t="n">
        <f>140</f>
        <v>140.0</v>
      </c>
      <c r="V230" s="32" t="n">
        <f>67484290</f>
        <v>6.748429E7</v>
      </c>
      <c r="W230" s="32" t="n">
        <f>143500</f>
        <v>143500.0</v>
      </c>
      <c r="X230" s="36" t="n">
        <f>19</f>
        <v>19.0</v>
      </c>
    </row>
    <row r="231">
      <c r="A231" s="27" t="s">
        <v>42</v>
      </c>
      <c r="B231" s="27" t="s">
        <v>740</v>
      </c>
      <c r="C231" s="27" t="s">
        <v>741</v>
      </c>
      <c r="D231" s="27" t="s">
        <v>742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988</f>
        <v>988.0</v>
      </c>
      <c r="L231" s="34" t="s">
        <v>48</v>
      </c>
      <c r="M231" s="33" t="n">
        <f>1113</f>
        <v>1113.0</v>
      </c>
      <c r="N231" s="34" t="s">
        <v>66</v>
      </c>
      <c r="O231" s="33" t="n">
        <f>987</f>
        <v>987.0</v>
      </c>
      <c r="P231" s="34" t="s">
        <v>48</v>
      </c>
      <c r="Q231" s="33" t="n">
        <f>1094</f>
        <v>1094.0</v>
      </c>
      <c r="R231" s="34" t="s">
        <v>50</v>
      </c>
      <c r="S231" s="35" t="n">
        <f>1065.84</f>
        <v>1065.84</v>
      </c>
      <c r="T231" s="32" t="n">
        <f>53880</f>
        <v>53880.0</v>
      </c>
      <c r="U231" s="32" t="n">
        <f>10</f>
        <v>10.0</v>
      </c>
      <c r="V231" s="32" t="n">
        <f>57634270</f>
        <v>5.763427E7</v>
      </c>
      <c r="W231" s="32" t="n">
        <f>10770</f>
        <v>10770.0</v>
      </c>
      <c r="X231" s="36" t="n">
        <f>19</f>
        <v>19.0</v>
      </c>
    </row>
    <row r="232">
      <c r="A232" s="27" t="s">
        <v>42</v>
      </c>
      <c r="B232" s="27" t="s">
        <v>743</v>
      </c>
      <c r="C232" s="27" t="s">
        <v>744</v>
      </c>
      <c r="D232" s="27" t="s">
        <v>745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1144</f>
        <v>1144.0</v>
      </c>
      <c r="L232" s="34" t="s">
        <v>48</v>
      </c>
      <c r="M232" s="33" t="n">
        <f>1283</f>
        <v>1283.0</v>
      </c>
      <c r="N232" s="34" t="s">
        <v>66</v>
      </c>
      <c r="O232" s="33" t="n">
        <f>1142</f>
        <v>1142.0</v>
      </c>
      <c r="P232" s="34" t="s">
        <v>48</v>
      </c>
      <c r="Q232" s="33" t="n">
        <f>1269</f>
        <v>1269.0</v>
      </c>
      <c r="R232" s="34" t="s">
        <v>50</v>
      </c>
      <c r="S232" s="35" t="n">
        <f>1244.84</f>
        <v>1244.84</v>
      </c>
      <c r="T232" s="32" t="n">
        <f>16546990</f>
        <v>1.654699E7</v>
      </c>
      <c r="U232" s="32" t="n">
        <f>7083880</f>
        <v>7083880.0</v>
      </c>
      <c r="V232" s="32" t="n">
        <f>20499465450</f>
        <v>2.049946545E10</v>
      </c>
      <c r="W232" s="32" t="n">
        <f>8824001060</f>
        <v>8.82400106E9</v>
      </c>
      <c r="X232" s="36" t="n">
        <f>19</f>
        <v>19.0</v>
      </c>
    </row>
    <row r="233">
      <c r="A233" s="27" t="s">
        <v>42</v>
      </c>
      <c r="B233" s="27" t="s">
        <v>746</v>
      </c>
      <c r="C233" s="27" t="s">
        <v>747</v>
      </c>
      <c r="D233" s="27" t="s">
        <v>748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2716</f>
        <v>2716.0</v>
      </c>
      <c r="L233" s="34" t="s">
        <v>48</v>
      </c>
      <c r="M233" s="33" t="n">
        <f>3120</f>
        <v>3120.0</v>
      </c>
      <c r="N233" s="34" t="s">
        <v>50</v>
      </c>
      <c r="O233" s="33" t="n">
        <f>2708</f>
        <v>2708.0</v>
      </c>
      <c r="P233" s="34" t="s">
        <v>48</v>
      </c>
      <c r="Q233" s="33" t="n">
        <f>3095</f>
        <v>3095.0</v>
      </c>
      <c r="R233" s="34" t="s">
        <v>50</v>
      </c>
      <c r="S233" s="35" t="n">
        <f>2974.84</f>
        <v>2974.84</v>
      </c>
      <c r="T233" s="32" t="n">
        <f>72380</f>
        <v>72380.0</v>
      </c>
      <c r="U233" s="32" t="str">
        <f>"－"</f>
        <v>－</v>
      </c>
      <c r="V233" s="32" t="n">
        <f>211412455</f>
        <v>2.11412455E8</v>
      </c>
      <c r="W233" s="32" t="str">
        <f>"－"</f>
        <v>－</v>
      </c>
      <c r="X233" s="36" t="n">
        <f>19</f>
        <v>19.0</v>
      </c>
    </row>
    <row r="234">
      <c r="A234" s="27" t="s">
        <v>42</v>
      </c>
      <c r="B234" s="27" t="s">
        <v>749</v>
      </c>
      <c r="C234" s="27" t="s">
        <v>750</v>
      </c>
      <c r="D234" s="27" t="s">
        <v>751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1440</f>
        <v>1440.0</v>
      </c>
      <c r="L234" s="34" t="s">
        <v>48</v>
      </c>
      <c r="M234" s="33" t="n">
        <f>1839</f>
        <v>1839.0</v>
      </c>
      <c r="N234" s="34" t="s">
        <v>50</v>
      </c>
      <c r="O234" s="33" t="n">
        <f>1440</f>
        <v>1440.0</v>
      </c>
      <c r="P234" s="34" t="s">
        <v>48</v>
      </c>
      <c r="Q234" s="33" t="n">
        <f>1839</f>
        <v>1839.0</v>
      </c>
      <c r="R234" s="34" t="s">
        <v>50</v>
      </c>
      <c r="S234" s="35" t="n">
        <f>1590.43</f>
        <v>1590.43</v>
      </c>
      <c r="T234" s="32" t="n">
        <f>5300</f>
        <v>5300.0</v>
      </c>
      <c r="U234" s="32" t="str">
        <f>"－"</f>
        <v>－</v>
      </c>
      <c r="V234" s="32" t="n">
        <f>8702690</f>
        <v>8702690.0</v>
      </c>
      <c r="W234" s="32" t="str">
        <f>"－"</f>
        <v>－</v>
      </c>
      <c r="X234" s="36" t="n">
        <f>14</f>
        <v>14.0</v>
      </c>
    </row>
    <row r="235">
      <c r="A235" s="27" t="s">
        <v>42</v>
      </c>
      <c r="B235" s="27" t="s">
        <v>752</v>
      </c>
      <c r="C235" s="27" t="s">
        <v>753</v>
      </c>
      <c r="D235" s="27" t="s">
        <v>754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1680</f>
        <v>1680.0</v>
      </c>
      <c r="L235" s="34" t="s">
        <v>277</v>
      </c>
      <c r="M235" s="33" t="n">
        <f>1808</f>
        <v>1808.0</v>
      </c>
      <c r="N235" s="34" t="s">
        <v>49</v>
      </c>
      <c r="O235" s="33" t="n">
        <f>1680</f>
        <v>1680.0</v>
      </c>
      <c r="P235" s="34" t="s">
        <v>277</v>
      </c>
      <c r="Q235" s="33" t="n">
        <f>1808</f>
        <v>1808.0</v>
      </c>
      <c r="R235" s="34" t="s">
        <v>49</v>
      </c>
      <c r="S235" s="35" t="n">
        <f>1746.23</f>
        <v>1746.23</v>
      </c>
      <c r="T235" s="32" t="n">
        <f>174460</f>
        <v>174460.0</v>
      </c>
      <c r="U235" s="32" t="str">
        <f>"－"</f>
        <v>－</v>
      </c>
      <c r="V235" s="32" t="n">
        <f>304290180</f>
        <v>3.0429018E8</v>
      </c>
      <c r="W235" s="32" t="str">
        <f>"－"</f>
        <v>－</v>
      </c>
      <c r="X235" s="36" t="n">
        <f>13</f>
        <v>13.0</v>
      </c>
    </row>
    <row r="236">
      <c r="A236" s="27" t="s">
        <v>42</v>
      </c>
      <c r="B236" s="27" t="s">
        <v>755</v>
      </c>
      <c r="C236" s="27" t="s">
        <v>756</v>
      </c>
      <c r="D236" s="27" t="s">
        <v>757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24280</f>
        <v>24280.0</v>
      </c>
      <c r="L236" s="34" t="s">
        <v>277</v>
      </c>
      <c r="M236" s="33" t="n">
        <f>26940</f>
        <v>26940.0</v>
      </c>
      <c r="N236" s="34" t="s">
        <v>50</v>
      </c>
      <c r="O236" s="33" t="n">
        <f>24280</f>
        <v>24280.0</v>
      </c>
      <c r="P236" s="34" t="s">
        <v>277</v>
      </c>
      <c r="Q236" s="33" t="n">
        <f>26760</f>
        <v>26760.0</v>
      </c>
      <c r="R236" s="34" t="s">
        <v>50</v>
      </c>
      <c r="S236" s="35" t="n">
        <f>25876.43</f>
        <v>25876.43</v>
      </c>
      <c r="T236" s="32" t="n">
        <f>2671</f>
        <v>2671.0</v>
      </c>
      <c r="U236" s="32" t="n">
        <f>1</f>
        <v>1.0</v>
      </c>
      <c r="V236" s="32" t="n">
        <f>67565540</f>
        <v>6.756554E7</v>
      </c>
      <c r="W236" s="32" t="n">
        <f>25610</f>
        <v>25610.0</v>
      </c>
      <c r="X236" s="36" t="n">
        <f>14</f>
        <v>14.0</v>
      </c>
    </row>
    <row r="237">
      <c r="A237" s="27" t="s">
        <v>42</v>
      </c>
      <c r="B237" s="27" t="s">
        <v>758</v>
      </c>
      <c r="C237" s="27" t="s">
        <v>759</v>
      </c>
      <c r="D237" s="27" t="s">
        <v>760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14510</f>
        <v>14510.0</v>
      </c>
      <c r="L237" s="34" t="s">
        <v>48</v>
      </c>
      <c r="M237" s="33" t="n">
        <f>16460</f>
        <v>16460.0</v>
      </c>
      <c r="N237" s="34" t="s">
        <v>50</v>
      </c>
      <c r="O237" s="33" t="n">
        <f>14510</f>
        <v>14510.0</v>
      </c>
      <c r="P237" s="34" t="s">
        <v>48</v>
      </c>
      <c r="Q237" s="33" t="n">
        <f>16150</f>
        <v>16150.0</v>
      </c>
      <c r="R237" s="34" t="s">
        <v>50</v>
      </c>
      <c r="S237" s="35" t="n">
        <f>15677.22</f>
        <v>15677.22</v>
      </c>
      <c r="T237" s="32" t="n">
        <f>156778</f>
        <v>156778.0</v>
      </c>
      <c r="U237" s="32" t="n">
        <f>40000</f>
        <v>40000.0</v>
      </c>
      <c r="V237" s="32" t="n">
        <f>2444411240</f>
        <v>2.44441124E9</v>
      </c>
      <c r="W237" s="32" t="n">
        <f>636920000</f>
        <v>6.3692E8</v>
      </c>
      <c r="X237" s="36" t="n">
        <f>18</f>
        <v>18.0</v>
      </c>
    </row>
    <row r="238">
      <c r="A238" s="27" t="s">
        <v>42</v>
      </c>
      <c r="B238" s="27" t="s">
        <v>761</v>
      </c>
      <c r="C238" s="27" t="s">
        <v>762</v>
      </c>
      <c r="D238" s="27" t="s">
        <v>763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972</f>
        <v>972.0</v>
      </c>
      <c r="L238" s="34" t="s">
        <v>48</v>
      </c>
      <c r="M238" s="33" t="n">
        <f>1034</f>
        <v>1034.0</v>
      </c>
      <c r="N238" s="34" t="s">
        <v>164</v>
      </c>
      <c r="O238" s="33" t="n">
        <f>972</f>
        <v>972.0</v>
      </c>
      <c r="P238" s="34" t="s">
        <v>48</v>
      </c>
      <c r="Q238" s="33" t="n">
        <f>1004</f>
        <v>1004.0</v>
      </c>
      <c r="R238" s="34" t="s">
        <v>50</v>
      </c>
      <c r="S238" s="35" t="n">
        <f>1007.19</f>
        <v>1007.19</v>
      </c>
      <c r="T238" s="32" t="n">
        <f>205910</f>
        <v>205910.0</v>
      </c>
      <c r="U238" s="32" t="n">
        <f>140000</f>
        <v>140000.0</v>
      </c>
      <c r="V238" s="32" t="n">
        <f>206422160</f>
        <v>2.0642216E8</v>
      </c>
      <c r="W238" s="32" t="n">
        <f>140553000</f>
        <v>1.40553E8</v>
      </c>
      <c r="X238" s="36" t="n">
        <f>16</f>
        <v>16.0</v>
      </c>
    </row>
    <row r="239">
      <c r="A239" s="27" t="s">
        <v>42</v>
      </c>
      <c r="B239" s="27" t="s">
        <v>764</v>
      </c>
      <c r="C239" s="27" t="s">
        <v>765</v>
      </c>
      <c r="D239" s="27" t="s">
        <v>766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971</f>
        <v>971.0</v>
      </c>
      <c r="L239" s="34" t="s">
        <v>48</v>
      </c>
      <c r="M239" s="33" t="n">
        <f>1025</f>
        <v>1025.0</v>
      </c>
      <c r="N239" s="34" t="s">
        <v>172</v>
      </c>
      <c r="O239" s="33" t="n">
        <f>958</f>
        <v>958.0</v>
      </c>
      <c r="P239" s="34" t="s">
        <v>48</v>
      </c>
      <c r="Q239" s="33" t="n">
        <f>997</f>
        <v>997.0</v>
      </c>
      <c r="R239" s="34" t="s">
        <v>50</v>
      </c>
      <c r="S239" s="35" t="n">
        <f>993.32</f>
        <v>993.32</v>
      </c>
      <c r="T239" s="32" t="n">
        <f>67500</f>
        <v>67500.0</v>
      </c>
      <c r="U239" s="32" t="n">
        <f>45000</f>
        <v>45000.0</v>
      </c>
      <c r="V239" s="32" t="n">
        <f>67103700</f>
        <v>6.71037E7</v>
      </c>
      <c r="W239" s="32" t="n">
        <f>44858250</f>
        <v>4.485825E7</v>
      </c>
      <c r="X239" s="36" t="n">
        <f>19</f>
        <v>19.0</v>
      </c>
    </row>
    <row r="240">
      <c r="A240" s="27" t="s">
        <v>42</v>
      </c>
      <c r="B240" s="27" t="s">
        <v>767</v>
      </c>
      <c r="C240" s="27" t="s">
        <v>768</v>
      </c>
      <c r="D240" s="27" t="s">
        <v>769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850</f>
        <v>850.0</v>
      </c>
      <c r="L240" s="34" t="s">
        <v>48</v>
      </c>
      <c r="M240" s="33" t="n">
        <f>960</f>
        <v>960.0</v>
      </c>
      <c r="N240" s="34" t="s">
        <v>66</v>
      </c>
      <c r="O240" s="33" t="n">
        <f>850</f>
        <v>850.0</v>
      </c>
      <c r="P240" s="34" t="s">
        <v>48</v>
      </c>
      <c r="Q240" s="33" t="n">
        <f>926</f>
        <v>926.0</v>
      </c>
      <c r="R240" s="34" t="s">
        <v>50</v>
      </c>
      <c r="S240" s="35" t="n">
        <f>913.84</f>
        <v>913.84</v>
      </c>
      <c r="T240" s="32" t="n">
        <f>52813</f>
        <v>52813.0</v>
      </c>
      <c r="U240" s="32" t="str">
        <f>"－"</f>
        <v>－</v>
      </c>
      <c r="V240" s="32" t="n">
        <f>48160356</f>
        <v>4.8160356E7</v>
      </c>
      <c r="W240" s="32" t="str">
        <f>"－"</f>
        <v>－</v>
      </c>
      <c r="X240" s="36" t="n">
        <f>19</f>
        <v>19.0</v>
      </c>
    </row>
    <row r="241">
      <c r="A241" s="27" t="s">
        <v>42</v>
      </c>
      <c r="B241" s="27" t="s">
        <v>770</v>
      </c>
      <c r="C241" s="27" t="s">
        <v>771</v>
      </c>
      <c r="D241" s="27" t="s">
        <v>772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11960</f>
        <v>11960.0</v>
      </c>
      <c r="L241" s="34" t="s">
        <v>48</v>
      </c>
      <c r="M241" s="33" t="n">
        <f>12950</f>
        <v>12950.0</v>
      </c>
      <c r="N241" s="34" t="s">
        <v>50</v>
      </c>
      <c r="O241" s="33" t="n">
        <f>11920</f>
        <v>11920.0</v>
      </c>
      <c r="P241" s="34" t="s">
        <v>218</v>
      </c>
      <c r="Q241" s="33" t="n">
        <f>12800</f>
        <v>12800.0</v>
      </c>
      <c r="R241" s="34" t="s">
        <v>50</v>
      </c>
      <c r="S241" s="35" t="n">
        <f>12428.95</f>
        <v>12428.95</v>
      </c>
      <c r="T241" s="32" t="n">
        <f>3393</f>
        <v>3393.0</v>
      </c>
      <c r="U241" s="32" t="str">
        <f>"－"</f>
        <v>－</v>
      </c>
      <c r="V241" s="32" t="n">
        <f>42288320</f>
        <v>4.228832E7</v>
      </c>
      <c r="W241" s="32" t="str">
        <f>"－"</f>
        <v>－</v>
      </c>
      <c r="X241" s="36" t="n">
        <f>19</f>
        <v>19.0</v>
      </c>
    </row>
    <row r="242">
      <c r="A242" s="27" t="s">
        <v>42</v>
      </c>
      <c r="B242" s="27" t="s">
        <v>773</v>
      </c>
      <c r="C242" s="27" t="s">
        <v>774</v>
      </c>
      <c r="D242" s="27" t="s">
        <v>775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1745</f>
        <v>1745.0</v>
      </c>
      <c r="L242" s="34" t="s">
        <v>48</v>
      </c>
      <c r="M242" s="33" t="n">
        <f>1853</f>
        <v>1853.0</v>
      </c>
      <c r="N242" s="34" t="s">
        <v>164</v>
      </c>
      <c r="O242" s="33" t="n">
        <f>1733</f>
        <v>1733.0</v>
      </c>
      <c r="P242" s="34" t="s">
        <v>48</v>
      </c>
      <c r="Q242" s="33" t="n">
        <f>1798</f>
        <v>1798.0</v>
      </c>
      <c r="R242" s="34" t="s">
        <v>50</v>
      </c>
      <c r="S242" s="35" t="n">
        <f>1799.42</f>
        <v>1799.42</v>
      </c>
      <c r="T242" s="32" t="n">
        <f>8967</f>
        <v>8967.0</v>
      </c>
      <c r="U242" s="32" t="str">
        <f>"－"</f>
        <v>－</v>
      </c>
      <c r="V242" s="32" t="n">
        <f>16148923</f>
        <v>1.6148923E7</v>
      </c>
      <c r="W242" s="32" t="str">
        <f>"－"</f>
        <v>－</v>
      </c>
      <c r="X242" s="36" t="n">
        <f>19</f>
        <v>19.0</v>
      </c>
    </row>
    <row r="243">
      <c r="A243" s="27" t="s">
        <v>42</v>
      </c>
      <c r="B243" s="27" t="s">
        <v>776</v>
      </c>
      <c r="C243" s="27" t="s">
        <v>777</v>
      </c>
      <c r="D243" s="27" t="s">
        <v>778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1400</f>
        <v>1400.0</v>
      </c>
      <c r="L243" s="34" t="s">
        <v>48</v>
      </c>
      <c r="M243" s="33" t="n">
        <f>1792</f>
        <v>1792.0</v>
      </c>
      <c r="N243" s="34" t="s">
        <v>50</v>
      </c>
      <c r="O243" s="33" t="n">
        <f>1329</f>
        <v>1329.0</v>
      </c>
      <c r="P243" s="34" t="s">
        <v>172</v>
      </c>
      <c r="Q243" s="33" t="n">
        <f>1777</f>
        <v>1777.0</v>
      </c>
      <c r="R243" s="34" t="s">
        <v>50</v>
      </c>
      <c r="S243" s="35" t="n">
        <f>1450.33</f>
        <v>1450.33</v>
      </c>
      <c r="T243" s="32" t="n">
        <f>2990</f>
        <v>2990.0</v>
      </c>
      <c r="U243" s="32" t="str">
        <f>"－"</f>
        <v>－</v>
      </c>
      <c r="V243" s="32" t="n">
        <f>4533260</f>
        <v>4533260.0</v>
      </c>
      <c r="W243" s="32" t="str">
        <f>"－"</f>
        <v>－</v>
      </c>
      <c r="X243" s="36" t="n">
        <f>12</f>
        <v>12.0</v>
      </c>
    </row>
    <row r="244">
      <c r="A244" s="27" t="s">
        <v>42</v>
      </c>
      <c r="B244" s="27" t="s">
        <v>779</v>
      </c>
      <c r="C244" s="27" t="s">
        <v>780</v>
      </c>
      <c r="D244" s="27" t="s">
        <v>781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1022</f>
        <v>1022.0</v>
      </c>
      <c r="L244" s="34" t="s">
        <v>48</v>
      </c>
      <c r="M244" s="33" t="n">
        <f>1035</f>
        <v>1035.0</v>
      </c>
      <c r="N244" s="34" t="s">
        <v>50</v>
      </c>
      <c r="O244" s="33" t="n">
        <f>1021</f>
        <v>1021.0</v>
      </c>
      <c r="P244" s="34" t="s">
        <v>113</v>
      </c>
      <c r="Q244" s="33" t="n">
        <f>1033</f>
        <v>1033.0</v>
      </c>
      <c r="R244" s="34" t="s">
        <v>50</v>
      </c>
      <c r="S244" s="35" t="n">
        <f>1027.84</f>
        <v>1027.84</v>
      </c>
      <c r="T244" s="32" t="n">
        <f>275710</f>
        <v>275710.0</v>
      </c>
      <c r="U244" s="32" t="n">
        <f>1970</f>
        <v>1970.0</v>
      </c>
      <c r="V244" s="32" t="n">
        <f>283297630</f>
        <v>2.8329763E8</v>
      </c>
      <c r="W244" s="32" t="n">
        <f>2031060</f>
        <v>2031060.0</v>
      </c>
      <c r="X244" s="36" t="n">
        <f>19</f>
        <v>19.0</v>
      </c>
    </row>
    <row r="245">
      <c r="A245" s="27" t="s">
        <v>42</v>
      </c>
      <c r="B245" s="27" t="s">
        <v>782</v>
      </c>
      <c r="C245" s="27" t="s">
        <v>783</v>
      </c>
      <c r="D245" s="27" t="s">
        <v>784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1658</f>
        <v>1658.0</v>
      </c>
      <c r="L245" s="34" t="s">
        <v>48</v>
      </c>
      <c r="M245" s="33" t="n">
        <f>1763</f>
        <v>1763.0</v>
      </c>
      <c r="N245" s="34" t="s">
        <v>113</v>
      </c>
      <c r="O245" s="33" t="n">
        <f>1658</f>
        <v>1658.0</v>
      </c>
      <c r="P245" s="34" t="s">
        <v>48</v>
      </c>
      <c r="Q245" s="33" t="n">
        <f>1720</f>
        <v>1720.0</v>
      </c>
      <c r="R245" s="34" t="s">
        <v>50</v>
      </c>
      <c r="S245" s="35" t="n">
        <f>1718.11</f>
        <v>1718.11</v>
      </c>
      <c r="T245" s="32" t="n">
        <f>31370</f>
        <v>31370.0</v>
      </c>
      <c r="U245" s="32" t="str">
        <f>"－"</f>
        <v>－</v>
      </c>
      <c r="V245" s="32" t="n">
        <f>53971100</f>
        <v>5.39711E7</v>
      </c>
      <c r="W245" s="32" t="str">
        <f>"－"</f>
        <v>－</v>
      </c>
      <c r="X245" s="36" t="n">
        <f>19</f>
        <v>19.0</v>
      </c>
    </row>
    <row r="246">
      <c r="A246" s="27" t="s">
        <v>42</v>
      </c>
      <c r="B246" s="27" t="s">
        <v>785</v>
      </c>
      <c r="C246" s="27" t="s">
        <v>786</v>
      </c>
      <c r="D246" s="27" t="s">
        <v>787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1661</f>
        <v>1661.0</v>
      </c>
      <c r="L246" s="34" t="s">
        <v>48</v>
      </c>
      <c r="M246" s="33" t="n">
        <f>1764</f>
        <v>1764.0</v>
      </c>
      <c r="N246" s="34" t="s">
        <v>113</v>
      </c>
      <c r="O246" s="33" t="n">
        <f>1652</f>
        <v>1652.0</v>
      </c>
      <c r="P246" s="34" t="s">
        <v>48</v>
      </c>
      <c r="Q246" s="33" t="n">
        <f>1714</f>
        <v>1714.0</v>
      </c>
      <c r="R246" s="34" t="s">
        <v>50</v>
      </c>
      <c r="S246" s="35" t="n">
        <f>1712.58</f>
        <v>1712.58</v>
      </c>
      <c r="T246" s="32" t="n">
        <f>668970</f>
        <v>668970.0</v>
      </c>
      <c r="U246" s="32" t="n">
        <f>545000</f>
        <v>545000.0</v>
      </c>
      <c r="V246" s="32" t="n">
        <f>1158635790</f>
        <v>1.15863579E9</v>
      </c>
      <c r="W246" s="32" t="n">
        <f>946379890</f>
        <v>9.4637989E8</v>
      </c>
      <c r="X246" s="36" t="n">
        <f>19</f>
        <v>19.0</v>
      </c>
    </row>
    <row r="247">
      <c r="A247" s="27" t="s">
        <v>42</v>
      </c>
      <c r="B247" s="27" t="s">
        <v>788</v>
      </c>
      <c r="C247" s="27" t="s">
        <v>789</v>
      </c>
      <c r="D247" s="27" t="s">
        <v>790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1719</f>
        <v>1719.0</v>
      </c>
      <c r="L247" s="34" t="s">
        <v>172</v>
      </c>
      <c r="M247" s="33" t="n">
        <f>1739</f>
        <v>1739.0</v>
      </c>
      <c r="N247" s="34" t="s">
        <v>168</v>
      </c>
      <c r="O247" s="33" t="n">
        <f>1709</f>
        <v>1709.0</v>
      </c>
      <c r="P247" s="34" t="s">
        <v>172</v>
      </c>
      <c r="Q247" s="33" t="n">
        <f>1739</f>
        <v>1739.0</v>
      </c>
      <c r="R247" s="34" t="s">
        <v>168</v>
      </c>
      <c r="S247" s="35" t="n">
        <f>1724.33</f>
        <v>1724.33</v>
      </c>
      <c r="T247" s="32" t="n">
        <f>600320</f>
        <v>600320.0</v>
      </c>
      <c r="U247" s="32" t="n">
        <f>600000</f>
        <v>600000.0</v>
      </c>
      <c r="V247" s="32" t="n">
        <f>1037020640</f>
        <v>1.03702064E9</v>
      </c>
      <c r="W247" s="32" t="n">
        <f>1036470000</f>
        <v>1.03647E9</v>
      </c>
      <c r="X247" s="36" t="n">
        <f>3</f>
        <v>3.0</v>
      </c>
    </row>
    <row r="248">
      <c r="A248" s="27" t="s">
        <v>42</v>
      </c>
      <c r="B248" s="27" t="s">
        <v>791</v>
      </c>
      <c r="C248" s="27" t="s">
        <v>792</v>
      </c>
      <c r="D248" s="27" t="s">
        <v>793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9780</f>
        <v>9780.0</v>
      </c>
      <c r="L248" s="34" t="s">
        <v>48</v>
      </c>
      <c r="M248" s="33" t="n">
        <f>10970</f>
        <v>10970.0</v>
      </c>
      <c r="N248" s="34" t="s">
        <v>66</v>
      </c>
      <c r="O248" s="33" t="n">
        <f>9760</f>
        <v>9760.0</v>
      </c>
      <c r="P248" s="34" t="s">
        <v>48</v>
      </c>
      <c r="Q248" s="33" t="n">
        <f>10770</f>
        <v>10770.0</v>
      </c>
      <c r="R248" s="34" t="s">
        <v>50</v>
      </c>
      <c r="S248" s="35" t="n">
        <f>10618.95</f>
        <v>10618.95</v>
      </c>
      <c r="T248" s="32" t="n">
        <f>336484</f>
        <v>336484.0</v>
      </c>
      <c r="U248" s="32" t="n">
        <f>65509</f>
        <v>65509.0</v>
      </c>
      <c r="V248" s="32" t="n">
        <f>3566773360</f>
        <v>3.56677336E9</v>
      </c>
      <c r="W248" s="32" t="n">
        <f>708105170</f>
        <v>7.0810517E8</v>
      </c>
      <c r="X248" s="36" t="n">
        <f>19</f>
        <v>19.0</v>
      </c>
    </row>
    <row r="249">
      <c r="A249" s="27" t="s">
        <v>42</v>
      </c>
      <c r="B249" s="27" t="s">
        <v>794</v>
      </c>
      <c r="C249" s="27" t="s">
        <v>795</v>
      </c>
      <c r="D249" s="27" t="s">
        <v>796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9500</f>
        <v>9500.0</v>
      </c>
      <c r="L249" s="34" t="s">
        <v>48</v>
      </c>
      <c r="M249" s="33" t="n">
        <f>10770</f>
        <v>10770.0</v>
      </c>
      <c r="N249" s="34" t="s">
        <v>66</v>
      </c>
      <c r="O249" s="33" t="n">
        <f>9500</f>
        <v>9500.0</v>
      </c>
      <c r="P249" s="34" t="s">
        <v>48</v>
      </c>
      <c r="Q249" s="33" t="n">
        <f>10630</f>
        <v>10630.0</v>
      </c>
      <c r="R249" s="34" t="s">
        <v>50</v>
      </c>
      <c r="S249" s="35" t="n">
        <f>10369.47</f>
        <v>10369.47</v>
      </c>
      <c r="T249" s="32" t="n">
        <f>113612</f>
        <v>113612.0</v>
      </c>
      <c r="U249" s="32" t="n">
        <f>31006</f>
        <v>31006.0</v>
      </c>
      <c r="V249" s="32" t="n">
        <f>1161052000</f>
        <v>1.161052E9</v>
      </c>
      <c r="W249" s="32" t="n">
        <f>307862740</f>
        <v>3.0786274E8</v>
      </c>
      <c r="X249" s="36" t="n">
        <f>19</f>
        <v>19.0</v>
      </c>
    </row>
    <row r="250">
      <c r="A250" s="27" t="s">
        <v>42</v>
      </c>
      <c r="B250" s="27" t="s">
        <v>797</v>
      </c>
      <c r="C250" s="27" t="s">
        <v>798</v>
      </c>
      <c r="D250" s="27" t="s">
        <v>799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22180</f>
        <v>22180.0</v>
      </c>
      <c r="L250" s="34" t="s">
        <v>218</v>
      </c>
      <c r="M250" s="33" t="n">
        <f>23910</f>
        <v>23910.0</v>
      </c>
      <c r="N250" s="34" t="s">
        <v>50</v>
      </c>
      <c r="O250" s="33" t="n">
        <f>22180</f>
        <v>22180.0</v>
      </c>
      <c r="P250" s="34" t="s">
        <v>218</v>
      </c>
      <c r="Q250" s="33" t="n">
        <f>23520</f>
        <v>23520.0</v>
      </c>
      <c r="R250" s="34" t="s">
        <v>50</v>
      </c>
      <c r="S250" s="35" t="n">
        <f>22855.71</f>
        <v>22855.71</v>
      </c>
      <c r="T250" s="32" t="n">
        <f>63</f>
        <v>63.0</v>
      </c>
      <c r="U250" s="32" t="str">
        <f>"－"</f>
        <v>－</v>
      </c>
      <c r="V250" s="32" t="n">
        <f>1436080</f>
        <v>1436080.0</v>
      </c>
      <c r="W250" s="32" t="str">
        <f>"－"</f>
        <v>－</v>
      </c>
      <c r="X250" s="36" t="n">
        <f>7</f>
        <v>7.0</v>
      </c>
    </row>
    <row r="251">
      <c r="A251" s="27" t="s">
        <v>42</v>
      </c>
      <c r="B251" s="27" t="s">
        <v>800</v>
      </c>
      <c r="C251" s="27" t="s">
        <v>801</v>
      </c>
      <c r="D251" s="27" t="s">
        <v>802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2727</f>
        <v>2727.0</v>
      </c>
      <c r="L251" s="34" t="s">
        <v>48</v>
      </c>
      <c r="M251" s="33" t="n">
        <f>2738</f>
        <v>2738.0</v>
      </c>
      <c r="N251" s="34" t="s">
        <v>130</v>
      </c>
      <c r="O251" s="33" t="n">
        <f>2724</f>
        <v>2724.0</v>
      </c>
      <c r="P251" s="34" t="s">
        <v>225</v>
      </c>
      <c r="Q251" s="33" t="n">
        <f>2728</f>
        <v>2728.0</v>
      </c>
      <c r="R251" s="34" t="s">
        <v>50</v>
      </c>
      <c r="S251" s="35" t="n">
        <f>2731.11</f>
        <v>2731.11</v>
      </c>
      <c r="T251" s="32" t="n">
        <f>4043329</f>
        <v>4043329.0</v>
      </c>
      <c r="U251" s="32" t="n">
        <f>3849019</f>
        <v>3849019.0</v>
      </c>
      <c r="V251" s="32" t="n">
        <f>11043655517</f>
        <v>1.1043655517E10</v>
      </c>
      <c r="W251" s="32" t="n">
        <f>10513272321</f>
        <v>1.0513272321E10</v>
      </c>
      <c r="X251" s="36" t="n">
        <f>19</f>
        <v>19.0</v>
      </c>
    </row>
    <row r="252">
      <c r="A252" s="27" t="s">
        <v>42</v>
      </c>
      <c r="B252" s="27" t="s">
        <v>803</v>
      </c>
      <c r="C252" s="27" t="s">
        <v>804</v>
      </c>
      <c r="D252" s="27" t="s">
        <v>805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2279</f>
        <v>2279.0</v>
      </c>
      <c r="L252" s="34" t="s">
        <v>48</v>
      </c>
      <c r="M252" s="33" t="n">
        <f>2612</f>
        <v>2612.0</v>
      </c>
      <c r="N252" s="34" t="s">
        <v>66</v>
      </c>
      <c r="O252" s="33" t="n">
        <f>2276</f>
        <v>2276.0</v>
      </c>
      <c r="P252" s="34" t="s">
        <v>48</v>
      </c>
      <c r="Q252" s="33" t="n">
        <f>2565</f>
        <v>2565.0</v>
      </c>
      <c r="R252" s="34" t="s">
        <v>50</v>
      </c>
      <c r="S252" s="35" t="n">
        <f>2515.84</f>
        <v>2515.84</v>
      </c>
      <c r="T252" s="32" t="n">
        <f>2414610</f>
        <v>2414610.0</v>
      </c>
      <c r="U252" s="32" t="n">
        <f>650000</f>
        <v>650000.0</v>
      </c>
      <c r="V252" s="32" t="n">
        <f>6101452720</f>
        <v>6.10145272E9</v>
      </c>
      <c r="W252" s="32" t="n">
        <f>1621932000</f>
        <v>1.621932E9</v>
      </c>
      <c r="X252" s="36" t="n">
        <f>19</f>
        <v>19.0</v>
      </c>
    </row>
    <row r="253">
      <c r="A253" s="27" t="s">
        <v>42</v>
      </c>
      <c r="B253" s="27" t="s">
        <v>806</v>
      </c>
      <c r="C253" s="27" t="s">
        <v>807</v>
      </c>
      <c r="D253" s="27" t="s">
        <v>808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2111</f>
        <v>2111.0</v>
      </c>
      <c r="L253" s="34" t="s">
        <v>48</v>
      </c>
      <c r="M253" s="33" t="n">
        <f>2371</f>
        <v>2371.0</v>
      </c>
      <c r="N253" s="34" t="s">
        <v>66</v>
      </c>
      <c r="O253" s="33" t="n">
        <f>2108</f>
        <v>2108.0</v>
      </c>
      <c r="P253" s="34" t="s">
        <v>48</v>
      </c>
      <c r="Q253" s="33" t="n">
        <f>2345</f>
        <v>2345.0</v>
      </c>
      <c r="R253" s="34" t="s">
        <v>50</v>
      </c>
      <c r="S253" s="35" t="n">
        <f>2300.47</f>
        <v>2300.47</v>
      </c>
      <c r="T253" s="32" t="n">
        <f>2379083</f>
        <v>2379083.0</v>
      </c>
      <c r="U253" s="32" t="n">
        <f>1091002</f>
        <v>1091002.0</v>
      </c>
      <c r="V253" s="32" t="n">
        <f>5468842960</f>
        <v>5.46884296E9</v>
      </c>
      <c r="W253" s="32" t="n">
        <f>2513887694</f>
        <v>2.513887694E9</v>
      </c>
      <c r="X253" s="36" t="n">
        <f>19</f>
        <v>19.0</v>
      </c>
    </row>
    <row r="254">
      <c r="A254" s="27" t="s">
        <v>42</v>
      </c>
      <c r="B254" s="27" t="s">
        <v>809</v>
      </c>
      <c r="C254" s="27" t="s">
        <v>810</v>
      </c>
      <c r="D254" s="27" t="s">
        <v>811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1497</f>
        <v>1497.0</v>
      </c>
      <c r="L254" s="34" t="s">
        <v>48</v>
      </c>
      <c r="M254" s="33" t="n">
        <f>1650</f>
        <v>1650.0</v>
      </c>
      <c r="N254" s="34" t="s">
        <v>66</v>
      </c>
      <c r="O254" s="33" t="n">
        <f>1497</f>
        <v>1497.0</v>
      </c>
      <c r="P254" s="34" t="s">
        <v>48</v>
      </c>
      <c r="Q254" s="33" t="n">
        <f>1577</f>
        <v>1577.0</v>
      </c>
      <c r="R254" s="34" t="s">
        <v>50</v>
      </c>
      <c r="S254" s="35" t="n">
        <f>1592.37</f>
        <v>1592.37</v>
      </c>
      <c r="T254" s="32" t="n">
        <f>37668</f>
        <v>37668.0</v>
      </c>
      <c r="U254" s="32" t="n">
        <f>2</f>
        <v>2.0</v>
      </c>
      <c r="V254" s="32" t="n">
        <f>60412001</f>
        <v>6.0412001E7</v>
      </c>
      <c r="W254" s="32" t="n">
        <f>3144</f>
        <v>3144.0</v>
      </c>
      <c r="X254" s="36" t="n">
        <f>19</f>
        <v>19.0</v>
      </c>
    </row>
    <row r="255">
      <c r="A255" s="27" t="s">
        <v>42</v>
      </c>
      <c r="B255" s="27" t="s">
        <v>812</v>
      </c>
      <c r="C255" s="27" t="s">
        <v>813</v>
      </c>
      <c r="D255" s="27" t="s">
        <v>814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1019</f>
        <v>1019.0</v>
      </c>
      <c r="L255" s="34" t="s">
        <v>48</v>
      </c>
      <c r="M255" s="33" t="n">
        <f>1060</f>
        <v>1060.0</v>
      </c>
      <c r="N255" s="34" t="s">
        <v>97</v>
      </c>
      <c r="O255" s="33" t="n">
        <f>981</f>
        <v>981.0</v>
      </c>
      <c r="P255" s="34" t="s">
        <v>90</v>
      </c>
      <c r="Q255" s="33" t="n">
        <f>1005</f>
        <v>1005.0</v>
      </c>
      <c r="R255" s="34" t="s">
        <v>50</v>
      </c>
      <c r="S255" s="35" t="n">
        <f>1019.42</f>
        <v>1019.42</v>
      </c>
      <c r="T255" s="32" t="n">
        <f>692599</f>
        <v>692599.0</v>
      </c>
      <c r="U255" s="32" t="n">
        <f>300000</f>
        <v>300000.0</v>
      </c>
      <c r="V255" s="32" t="n">
        <f>703643202</f>
        <v>7.03643202E8</v>
      </c>
      <c r="W255" s="32" t="n">
        <f>299460000</f>
        <v>2.9946E8</v>
      </c>
      <c r="X255" s="36" t="n">
        <f>19</f>
        <v>19.0</v>
      </c>
    </row>
    <row r="256">
      <c r="A256" s="27" t="s">
        <v>42</v>
      </c>
      <c r="B256" s="27" t="s">
        <v>815</v>
      </c>
      <c r="C256" s="27" t="s">
        <v>816</v>
      </c>
      <c r="D256" s="27" t="s">
        <v>817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912</f>
        <v>912.0</v>
      </c>
      <c r="L256" s="34" t="s">
        <v>48</v>
      </c>
      <c r="M256" s="33" t="n">
        <f>976</f>
        <v>976.0</v>
      </c>
      <c r="N256" s="34" t="s">
        <v>113</v>
      </c>
      <c r="O256" s="33" t="n">
        <f>912</f>
        <v>912.0</v>
      </c>
      <c r="P256" s="34" t="s">
        <v>48</v>
      </c>
      <c r="Q256" s="33" t="n">
        <f>947</f>
        <v>947.0</v>
      </c>
      <c r="R256" s="34" t="s">
        <v>50</v>
      </c>
      <c r="S256" s="35" t="n">
        <f>946.95</f>
        <v>946.95</v>
      </c>
      <c r="T256" s="32" t="n">
        <f>62720</f>
        <v>62720.0</v>
      </c>
      <c r="U256" s="32" t="n">
        <f>10</f>
        <v>10.0</v>
      </c>
      <c r="V256" s="32" t="n">
        <f>58598160</f>
        <v>5.859816E7</v>
      </c>
      <c r="W256" s="32" t="n">
        <f>9460</f>
        <v>9460.0</v>
      </c>
      <c r="X256" s="36" t="n">
        <f>19</f>
        <v>19.0</v>
      </c>
    </row>
    <row r="257">
      <c r="A257" s="27" t="s">
        <v>42</v>
      </c>
      <c r="B257" s="27" t="s">
        <v>818</v>
      </c>
      <c r="C257" s="27" t="s">
        <v>819</v>
      </c>
      <c r="D257" s="27" t="s">
        <v>820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209</f>
        <v>209.0</v>
      </c>
      <c r="L257" s="34" t="s">
        <v>48</v>
      </c>
      <c r="M257" s="33" t="n">
        <f>241</f>
        <v>241.0</v>
      </c>
      <c r="N257" s="34" t="s">
        <v>66</v>
      </c>
      <c r="O257" s="33" t="n">
        <f>207</f>
        <v>207.0</v>
      </c>
      <c r="P257" s="34" t="s">
        <v>48</v>
      </c>
      <c r="Q257" s="33" t="n">
        <f>226</f>
        <v>226.0</v>
      </c>
      <c r="R257" s="34" t="s">
        <v>50</v>
      </c>
      <c r="S257" s="35" t="n">
        <f>220.74</f>
        <v>220.74</v>
      </c>
      <c r="T257" s="32" t="n">
        <f>193110</f>
        <v>193110.0</v>
      </c>
      <c r="U257" s="32" t="str">
        <f>"－"</f>
        <v>－</v>
      </c>
      <c r="V257" s="32" t="n">
        <f>43398560</f>
        <v>4.339856E7</v>
      </c>
      <c r="W257" s="32" t="str">
        <f>"－"</f>
        <v>－</v>
      </c>
      <c r="X257" s="36" t="n">
        <f>19</f>
        <v>19.0</v>
      </c>
    </row>
    <row r="258">
      <c r="A258" s="27" t="s">
        <v>42</v>
      </c>
      <c r="B258" s="27" t="s">
        <v>821</v>
      </c>
      <c r="C258" s="27" t="s">
        <v>822</v>
      </c>
      <c r="D258" s="27" t="s">
        <v>823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1984</f>
        <v>1984.0</v>
      </c>
      <c r="L258" s="34" t="s">
        <v>48</v>
      </c>
      <c r="M258" s="33" t="n">
        <f>2213</f>
        <v>2213.0</v>
      </c>
      <c r="N258" s="34" t="s">
        <v>97</v>
      </c>
      <c r="O258" s="33" t="n">
        <f>1983</f>
        <v>1983.0</v>
      </c>
      <c r="P258" s="34" t="s">
        <v>48</v>
      </c>
      <c r="Q258" s="33" t="n">
        <f>2186</f>
        <v>2186.0</v>
      </c>
      <c r="R258" s="34" t="s">
        <v>50</v>
      </c>
      <c r="S258" s="35" t="n">
        <f>2144.89</f>
        <v>2144.89</v>
      </c>
      <c r="T258" s="32" t="n">
        <f>1043680</f>
        <v>1043680.0</v>
      </c>
      <c r="U258" s="32" t="n">
        <f>94000</f>
        <v>94000.0</v>
      </c>
      <c r="V258" s="32" t="n">
        <f>2227880940</f>
        <v>2.22788094E9</v>
      </c>
      <c r="W258" s="32" t="n">
        <f>199562000</f>
        <v>1.99562E8</v>
      </c>
      <c r="X258" s="36" t="n">
        <f>19</f>
        <v>19.0</v>
      </c>
    </row>
    <row r="259">
      <c r="A259" s="27" t="s">
        <v>42</v>
      </c>
      <c r="B259" s="27" t="s">
        <v>824</v>
      </c>
      <c r="C259" s="27" t="s">
        <v>825</v>
      </c>
      <c r="D259" s="27" t="s">
        <v>826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1989</f>
        <v>1989.0</v>
      </c>
      <c r="L259" s="34" t="s">
        <v>48</v>
      </c>
      <c r="M259" s="33" t="n">
        <f>2266</f>
        <v>2266.0</v>
      </c>
      <c r="N259" s="34" t="s">
        <v>277</v>
      </c>
      <c r="O259" s="33" t="n">
        <f>1987</f>
        <v>1987.0</v>
      </c>
      <c r="P259" s="34" t="s">
        <v>48</v>
      </c>
      <c r="Q259" s="33" t="n">
        <f>2206</f>
        <v>2206.0</v>
      </c>
      <c r="R259" s="34" t="s">
        <v>50</v>
      </c>
      <c r="S259" s="35" t="n">
        <f>2156.26</f>
        <v>2156.26</v>
      </c>
      <c r="T259" s="32" t="n">
        <f>1320640</f>
        <v>1320640.0</v>
      </c>
      <c r="U259" s="32" t="n">
        <f>278000</f>
        <v>278000.0</v>
      </c>
      <c r="V259" s="32" t="n">
        <f>2859619960</f>
        <v>2.85961996E9</v>
      </c>
      <c r="W259" s="32" t="n">
        <f>601396400</f>
        <v>6.013964E8</v>
      </c>
      <c r="X259" s="36" t="n">
        <f>19</f>
        <v>19.0</v>
      </c>
    </row>
    <row r="260">
      <c r="A260" s="27" t="s">
        <v>42</v>
      </c>
      <c r="B260" s="27" t="s">
        <v>827</v>
      </c>
      <c r="C260" s="27" t="s">
        <v>828</v>
      </c>
      <c r="D260" s="27" t="s">
        <v>829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2500</f>
        <v>2500.0</v>
      </c>
      <c r="L260" s="34" t="s">
        <v>225</v>
      </c>
      <c r="M260" s="33" t="n">
        <f>2573</f>
        <v>2573.0</v>
      </c>
      <c r="N260" s="34" t="s">
        <v>168</v>
      </c>
      <c r="O260" s="33" t="n">
        <f>2455</f>
        <v>2455.0</v>
      </c>
      <c r="P260" s="34" t="s">
        <v>50</v>
      </c>
      <c r="Q260" s="33" t="n">
        <f>2469</f>
        <v>2469.0</v>
      </c>
      <c r="R260" s="34" t="s">
        <v>50</v>
      </c>
      <c r="S260" s="35" t="n">
        <f>2484.33</f>
        <v>2484.33</v>
      </c>
      <c r="T260" s="32" t="n">
        <f>7459</f>
        <v>7459.0</v>
      </c>
      <c r="U260" s="32" t="str">
        <f>"－"</f>
        <v>－</v>
      </c>
      <c r="V260" s="32" t="n">
        <f>18489359</f>
        <v>1.8489359E7</v>
      </c>
      <c r="W260" s="32" t="str">
        <f>"－"</f>
        <v>－</v>
      </c>
      <c r="X260" s="36" t="n">
        <f>18</f>
        <v>18.0</v>
      </c>
    </row>
    <row r="261">
      <c r="A261" s="27" t="s">
        <v>42</v>
      </c>
      <c r="B261" s="27" t="s">
        <v>830</v>
      </c>
      <c r="C261" s="27" t="s">
        <v>831</v>
      </c>
      <c r="D261" s="27" t="s">
        <v>832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2477</f>
        <v>2477.0</v>
      </c>
      <c r="L261" s="34" t="s">
        <v>48</v>
      </c>
      <c r="M261" s="33" t="n">
        <f>2529</f>
        <v>2529.0</v>
      </c>
      <c r="N261" s="34" t="s">
        <v>172</v>
      </c>
      <c r="O261" s="33" t="n">
        <f>2404</f>
        <v>2404.0</v>
      </c>
      <c r="P261" s="34" t="s">
        <v>113</v>
      </c>
      <c r="Q261" s="33" t="n">
        <f>2485</f>
        <v>2485.0</v>
      </c>
      <c r="R261" s="34" t="s">
        <v>50</v>
      </c>
      <c r="S261" s="35" t="n">
        <f>2468.32</f>
        <v>2468.32</v>
      </c>
      <c r="T261" s="32" t="n">
        <f>828269</f>
        <v>828269.0</v>
      </c>
      <c r="U261" s="32" t="n">
        <f>800000</f>
        <v>800000.0</v>
      </c>
      <c r="V261" s="32" t="n">
        <f>2009013572</f>
        <v>2.009013572E9</v>
      </c>
      <c r="W261" s="32" t="n">
        <f>1939080000</f>
        <v>1.93908E9</v>
      </c>
      <c r="X261" s="36" t="n">
        <f>19</f>
        <v>19.0</v>
      </c>
    </row>
    <row r="262">
      <c r="A262" s="27" t="s">
        <v>42</v>
      </c>
      <c r="B262" s="27" t="s">
        <v>833</v>
      </c>
      <c r="C262" s="27" t="s">
        <v>834</v>
      </c>
      <c r="D262" s="27" t="s">
        <v>835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2502</f>
        <v>2502.0</v>
      </c>
      <c r="L262" s="34" t="s">
        <v>48</v>
      </c>
      <c r="M262" s="33" t="n">
        <f>2625</f>
        <v>2625.0</v>
      </c>
      <c r="N262" s="34" t="s">
        <v>86</v>
      </c>
      <c r="O262" s="33" t="n">
        <f>2466</f>
        <v>2466.0</v>
      </c>
      <c r="P262" s="34" t="s">
        <v>48</v>
      </c>
      <c r="Q262" s="33" t="n">
        <f>2569</f>
        <v>2569.0</v>
      </c>
      <c r="R262" s="34" t="s">
        <v>50</v>
      </c>
      <c r="S262" s="35" t="n">
        <f>2558.11</f>
        <v>2558.11</v>
      </c>
      <c r="T262" s="32" t="n">
        <f>1145</f>
        <v>1145.0</v>
      </c>
      <c r="U262" s="32" t="str">
        <f>"－"</f>
        <v>－</v>
      </c>
      <c r="V262" s="32" t="n">
        <f>2919644</f>
        <v>2919644.0</v>
      </c>
      <c r="W262" s="32" t="str">
        <f>"－"</f>
        <v>－</v>
      </c>
      <c r="X262" s="36" t="n">
        <f>19</f>
        <v>19.0</v>
      </c>
    </row>
    <row r="263">
      <c r="A263" s="27" t="s">
        <v>42</v>
      </c>
      <c r="B263" s="27" t="s">
        <v>836</v>
      </c>
      <c r="C263" s="27" t="s">
        <v>837</v>
      </c>
      <c r="D263" s="27" t="s">
        <v>838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2500</f>
        <v>2500.0</v>
      </c>
      <c r="L263" s="34" t="s">
        <v>48</v>
      </c>
      <c r="M263" s="33" t="n">
        <f>2550</f>
        <v>2550.0</v>
      </c>
      <c r="N263" s="34" t="s">
        <v>97</v>
      </c>
      <c r="O263" s="33" t="n">
        <f>2490</f>
        <v>2490.0</v>
      </c>
      <c r="P263" s="34" t="s">
        <v>48</v>
      </c>
      <c r="Q263" s="33" t="n">
        <f>2541</f>
        <v>2541.0</v>
      </c>
      <c r="R263" s="34" t="s">
        <v>50</v>
      </c>
      <c r="S263" s="35" t="n">
        <f>2522.78</f>
        <v>2522.78</v>
      </c>
      <c r="T263" s="32" t="n">
        <f>1230</f>
        <v>1230.0</v>
      </c>
      <c r="U263" s="32" t="str">
        <f>"－"</f>
        <v>－</v>
      </c>
      <c r="V263" s="32" t="n">
        <f>3096791</f>
        <v>3096791.0</v>
      </c>
      <c r="W263" s="32" t="str">
        <f>"－"</f>
        <v>－</v>
      </c>
      <c r="X263" s="36" t="n">
        <f>18</f>
        <v>18.0</v>
      </c>
    </row>
    <row r="264">
      <c r="A264" s="27" t="s">
        <v>42</v>
      </c>
      <c r="B264" s="27" t="s">
        <v>839</v>
      </c>
      <c r="C264" s="27" t="s">
        <v>840</v>
      </c>
      <c r="D264" s="27" t="s">
        <v>841</v>
      </c>
      <c r="E264" s="28" t="s">
        <v>701</v>
      </c>
      <c r="F264" s="29" t="s">
        <v>702</v>
      </c>
      <c r="G264" s="30" t="s">
        <v>842</v>
      </c>
      <c r="H264" s="31"/>
      <c r="I264" s="31" t="s">
        <v>47</v>
      </c>
      <c r="J264" s="32" t="n">
        <v>1.0</v>
      </c>
      <c r="K264" s="33" t="n">
        <f>2558</f>
        <v>2558.0</v>
      </c>
      <c r="L264" s="34" t="s">
        <v>172</v>
      </c>
      <c r="M264" s="33" t="n">
        <f>2686</f>
        <v>2686.0</v>
      </c>
      <c r="N264" s="34" t="s">
        <v>50</v>
      </c>
      <c r="O264" s="33" t="n">
        <f>2488</f>
        <v>2488.0</v>
      </c>
      <c r="P264" s="34" t="s">
        <v>172</v>
      </c>
      <c r="Q264" s="33" t="n">
        <f>2651</f>
        <v>2651.0</v>
      </c>
      <c r="R264" s="34" t="s">
        <v>50</v>
      </c>
      <c r="S264" s="35" t="n">
        <f>2585.57</f>
        <v>2585.57</v>
      </c>
      <c r="T264" s="32" t="n">
        <f>4888</f>
        <v>4888.0</v>
      </c>
      <c r="U264" s="32" t="str">
        <f>"－"</f>
        <v>－</v>
      </c>
      <c r="V264" s="32" t="n">
        <f>12442951</f>
        <v>1.2442951E7</v>
      </c>
      <c r="W264" s="32" t="str">
        <f>"－"</f>
        <v>－</v>
      </c>
      <c r="X264" s="36" t="n">
        <f>14</f>
        <v>14.0</v>
      </c>
    </row>
    <row r="265">
      <c r="A265" s="27" t="s">
        <v>42</v>
      </c>
      <c r="B265" s="27" t="s">
        <v>843</v>
      </c>
      <c r="C265" s="27" t="s">
        <v>844</v>
      </c>
      <c r="D265" s="27" t="s">
        <v>845</v>
      </c>
      <c r="E265" s="28" t="s">
        <v>701</v>
      </c>
      <c r="F265" s="29" t="s">
        <v>702</v>
      </c>
      <c r="G265" s="30" t="s">
        <v>842</v>
      </c>
      <c r="H265" s="31"/>
      <c r="I265" s="31" t="s">
        <v>47</v>
      </c>
      <c r="J265" s="32" t="n">
        <v>1.0</v>
      </c>
      <c r="K265" s="33" t="n">
        <f>1722</f>
        <v>1722.0</v>
      </c>
      <c r="L265" s="34" t="s">
        <v>172</v>
      </c>
      <c r="M265" s="33" t="n">
        <f>1792</f>
        <v>1792.0</v>
      </c>
      <c r="N265" s="34" t="s">
        <v>50</v>
      </c>
      <c r="O265" s="33" t="n">
        <f>1695</f>
        <v>1695.0</v>
      </c>
      <c r="P265" s="34" t="s">
        <v>555</v>
      </c>
      <c r="Q265" s="33" t="n">
        <f>1758</f>
        <v>1758.0</v>
      </c>
      <c r="R265" s="34" t="s">
        <v>50</v>
      </c>
      <c r="S265" s="35" t="n">
        <f>1739.71</f>
        <v>1739.71</v>
      </c>
      <c r="T265" s="32" t="n">
        <f>3232</f>
        <v>3232.0</v>
      </c>
      <c r="U265" s="32" t="str">
        <f>"－"</f>
        <v>－</v>
      </c>
      <c r="V265" s="32" t="n">
        <f>5575273</f>
        <v>5575273.0</v>
      </c>
      <c r="W265" s="32" t="str">
        <f>"－"</f>
        <v>－</v>
      </c>
      <c r="X265" s="36" t="n">
        <f>14</f>
        <v>14.0</v>
      </c>
    </row>
    <row r="266">
      <c r="A266" s="27" t="s">
        <v>42</v>
      </c>
      <c r="B266" s="27" t="s">
        <v>846</v>
      </c>
      <c r="C266" s="27" t="s">
        <v>847</v>
      </c>
      <c r="D266" s="27" t="s">
        <v>848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109000</f>
        <v>109000.0</v>
      </c>
      <c r="L266" s="34" t="s">
        <v>48</v>
      </c>
      <c r="M266" s="33" t="n">
        <f>114400</f>
        <v>114400.0</v>
      </c>
      <c r="N266" s="34" t="s">
        <v>113</v>
      </c>
      <c r="O266" s="33" t="n">
        <f>107900</f>
        <v>107900.0</v>
      </c>
      <c r="P266" s="34" t="s">
        <v>48</v>
      </c>
      <c r="Q266" s="33" t="n">
        <f>113000</f>
        <v>113000.0</v>
      </c>
      <c r="R266" s="34" t="s">
        <v>50</v>
      </c>
      <c r="S266" s="35" t="n">
        <f>111515.79</f>
        <v>111515.79</v>
      </c>
      <c r="T266" s="32" t="n">
        <f>14586</f>
        <v>14586.0</v>
      </c>
      <c r="U266" s="32" t="n">
        <f>1946</f>
        <v>1946.0</v>
      </c>
      <c r="V266" s="32" t="n">
        <f>1625893773</f>
        <v>1.625893773E9</v>
      </c>
      <c r="W266" s="32" t="n">
        <f>217547173</f>
        <v>2.17547173E8</v>
      </c>
      <c r="X266" s="36" t="n">
        <f>19</f>
        <v>19.0</v>
      </c>
    </row>
    <row r="267">
      <c r="A267" s="27" t="s">
        <v>42</v>
      </c>
      <c r="B267" s="27" t="s">
        <v>849</v>
      </c>
      <c r="C267" s="27" t="s">
        <v>850</v>
      </c>
      <c r="D267" s="27" t="s">
        <v>851</v>
      </c>
      <c r="E267" s="28" t="s">
        <v>46</v>
      </c>
      <c r="F267" s="29" t="s">
        <v>46</v>
      </c>
      <c r="G267" s="30" t="s">
        <v>46</v>
      </c>
      <c r="H267" s="31"/>
      <c r="I267" s="31" t="s">
        <v>628</v>
      </c>
      <c r="J267" s="32" t="n">
        <v>1.0</v>
      </c>
      <c r="K267" s="33" t="n">
        <f>94300</f>
        <v>94300.0</v>
      </c>
      <c r="L267" s="34" t="s">
        <v>48</v>
      </c>
      <c r="M267" s="33" t="n">
        <f>101000</f>
        <v>101000.0</v>
      </c>
      <c r="N267" s="34" t="s">
        <v>113</v>
      </c>
      <c r="O267" s="33" t="n">
        <f>91800</f>
        <v>91800.0</v>
      </c>
      <c r="P267" s="34" t="s">
        <v>48</v>
      </c>
      <c r="Q267" s="33" t="n">
        <f>97700</f>
        <v>97700.0</v>
      </c>
      <c r="R267" s="34" t="s">
        <v>50</v>
      </c>
      <c r="S267" s="35" t="n">
        <f>97752.63</f>
        <v>97752.63</v>
      </c>
      <c r="T267" s="32" t="n">
        <f>13808</f>
        <v>13808.0</v>
      </c>
      <c r="U267" s="32" t="n">
        <f>2877</f>
        <v>2877.0</v>
      </c>
      <c r="V267" s="32" t="n">
        <f>1348163158</f>
        <v>1.348163158E9</v>
      </c>
      <c r="W267" s="32" t="n">
        <f>281434258</f>
        <v>2.81434258E8</v>
      </c>
      <c r="X267" s="36" t="n">
        <f>19</f>
        <v>19.0</v>
      </c>
    </row>
    <row r="268">
      <c r="A268" s="27" t="s">
        <v>42</v>
      </c>
      <c r="B268" s="27" t="s">
        <v>852</v>
      </c>
      <c r="C268" s="27" t="s">
        <v>853</v>
      </c>
      <c r="D268" s="27" t="s">
        <v>854</v>
      </c>
      <c r="E268" s="28" t="s">
        <v>46</v>
      </c>
      <c r="F268" s="29" t="s">
        <v>46</v>
      </c>
      <c r="G268" s="30" t="s">
        <v>46</v>
      </c>
      <c r="H268" s="31"/>
      <c r="I268" s="31" t="s">
        <v>628</v>
      </c>
      <c r="J268" s="32" t="n">
        <v>1.0</v>
      </c>
      <c r="K268" s="33" t="n">
        <f>137900</f>
        <v>137900.0</v>
      </c>
      <c r="L268" s="34" t="s">
        <v>48</v>
      </c>
      <c r="M268" s="33" t="n">
        <f>139500</f>
        <v>139500.0</v>
      </c>
      <c r="N268" s="34" t="s">
        <v>97</v>
      </c>
      <c r="O268" s="33" t="n">
        <f>120800</f>
        <v>120800.0</v>
      </c>
      <c r="P268" s="34" t="s">
        <v>66</v>
      </c>
      <c r="Q268" s="33" t="n">
        <f>124600</f>
        <v>124600.0</v>
      </c>
      <c r="R268" s="34" t="s">
        <v>50</v>
      </c>
      <c r="S268" s="35" t="n">
        <f>130194.74</f>
        <v>130194.74</v>
      </c>
      <c r="T268" s="32" t="n">
        <f>63501</f>
        <v>63501.0</v>
      </c>
      <c r="U268" s="32" t="n">
        <f>8132</f>
        <v>8132.0</v>
      </c>
      <c r="V268" s="32" t="n">
        <f>8154224570</f>
        <v>8.15422457E9</v>
      </c>
      <c r="W268" s="32" t="n">
        <f>1069344170</f>
        <v>1.06934417E9</v>
      </c>
      <c r="X268" s="36" t="n">
        <f>19</f>
        <v>19.0</v>
      </c>
    </row>
    <row r="269">
      <c r="A269" s="27" t="s">
        <v>42</v>
      </c>
      <c r="B269" s="27" t="s">
        <v>855</v>
      </c>
      <c r="C269" s="27" t="s">
        <v>856</v>
      </c>
      <c r="D269" s="27" t="s">
        <v>857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598000</f>
        <v>598000.0</v>
      </c>
      <c r="L269" s="34" t="s">
        <v>48</v>
      </c>
      <c r="M269" s="33" t="n">
        <f>616000</f>
        <v>616000.0</v>
      </c>
      <c r="N269" s="34" t="s">
        <v>97</v>
      </c>
      <c r="O269" s="33" t="n">
        <f>572000</f>
        <v>572000.0</v>
      </c>
      <c r="P269" s="34" t="s">
        <v>90</v>
      </c>
      <c r="Q269" s="33" t="n">
        <f>577000</f>
        <v>577000.0</v>
      </c>
      <c r="R269" s="34" t="s">
        <v>50</v>
      </c>
      <c r="S269" s="35" t="n">
        <f>591315.79</f>
        <v>591315.79</v>
      </c>
      <c r="T269" s="32" t="n">
        <f>34182</f>
        <v>34182.0</v>
      </c>
      <c r="U269" s="32" t="n">
        <f>7778</f>
        <v>7778.0</v>
      </c>
      <c r="V269" s="32" t="n">
        <f>20213371745</f>
        <v>2.0213371745E10</v>
      </c>
      <c r="W269" s="32" t="n">
        <f>4609222745</f>
        <v>4.609222745E9</v>
      </c>
      <c r="X269" s="36" t="n">
        <f>19</f>
        <v>19.0</v>
      </c>
    </row>
    <row r="270">
      <c r="A270" s="27" t="s">
        <v>42</v>
      </c>
      <c r="B270" s="27" t="s">
        <v>858</v>
      </c>
      <c r="C270" s="27" t="s">
        <v>859</v>
      </c>
      <c r="D270" s="27" t="s">
        <v>860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74800</f>
        <v>74800.0</v>
      </c>
      <c r="L270" s="34" t="s">
        <v>48</v>
      </c>
      <c r="M270" s="33" t="n">
        <f>85800</f>
        <v>85800.0</v>
      </c>
      <c r="N270" s="34" t="s">
        <v>113</v>
      </c>
      <c r="O270" s="33" t="n">
        <f>74600</f>
        <v>74600.0</v>
      </c>
      <c r="P270" s="34" t="s">
        <v>48</v>
      </c>
      <c r="Q270" s="33" t="n">
        <f>82500</f>
        <v>82500.0</v>
      </c>
      <c r="R270" s="34" t="s">
        <v>50</v>
      </c>
      <c r="S270" s="35" t="n">
        <f>81200</f>
        <v>81200.0</v>
      </c>
      <c r="T270" s="32" t="n">
        <f>193022</f>
        <v>193022.0</v>
      </c>
      <c r="U270" s="32" t="n">
        <f>29122</f>
        <v>29122.0</v>
      </c>
      <c r="V270" s="32" t="n">
        <f>15633518584</f>
        <v>1.5633518584E10</v>
      </c>
      <c r="W270" s="32" t="n">
        <f>2357897484</f>
        <v>2.357897484E9</v>
      </c>
      <c r="X270" s="36" t="n">
        <f>19</f>
        <v>19.0</v>
      </c>
    </row>
    <row r="271">
      <c r="A271" s="27" t="s">
        <v>42</v>
      </c>
      <c r="B271" s="27" t="s">
        <v>861</v>
      </c>
      <c r="C271" s="27" t="s">
        <v>862</v>
      </c>
      <c r="D271" s="27" t="s">
        <v>863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128200</f>
        <v>128200.0</v>
      </c>
      <c r="L271" s="34" t="s">
        <v>48</v>
      </c>
      <c r="M271" s="33" t="n">
        <f>139600</f>
        <v>139600.0</v>
      </c>
      <c r="N271" s="34" t="s">
        <v>49</v>
      </c>
      <c r="O271" s="33" t="n">
        <f>127500</f>
        <v>127500.0</v>
      </c>
      <c r="P271" s="34" t="s">
        <v>48</v>
      </c>
      <c r="Q271" s="33" t="n">
        <f>137900</f>
        <v>137900.0</v>
      </c>
      <c r="R271" s="34" t="s">
        <v>50</v>
      </c>
      <c r="S271" s="35" t="n">
        <f>134036.84</f>
        <v>134036.84</v>
      </c>
      <c r="T271" s="32" t="n">
        <f>107123</f>
        <v>107123.0</v>
      </c>
      <c r="U271" s="32" t="n">
        <f>28035</f>
        <v>28035.0</v>
      </c>
      <c r="V271" s="32" t="n">
        <f>14338827862</f>
        <v>1.4338827862E10</v>
      </c>
      <c r="W271" s="32" t="n">
        <f>3749787762</f>
        <v>3.749787762E9</v>
      </c>
      <c r="X271" s="36" t="n">
        <f>19</f>
        <v>19.0</v>
      </c>
    </row>
    <row r="272">
      <c r="A272" s="27" t="s">
        <v>42</v>
      </c>
      <c r="B272" s="27" t="s">
        <v>864</v>
      </c>
      <c r="C272" s="27" t="s">
        <v>865</v>
      </c>
      <c r="D272" s="27" t="s">
        <v>866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178700</f>
        <v>178700.0</v>
      </c>
      <c r="L272" s="34" t="s">
        <v>48</v>
      </c>
      <c r="M272" s="33" t="n">
        <f>188900</f>
        <v>188900.0</v>
      </c>
      <c r="N272" s="34" t="s">
        <v>172</v>
      </c>
      <c r="O272" s="33" t="n">
        <f>169500</f>
        <v>169500.0</v>
      </c>
      <c r="P272" s="34" t="s">
        <v>90</v>
      </c>
      <c r="Q272" s="33" t="n">
        <f>176000</f>
        <v>176000.0</v>
      </c>
      <c r="R272" s="34" t="s">
        <v>50</v>
      </c>
      <c r="S272" s="35" t="n">
        <f>177847.37</f>
        <v>177847.37</v>
      </c>
      <c r="T272" s="32" t="n">
        <f>145310</f>
        <v>145310.0</v>
      </c>
      <c r="U272" s="32" t="n">
        <f>32603</f>
        <v>32603.0</v>
      </c>
      <c r="V272" s="32" t="n">
        <f>25796850914</f>
        <v>2.5796850914E10</v>
      </c>
      <c r="W272" s="32" t="n">
        <f>5791962814</f>
        <v>5.791962814E9</v>
      </c>
      <c r="X272" s="36" t="n">
        <f>19</f>
        <v>19.0</v>
      </c>
    </row>
    <row r="273">
      <c r="A273" s="27" t="s">
        <v>42</v>
      </c>
      <c r="B273" s="27" t="s">
        <v>867</v>
      </c>
      <c r="C273" s="27" t="s">
        <v>868</v>
      </c>
      <c r="D273" s="27" t="s">
        <v>869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306500</f>
        <v>306500.0</v>
      </c>
      <c r="L273" s="34" t="s">
        <v>48</v>
      </c>
      <c r="M273" s="33" t="n">
        <f>316000</f>
        <v>316000.0</v>
      </c>
      <c r="N273" s="34" t="s">
        <v>277</v>
      </c>
      <c r="O273" s="33" t="n">
        <f>296000</f>
        <v>296000.0</v>
      </c>
      <c r="P273" s="34" t="s">
        <v>314</v>
      </c>
      <c r="Q273" s="33" t="n">
        <f>301500</f>
        <v>301500.0</v>
      </c>
      <c r="R273" s="34" t="s">
        <v>50</v>
      </c>
      <c r="S273" s="35" t="n">
        <f>304505.26</f>
        <v>304505.26</v>
      </c>
      <c r="T273" s="32" t="n">
        <f>88413</f>
        <v>88413.0</v>
      </c>
      <c r="U273" s="32" t="n">
        <f>22635</f>
        <v>22635.0</v>
      </c>
      <c r="V273" s="32" t="n">
        <f>26860977275</f>
        <v>2.6860977275E10</v>
      </c>
      <c r="W273" s="32" t="n">
        <f>6888912675</f>
        <v>6.888912675E9</v>
      </c>
      <c r="X273" s="36" t="n">
        <f>19</f>
        <v>19.0</v>
      </c>
    </row>
    <row r="274">
      <c r="A274" s="27" t="s">
        <v>42</v>
      </c>
      <c r="B274" s="27" t="s">
        <v>870</v>
      </c>
      <c r="C274" s="27" t="s">
        <v>871</v>
      </c>
      <c r="D274" s="27" t="s">
        <v>872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168300</f>
        <v>168300.0</v>
      </c>
      <c r="L274" s="34" t="s">
        <v>48</v>
      </c>
      <c r="M274" s="33" t="n">
        <f>179600</f>
        <v>179600.0</v>
      </c>
      <c r="N274" s="34" t="s">
        <v>50</v>
      </c>
      <c r="O274" s="33" t="n">
        <f>165700</f>
        <v>165700.0</v>
      </c>
      <c r="P274" s="34" t="s">
        <v>225</v>
      </c>
      <c r="Q274" s="33" t="n">
        <f>178100</f>
        <v>178100.0</v>
      </c>
      <c r="R274" s="34" t="s">
        <v>50</v>
      </c>
      <c r="S274" s="35" t="n">
        <f>174936.84</f>
        <v>174936.84</v>
      </c>
      <c r="T274" s="32" t="n">
        <f>67508</f>
        <v>67508.0</v>
      </c>
      <c r="U274" s="32" t="n">
        <f>9352</f>
        <v>9352.0</v>
      </c>
      <c r="V274" s="32" t="n">
        <f>11777124585</f>
        <v>1.1777124585E10</v>
      </c>
      <c r="W274" s="32" t="n">
        <f>1634460385</f>
        <v>1.634460385E9</v>
      </c>
      <c r="X274" s="36" t="n">
        <f>19</f>
        <v>19.0</v>
      </c>
    </row>
    <row r="275">
      <c r="A275" s="27" t="s">
        <v>42</v>
      </c>
      <c r="B275" s="27" t="s">
        <v>873</v>
      </c>
      <c r="C275" s="27" t="s">
        <v>874</v>
      </c>
      <c r="D275" s="27" t="s">
        <v>875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377000</f>
        <v>377000.0</v>
      </c>
      <c r="L275" s="34" t="s">
        <v>48</v>
      </c>
      <c r="M275" s="33" t="n">
        <f>418500</f>
        <v>418500.0</v>
      </c>
      <c r="N275" s="34" t="s">
        <v>164</v>
      </c>
      <c r="O275" s="33" t="n">
        <f>373500</f>
        <v>373500.0</v>
      </c>
      <c r="P275" s="34" t="s">
        <v>48</v>
      </c>
      <c r="Q275" s="33" t="n">
        <f>390000</f>
        <v>390000.0</v>
      </c>
      <c r="R275" s="34" t="s">
        <v>50</v>
      </c>
      <c r="S275" s="35" t="n">
        <f>395078.95</f>
        <v>395078.95</v>
      </c>
      <c r="T275" s="32" t="n">
        <f>70118</f>
        <v>70118.0</v>
      </c>
      <c r="U275" s="32" t="n">
        <f>13629</f>
        <v>13629.0</v>
      </c>
      <c r="V275" s="32" t="n">
        <f>27646631600</f>
        <v>2.76466316E10</v>
      </c>
      <c r="W275" s="32" t="n">
        <f>5374698600</f>
        <v>5.3746986E9</v>
      </c>
      <c r="X275" s="36" t="n">
        <f>19</f>
        <v>19.0</v>
      </c>
    </row>
    <row r="276">
      <c r="A276" s="27" t="s">
        <v>42</v>
      </c>
      <c r="B276" s="27" t="s">
        <v>876</v>
      </c>
      <c r="C276" s="27" t="s">
        <v>877</v>
      </c>
      <c r="D276" s="27" t="s">
        <v>878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160100</f>
        <v>160100.0</v>
      </c>
      <c r="L276" s="34" t="s">
        <v>48</v>
      </c>
      <c r="M276" s="33" t="n">
        <f>167200</f>
        <v>167200.0</v>
      </c>
      <c r="N276" s="34" t="s">
        <v>97</v>
      </c>
      <c r="O276" s="33" t="n">
        <f>151800</f>
        <v>151800.0</v>
      </c>
      <c r="P276" s="34" t="s">
        <v>66</v>
      </c>
      <c r="Q276" s="33" t="n">
        <f>157900</f>
        <v>157900.0</v>
      </c>
      <c r="R276" s="34" t="s">
        <v>50</v>
      </c>
      <c r="S276" s="35" t="n">
        <f>159757.89</f>
        <v>159757.89</v>
      </c>
      <c r="T276" s="32" t="n">
        <f>424115</f>
        <v>424115.0</v>
      </c>
      <c r="U276" s="32" t="n">
        <f>90350</f>
        <v>90350.0</v>
      </c>
      <c r="V276" s="32" t="n">
        <f>67217222876</f>
        <v>6.7217222876E10</v>
      </c>
      <c r="W276" s="32" t="n">
        <f>14363105576</f>
        <v>1.4363105576E10</v>
      </c>
      <c r="X276" s="36" t="n">
        <f>19</f>
        <v>19.0</v>
      </c>
    </row>
    <row r="277">
      <c r="A277" s="27" t="s">
        <v>42</v>
      </c>
      <c r="B277" s="27" t="s">
        <v>879</v>
      </c>
      <c r="C277" s="27" t="s">
        <v>880</v>
      </c>
      <c r="D277" s="27" t="s">
        <v>881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297700</f>
        <v>297700.0</v>
      </c>
      <c r="L277" s="34" t="s">
        <v>48</v>
      </c>
      <c r="M277" s="33" t="n">
        <f>310000</f>
        <v>310000.0</v>
      </c>
      <c r="N277" s="34" t="s">
        <v>172</v>
      </c>
      <c r="O277" s="33" t="n">
        <f>287200</f>
        <v>287200.0</v>
      </c>
      <c r="P277" s="34" t="s">
        <v>66</v>
      </c>
      <c r="Q277" s="33" t="n">
        <f>289300</f>
        <v>289300.0</v>
      </c>
      <c r="R277" s="34" t="s">
        <v>50</v>
      </c>
      <c r="S277" s="35" t="n">
        <f>297473.68</f>
        <v>297473.68</v>
      </c>
      <c r="T277" s="32" t="n">
        <f>54080</f>
        <v>54080.0</v>
      </c>
      <c r="U277" s="32" t="n">
        <f>12155</f>
        <v>12155.0</v>
      </c>
      <c r="V277" s="32" t="n">
        <f>16095980811</f>
        <v>1.6095980811E10</v>
      </c>
      <c r="W277" s="32" t="n">
        <f>3657177311</f>
        <v>3.657177311E9</v>
      </c>
      <c r="X277" s="36" t="n">
        <f>19</f>
        <v>19.0</v>
      </c>
    </row>
    <row r="278">
      <c r="A278" s="27" t="s">
        <v>42</v>
      </c>
      <c r="B278" s="27" t="s">
        <v>882</v>
      </c>
      <c r="C278" s="27" t="s">
        <v>883</v>
      </c>
      <c r="D278" s="27" t="s">
        <v>884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342000</f>
        <v>342000.0</v>
      </c>
      <c r="L278" s="34" t="s">
        <v>48</v>
      </c>
      <c r="M278" s="33" t="n">
        <f>364000</f>
        <v>364000.0</v>
      </c>
      <c r="N278" s="34" t="s">
        <v>555</v>
      </c>
      <c r="O278" s="33" t="n">
        <f>321000</f>
        <v>321000.0</v>
      </c>
      <c r="P278" s="34" t="s">
        <v>50</v>
      </c>
      <c r="Q278" s="33" t="n">
        <f>327500</f>
        <v>327500.0</v>
      </c>
      <c r="R278" s="34" t="s">
        <v>50</v>
      </c>
      <c r="S278" s="35" t="n">
        <f>344421.05</f>
        <v>344421.05</v>
      </c>
      <c r="T278" s="32" t="n">
        <f>216889</f>
        <v>216889.0</v>
      </c>
      <c r="U278" s="32" t="n">
        <f>46698</f>
        <v>46698.0</v>
      </c>
      <c r="V278" s="32" t="n">
        <f>73985210058</f>
        <v>7.3985210058E10</v>
      </c>
      <c r="W278" s="32" t="n">
        <f>15870308558</f>
        <v>1.5870308558E10</v>
      </c>
      <c r="X278" s="36" t="n">
        <f>19</f>
        <v>19.0</v>
      </c>
    </row>
    <row r="279">
      <c r="A279" s="27" t="s">
        <v>42</v>
      </c>
      <c r="B279" s="27" t="s">
        <v>885</v>
      </c>
      <c r="C279" s="27" t="s">
        <v>886</v>
      </c>
      <c r="D279" s="27" t="s">
        <v>887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490500</f>
        <v>490500.0</v>
      </c>
      <c r="L279" s="34" t="s">
        <v>48</v>
      </c>
      <c r="M279" s="33" t="n">
        <f>526000</f>
        <v>526000.0</v>
      </c>
      <c r="N279" s="34" t="s">
        <v>172</v>
      </c>
      <c r="O279" s="33" t="n">
        <f>489000</f>
        <v>489000.0</v>
      </c>
      <c r="P279" s="34" t="s">
        <v>48</v>
      </c>
      <c r="Q279" s="33" t="n">
        <f>500000</f>
        <v>500000.0</v>
      </c>
      <c r="R279" s="34" t="s">
        <v>50</v>
      </c>
      <c r="S279" s="35" t="n">
        <f>505894.74</f>
        <v>505894.74</v>
      </c>
      <c r="T279" s="32" t="n">
        <f>30573</f>
        <v>30573.0</v>
      </c>
      <c r="U279" s="32" t="n">
        <f>4420</f>
        <v>4420.0</v>
      </c>
      <c r="V279" s="32" t="n">
        <f>15445310137</f>
        <v>1.5445310137E10</v>
      </c>
      <c r="W279" s="32" t="n">
        <f>2227762637</f>
        <v>2.227762637E9</v>
      </c>
      <c r="X279" s="36" t="n">
        <f>19</f>
        <v>19.0</v>
      </c>
    </row>
    <row r="280">
      <c r="A280" s="27" t="s">
        <v>42</v>
      </c>
      <c r="B280" s="27" t="s">
        <v>888</v>
      </c>
      <c r="C280" s="27" t="s">
        <v>889</v>
      </c>
      <c r="D280" s="27" t="s">
        <v>890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237800</f>
        <v>237800.0</v>
      </c>
      <c r="L280" s="34" t="s">
        <v>48</v>
      </c>
      <c r="M280" s="33" t="n">
        <f>251500</f>
        <v>251500.0</v>
      </c>
      <c r="N280" s="34" t="s">
        <v>172</v>
      </c>
      <c r="O280" s="33" t="n">
        <f>237700</f>
        <v>237700.0</v>
      </c>
      <c r="P280" s="34" t="s">
        <v>48</v>
      </c>
      <c r="Q280" s="33" t="n">
        <f>245300</f>
        <v>245300.0</v>
      </c>
      <c r="R280" s="34" t="s">
        <v>50</v>
      </c>
      <c r="S280" s="35" t="n">
        <f>244710.53</f>
        <v>244710.53</v>
      </c>
      <c r="T280" s="32" t="n">
        <f>15196</f>
        <v>15196.0</v>
      </c>
      <c r="U280" s="32" t="n">
        <f>1968</f>
        <v>1968.0</v>
      </c>
      <c r="V280" s="32" t="n">
        <f>3726779936</f>
        <v>3.726779936E9</v>
      </c>
      <c r="W280" s="32" t="n">
        <f>482742236</f>
        <v>4.82742236E8</v>
      </c>
      <c r="X280" s="36" t="n">
        <f>19</f>
        <v>19.0</v>
      </c>
    </row>
    <row r="281">
      <c r="A281" s="27" t="s">
        <v>42</v>
      </c>
      <c r="B281" s="27" t="s">
        <v>891</v>
      </c>
      <c r="C281" s="27" t="s">
        <v>892</v>
      </c>
      <c r="D281" s="27" t="s">
        <v>893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120800</f>
        <v>120800.0</v>
      </c>
      <c r="L281" s="34" t="s">
        <v>48</v>
      </c>
      <c r="M281" s="33" t="n">
        <f>125300</f>
        <v>125300.0</v>
      </c>
      <c r="N281" s="34" t="s">
        <v>113</v>
      </c>
      <c r="O281" s="33" t="n">
        <f>118100</f>
        <v>118100.0</v>
      </c>
      <c r="P281" s="34" t="s">
        <v>277</v>
      </c>
      <c r="Q281" s="33" t="n">
        <f>122100</f>
        <v>122100.0</v>
      </c>
      <c r="R281" s="34" t="s">
        <v>50</v>
      </c>
      <c r="S281" s="35" t="n">
        <f>121931.58</f>
        <v>121931.58</v>
      </c>
      <c r="T281" s="32" t="n">
        <f>116710</f>
        <v>116710.0</v>
      </c>
      <c r="U281" s="32" t="n">
        <f>22495</f>
        <v>22495.0</v>
      </c>
      <c r="V281" s="32" t="n">
        <f>14221362267</f>
        <v>1.4221362267E10</v>
      </c>
      <c r="W281" s="32" t="n">
        <f>2744919067</f>
        <v>2.744919067E9</v>
      </c>
      <c r="X281" s="36" t="n">
        <f>19</f>
        <v>19.0</v>
      </c>
    </row>
    <row r="282">
      <c r="A282" s="27" t="s">
        <v>42</v>
      </c>
      <c r="B282" s="27" t="s">
        <v>894</v>
      </c>
      <c r="C282" s="27" t="s">
        <v>895</v>
      </c>
      <c r="D282" s="27" t="s">
        <v>896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137800</f>
        <v>137800.0</v>
      </c>
      <c r="L282" s="34" t="s">
        <v>48</v>
      </c>
      <c r="M282" s="33" t="n">
        <f>145900</f>
        <v>145900.0</v>
      </c>
      <c r="N282" s="34" t="s">
        <v>113</v>
      </c>
      <c r="O282" s="33" t="n">
        <f>137000</f>
        <v>137000.0</v>
      </c>
      <c r="P282" s="34" t="s">
        <v>48</v>
      </c>
      <c r="Q282" s="33" t="n">
        <f>141800</f>
        <v>141800.0</v>
      </c>
      <c r="R282" s="34" t="s">
        <v>50</v>
      </c>
      <c r="S282" s="35" t="n">
        <f>141778.95</f>
        <v>141778.95</v>
      </c>
      <c r="T282" s="32" t="n">
        <f>84828</f>
        <v>84828.0</v>
      </c>
      <c r="U282" s="32" t="n">
        <f>20865</f>
        <v>20865.0</v>
      </c>
      <c r="V282" s="32" t="n">
        <f>12018843581</f>
        <v>1.2018843581E10</v>
      </c>
      <c r="W282" s="32" t="n">
        <f>2957118981</f>
        <v>2.957118981E9</v>
      </c>
      <c r="X282" s="36" t="n">
        <f>19</f>
        <v>19.0</v>
      </c>
    </row>
    <row r="283">
      <c r="A283" s="27" t="s">
        <v>42</v>
      </c>
      <c r="B283" s="27" t="s">
        <v>897</v>
      </c>
      <c r="C283" s="27" t="s">
        <v>898</v>
      </c>
      <c r="D283" s="27" t="s">
        <v>899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337500</f>
        <v>337500.0</v>
      </c>
      <c r="L283" s="34" t="s">
        <v>48</v>
      </c>
      <c r="M283" s="33" t="n">
        <f>362500</f>
        <v>362500.0</v>
      </c>
      <c r="N283" s="34" t="s">
        <v>113</v>
      </c>
      <c r="O283" s="33" t="n">
        <f>335000</f>
        <v>335000.0</v>
      </c>
      <c r="P283" s="34" t="s">
        <v>48</v>
      </c>
      <c r="Q283" s="33" t="n">
        <f>350500</f>
        <v>350500.0</v>
      </c>
      <c r="R283" s="34" t="s">
        <v>50</v>
      </c>
      <c r="S283" s="35" t="n">
        <f>348684.21</f>
        <v>348684.21</v>
      </c>
      <c r="T283" s="32" t="n">
        <f>40627</f>
        <v>40627.0</v>
      </c>
      <c r="U283" s="32" t="n">
        <f>9329</f>
        <v>9329.0</v>
      </c>
      <c r="V283" s="32" t="n">
        <f>14157590086</f>
        <v>1.4157590086E10</v>
      </c>
      <c r="W283" s="32" t="n">
        <f>3251976586</f>
        <v>3.251976586E9</v>
      </c>
      <c r="X283" s="36" t="n">
        <f>19</f>
        <v>19.0</v>
      </c>
    </row>
    <row r="284">
      <c r="A284" s="27" t="s">
        <v>42</v>
      </c>
      <c r="B284" s="27" t="s">
        <v>900</v>
      </c>
      <c r="C284" s="27" t="s">
        <v>901</v>
      </c>
      <c r="D284" s="27" t="s">
        <v>902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13000</f>
        <v>13000.0</v>
      </c>
      <c r="L284" s="34" t="s">
        <v>48</v>
      </c>
      <c r="M284" s="33" t="n">
        <f>14570</f>
        <v>14570.0</v>
      </c>
      <c r="N284" s="34" t="s">
        <v>164</v>
      </c>
      <c r="O284" s="33" t="n">
        <f>12870</f>
        <v>12870.0</v>
      </c>
      <c r="P284" s="34" t="s">
        <v>48</v>
      </c>
      <c r="Q284" s="33" t="n">
        <f>13760</f>
        <v>13760.0</v>
      </c>
      <c r="R284" s="34" t="s">
        <v>50</v>
      </c>
      <c r="S284" s="35" t="n">
        <f>13806.32</f>
        <v>13806.32</v>
      </c>
      <c r="T284" s="32" t="n">
        <f>765993</f>
        <v>765993.0</v>
      </c>
      <c r="U284" s="32" t="n">
        <f>126883</f>
        <v>126883.0</v>
      </c>
      <c r="V284" s="32" t="n">
        <f>10585019684</f>
        <v>1.0585019684E10</v>
      </c>
      <c r="W284" s="32" t="n">
        <f>1756237344</f>
        <v>1.756237344E9</v>
      </c>
      <c r="X284" s="36" t="n">
        <f>19</f>
        <v>19.0</v>
      </c>
    </row>
    <row r="285">
      <c r="A285" s="27" t="s">
        <v>42</v>
      </c>
      <c r="B285" s="27" t="s">
        <v>903</v>
      </c>
      <c r="C285" s="27" t="s">
        <v>904</v>
      </c>
      <c r="D285" s="27" t="s">
        <v>905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73200</f>
        <v>73200.0</v>
      </c>
      <c r="L285" s="34" t="s">
        <v>48</v>
      </c>
      <c r="M285" s="33" t="n">
        <f>76100</f>
        <v>76100.0</v>
      </c>
      <c r="N285" s="34" t="s">
        <v>172</v>
      </c>
      <c r="O285" s="33" t="n">
        <f>72600</f>
        <v>72600.0</v>
      </c>
      <c r="P285" s="34" t="s">
        <v>48</v>
      </c>
      <c r="Q285" s="33" t="n">
        <f>74600</f>
        <v>74600.0</v>
      </c>
      <c r="R285" s="34" t="s">
        <v>50</v>
      </c>
      <c r="S285" s="35" t="n">
        <f>74415.79</f>
        <v>74415.79</v>
      </c>
      <c r="T285" s="32" t="n">
        <f>349810</f>
        <v>349810.0</v>
      </c>
      <c r="U285" s="32" t="n">
        <f>75918</f>
        <v>75918.0</v>
      </c>
      <c r="V285" s="32" t="n">
        <f>25954666703</f>
        <v>2.5954666703E10</v>
      </c>
      <c r="W285" s="32" t="n">
        <f>5636804803</f>
        <v>5.636804803E9</v>
      </c>
      <c r="X285" s="36" t="n">
        <f>19</f>
        <v>19.0</v>
      </c>
    </row>
    <row r="286">
      <c r="A286" s="27" t="s">
        <v>42</v>
      </c>
      <c r="B286" s="27" t="s">
        <v>906</v>
      </c>
      <c r="C286" s="27" t="s">
        <v>907</v>
      </c>
      <c r="D286" s="27" t="s">
        <v>908</v>
      </c>
      <c r="E286" s="28" t="s">
        <v>46</v>
      </c>
      <c r="F286" s="29" t="s">
        <v>46</v>
      </c>
      <c r="G286" s="30" t="s">
        <v>46</v>
      </c>
      <c r="H286" s="31"/>
      <c r="I286" s="31" t="s">
        <v>628</v>
      </c>
      <c r="J286" s="32" t="n">
        <v>1.0</v>
      </c>
      <c r="K286" s="33" t="n">
        <f>101300</f>
        <v>101300.0</v>
      </c>
      <c r="L286" s="34" t="s">
        <v>48</v>
      </c>
      <c r="M286" s="33" t="n">
        <f>109100</f>
        <v>109100.0</v>
      </c>
      <c r="N286" s="34" t="s">
        <v>50</v>
      </c>
      <c r="O286" s="33" t="n">
        <f>101300</f>
        <v>101300.0</v>
      </c>
      <c r="P286" s="34" t="s">
        <v>48</v>
      </c>
      <c r="Q286" s="33" t="n">
        <f>107400</f>
        <v>107400.0</v>
      </c>
      <c r="R286" s="34" t="s">
        <v>50</v>
      </c>
      <c r="S286" s="35" t="n">
        <f>106042.11</f>
        <v>106042.11</v>
      </c>
      <c r="T286" s="32" t="n">
        <f>32870</f>
        <v>32870.0</v>
      </c>
      <c r="U286" s="32" t="n">
        <f>2500</f>
        <v>2500.0</v>
      </c>
      <c r="V286" s="32" t="n">
        <f>3474840147</f>
        <v>3.474840147E9</v>
      </c>
      <c r="W286" s="32" t="n">
        <f>265844647</f>
        <v>2.65844647E8</v>
      </c>
      <c r="X286" s="36" t="n">
        <f>19</f>
        <v>19.0</v>
      </c>
    </row>
    <row r="287">
      <c r="A287" s="27" t="s">
        <v>42</v>
      </c>
      <c r="B287" s="27" t="s">
        <v>909</v>
      </c>
      <c r="C287" s="27" t="s">
        <v>910</v>
      </c>
      <c r="D287" s="27" t="s">
        <v>911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199500</f>
        <v>199500.0</v>
      </c>
      <c r="L287" s="34" t="s">
        <v>48</v>
      </c>
      <c r="M287" s="33" t="n">
        <f>233300</f>
        <v>233300.0</v>
      </c>
      <c r="N287" s="34" t="s">
        <v>50</v>
      </c>
      <c r="O287" s="33" t="n">
        <f>199000</f>
        <v>199000.0</v>
      </c>
      <c r="P287" s="34" t="s">
        <v>48</v>
      </c>
      <c r="Q287" s="33" t="n">
        <f>231300</f>
        <v>231300.0</v>
      </c>
      <c r="R287" s="34" t="s">
        <v>50</v>
      </c>
      <c r="S287" s="35" t="n">
        <f>218600</f>
        <v>218600.0</v>
      </c>
      <c r="T287" s="32" t="n">
        <f>63626</f>
        <v>63626.0</v>
      </c>
      <c r="U287" s="32" t="n">
        <f>8054</f>
        <v>8054.0</v>
      </c>
      <c r="V287" s="32" t="n">
        <f>13917094777</f>
        <v>1.3917094777E10</v>
      </c>
      <c r="W287" s="32" t="n">
        <f>1760145777</f>
        <v>1.760145777E9</v>
      </c>
      <c r="X287" s="36" t="n">
        <f>19</f>
        <v>19.0</v>
      </c>
    </row>
    <row r="288">
      <c r="A288" s="27" t="s">
        <v>42</v>
      </c>
      <c r="B288" s="27" t="s">
        <v>912</v>
      </c>
      <c r="C288" s="27" t="s">
        <v>913</v>
      </c>
      <c r="D288" s="27" t="s">
        <v>914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124800</f>
        <v>124800.0</v>
      </c>
      <c r="L288" s="34" t="s">
        <v>48</v>
      </c>
      <c r="M288" s="33" t="n">
        <f>128300</f>
        <v>128300.0</v>
      </c>
      <c r="N288" s="34" t="s">
        <v>50</v>
      </c>
      <c r="O288" s="33" t="n">
        <f>123400</f>
        <v>123400.0</v>
      </c>
      <c r="P288" s="34" t="s">
        <v>48</v>
      </c>
      <c r="Q288" s="33" t="n">
        <f>128000</f>
        <v>128000.0</v>
      </c>
      <c r="R288" s="34" t="s">
        <v>50</v>
      </c>
      <c r="S288" s="35" t="n">
        <f>126342.11</f>
        <v>126342.11</v>
      </c>
      <c r="T288" s="32" t="n">
        <f>11363</f>
        <v>11363.0</v>
      </c>
      <c r="U288" s="32" t="n">
        <f>2039</f>
        <v>2039.0</v>
      </c>
      <c r="V288" s="32" t="n">
        <f>1437432403</f>
        <v>1.437432403E9</v>
      </c>
      <c r="W288" s="32" t="n">
        <f>258106503</f>
        <v>2.58106503E8</v>
      </c>
      <c r="X288" s="36" t="n">
        <f>19</f>
        <v>19.0</v>
      </c>
    </row>
    <row r="289">
      <c r="A289" s="27" t="s">
        <v>42</v>
      </c>
      <c r="B289" s="27" t="s">
        <v>915</v>
      </c>
      <c r="C289" s="27" t="s">
        <v>916</v>
      </c>
      <c r="D289" s="27" t="s">
        <v>917</v>
      </c>
      <c r="E289" s="28" t="s">
        <v>46</v>
      </c>
      <c r="F289" s="29" t="s">
        <v>46</v>
      </c>
      <c r="G289" s="30" t="s">
        <v>46</v>
      </c>
      <c r="H289" s="31"/>
      <c r="I289" s="31" t="s">
        <v>628</v>
      </c>
      <c r="J289" s="32" t="n">
        <v>1.0</v>
      </c>
      <c r="K289" s="33" t="n">
        <f>101200</f>
        <v>101200.0</v>
      </c>
      <c r="L289" s="34" t="s">
        <v>48</v>
      </c>
      <c r="M289" s="33" t="n">
        <f>105800</f>
        <v>105800.0</v>
      </c>
      <c r="N289" s="34" t="s">
        <v>50</v>
      </c>
      <c r="O289" s="33" t="n">
        <f>100000</f>
        <v>100000.0</v>
      </c>
      <c r="P289" s="34" t="s">
        <v>48</v>
      </c>
      <c r="Q289" s="33" t="n">
        <f>105700</f>
        <v>105700.0</v>
      </c>
      <c r="R289" s="34" t="s">
        <v>50</v>
      </c>
      <c r="S289" s="35" t="n">
        <f>103157.89</f>
        <v>103157.89</v>
      </c>
      <c r="T289" s="32" t="n">
        <f>16100</f>
        <v>16100.0</v>
      </c>
      <c r="U289" s="32" t="n">
        <f>2049</f>
        <v>2049.0</v>
      </c>
      <c r="V289" s="32" t="n">
        <f>1660486832</f>
        <v>1.660486832E9</v>
      </c>
      <c r="W289" s="32" t="n">
        <f>211468332</f>
        <v>2.11468332E8</v>
      </c>
      <c r="X289" s="36" t="n">
        <f>19</f>
        <v>19.0</v>
      </c>
    </row>
    <row r="290">
      <c r="A290" s="27" t="s">
        <v>42</v>
      </c>
      <c r="B290" s="27" t="s">
        <v>918</v>
      </c>
      <c r="C290" s="27" t="s">
        <v>919</v>
      </c>
      <c r="D290" s="27" t="s">
        <v>920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124600</f>
        <v>124600.0</v>
      </c>
      <c r="L290" s="34" t="s">
        <v>48</v>
      </c>
      <c r="M290" s="33" t="n">
        <f>138000</f>
        <v>138000.0</v>
      </c>
      <c r="N290" s="34" t="s">
        <v>113</v>
      </c>
      <c r="O290" s="33" t="n">
        <f>124600</f>
        <v>124600.0</v>
      </c>
      <c r="P290" s="34" t="s">
        <v>48</v>
      </c>
      <c r="Q290" s="33" t="n">
        <f>136000</f>
        <v>136000.0</v>
      </c>
      <c r="R290" s="34" t="s">
        <v>50</v>
      </c>
      <c r="S290" s="35" t="n">
        <f>133715.79</f>
        <v>133715.79</v>
      </c>
      <c r="T290" s="32" t="n">
        <f>329408</f>
        <v>329408.0</v>
      </c>
      <c r="U290" s="32" t="n">
        <f>72488</f>
        <v>72488.0</v>
      </c>
      <c r="V290" s="32" t="n">
        <f>44040967893</f>
        <v>4.4040967893E10</v>
      </c>
      <c r="W290" s="32" t="n">
        <f>9683145393</f>
        <v>9.683145393E9</v>
      </c>
      <c r="X290" s="36" t="n">
        <f>19</f>
        <v>19.0</v>
      </c>
    </row>
    <row r="291">
      <c r="A291" s="27" t="s">
        <v>42</v>
      </c>
      <c r="B291" s="27" t="s">
        <v>921</v>
      </c>
      <c r="C291" s="27" t="s">
        <v>922</v>
      </c>
      <c r="D291" s="27" t="s">
        <v>923</v>
      </c>
      <c r="E291" s="28" t="s">
        <v>46</v>
      </c>
      <c r="F291" s="29" t="s">
        <v>46</v>
      </c>
      <c r="G291" s="30" t="s">
        <v>46</v>
      </c>
      <c r="H291" s="31"/>
      <c r="I291" s="31" t="s">
        <v>628</v>
      </c>
      <c r="J291" s="32" t="n">
        <v>1.0</v>
      </c>
      <c r="K291" s="33" t="n">
        <f>69000</f>
        <v>69000.0</v>
      </c>
      <c r="L291" s="34" t="s">
        <v>48</v>
      </c>
      <c r="M291" s="33" t="n">
        <f>76900</f>
        <v>76900.0</v>
      </c>
      <c r="N291" s="34" t="s">
        <v>113</v>
      </c>
      <c r="O291" s="33" t="n">
        <f>68300</f>
        <v>68300.0</v>
      </c>
      <c r="P291" s="34" t="s">
        <v>555</v>
      </c>
      <c r="Q291" s="33" t="n">
        <f>70200</f>
        <v>70200.0</v>
      </c>
      <c r="R291" s="34" t="s">
        <v>50</v>
      </c>
      <c r="S291" s="35" t="n">
        <f>71857.89</f>
        <v>71857.89</v>
      </c>
      <c r="T291" s="32" t="n">
        <f>31776</f>
        <v>31776.0</v>
      </c>
      <c r="U291" s="32" t="n">
        <f>2149</f>
        <v>2149.0</v>
      </c>
      <c r="V291" s="32" t="n">
        <f>2296351748</f>
        <v>2.296351748E9</v>
      </c>
      <c r="W291" s="32" t="n">
        <f>154814948</f>
        <v>1.54814948E8</v>
      </c>
      <c r="X291" s="36" t="n">
        <f>19</f>
        <v>19.0</v>
      </c>
    </row>
    <row r="292">
      <c r="A292" s="27" t="s">
        <v>42</v>
      </c>
      <c r="B292" s="27" t="s">
        <v>924</v>
      </c>
      <c r="C292" s="27" t="s">
        <v>925</v>
      </c>
      <c r="D292" s="27" t="s">
        <v>926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162700</f>
        <v>162700.0</v>
      </c>
      <c r="L292" s="34" t="s">
        <v>48</v>
      </c>
      <c r="M292" s="33" t="n">
        <f>169800</f>
        <v>169800.0</v>
      </c>
      <c r="N292" s="34" t="s">
        <v>97</v>
      </c>
      <c r="O292" s="33" t="n">
        <f>151800</f>
        <v>151800.0</v>
      </c>
      <c r="P292" s="34" t="s">
        <v>90</v>
      </c>
      <c r="Q292" s="33" t="n">
        <f>156200</f>
        <v>156200.0</v>
      </c>
      <c r="R292" s="34" t="s">
        <v>50</v>
      </c>
      <c r="S292" s="35" t="n">
        <f>160236.84</f>
        <v>160236.84</v>
      </c>
      <c r="T292" s="32" t="n">
        <f>145811</f>
        <v>145811.0</v>
      </c>
      <c r="U292" s="32" t="n">
        <f>38106</f>
        <v>38106.0</v>
      </c>
      <c r="V292" s="32" t="n">
        <f>23331115642</f>
        <v>2.3331115642E10</v>
      </c>
      <c r="W292" s="32" t="n">
        <f>6088018042</f>
        <v>6.088018042E9</v>
      </c>
      <c r="X292" s="36" t="n">
        <f>19</f>
        <v>19.0</v>
      </c>
    </row>
    <row r="293">
      <c r="A293" s="27" t="s">
        <v>42</v>
      </c>
      <c r="B293" s="27" t="s">
        <v>927</v>
      </c>
      <c r="C293" s="27" t="s">
        <v>928</v>
      </c>
      <c r="D293" s="27" t="s">
        <v>929</v>
      </c>
      <c r="E293" s="28" t="s">
        <v>46</v>
      </c>
      <c r="F293" s="29" t="s">
        <v>46</v>
      </c>
      <c r="G293" s="30" t="s">
        <v>46</v>
      </c>
      <c r="H293" s="31"/>
      <c r="I293" s="31" t="s">
        <v>628</v>
      </c>
      <c r="J293" s="32" t="n">
        <v>1.0</v>
      </c>
      <c r="K293" s="33" t="n">
        <f>44600</f>
        <v>44600.0</v>
      </c>
      <c r="L293" s="34" t="s">
        <v>48</v>
      </c>
      <c r="M293" s="33" t="n">
        <f>48150</f>
        <v>48150.0</v>
      </c>
      <c r="N293" s="34" t="s">
        <v>164</v>
      </c>
      <c r="O293" s="33" t="n">
        <f>44350</f>
        <v>44350.0</v>
      </c>
      <c r="P293" s="34" t="s">
        <v>48</v>
      </c>
      <c r="Q293" s="33" t="n">
        <f>48100</f>
        <v>48100.0</v>
      </c>
      <c r="R293" s="34" t="s">
        <v>50</v>
      </c>
      <c r="S293" s="35" t="n">
        <f>46665.79</f>
        <v>46665.79</v>
      </c>
      <c r="T293" s="32" t="n">
        <f>80901</f>
        <v>80901.0</v>
      </c>
      <c r="U293" s="32" t="n">
        <f>11650</f>
        <v>11650.0</v>
      </c>
      <c r="V293" s="32" t="n">
        <f>3781207606</f>
        <v>3.781207606E9</v>
      </c>
      <c r="W293" s="32" t="n">
        <f>545376606</f>
        <v>5.45376606E8</v>
      </c>
      <c r="X293" s="36" t="n">
        <f>19</f>
        <v>19.0</v>
      </c>
    </row>
    <row r="294">
      <c r="A294" s="27" t="s">
        <v>42</v>
      </c>
      <c r="B294" s="27" t="s">
        <v>930</v>
      </c>
      <c r="C294" s="27" t="s">
        <v>931</v>
      </c>
      <c r="D294" s="27" t="s">
        <v>932</v>
      </c>
      <c r="E294" s="28" t="s">
        <v>46</v>
      </c>
      <c r="F294" s="29" t="s">
        <v>46</v>
      </c>
      <c r="G294" s="30" t="s">
        <v>46</v>
      </c>
      <c r="H294" s="31"/>
      <c r="I294" s="31" t="s">
        <v>628</v>
      </c>
      <c r="J294" s="32" t="n">
        <v>1.0</v>
      </c>
      <c r="K294" s="33" t="n">
        <f>106500</f>
        <v>106500.0</v>
      </c>
      <c r="L294" s="34" t="s">
        <v>48</v>
      </c>
      <c r="M294" s="33" t="n">
        <f>114700</f>
        <v>114700.0</v>
      </c>
      <c r="N294" s="34" t="s">
        <v>50</v>
      </c>
      <c r="O294" s="33" t="n">
        <f>106500</f>
        <v>106500.0</v>
      </c>
      <c r="P294" s="34" t="s">
        <v>48</v>
      </c>
      <c r="Q294" s="33" t="n">
        <f>114000</f>
        <v>114000.0</v>
      </c>
      <c r="R294" s="34" t="s">
        <v>50</v>
      </c>
      <c r="S294" s="35" t="n">
        <f>111473.68</f>
        <v>111473.68</v>
      </c>
      <c r="T294" s="32" t="n">
        <f>7927</f>
        <v>7927.0</v>
      </c>
      <c r="U294" s="32" t="n">
        <f>741</f>
        <v>741.0</v>
      </c>
      <c r="V294" s="32" t="n">
        <f>884228647</f>
        <v>8.84228647E8</v>
      </c>
      <c r="W294" s="32" t="n">
        <f>82841647</f>
        <v>8.2841647E7</v>
      </c>
      <c r="X294" s="36" t="n">
        <f>19</f>
        <v>19.0</v>
      </c>
    </row>
    <row r="295">
      <c r="A295" s="27" t="s">
        <v>42</v>
      </c>
      <c r="B295" s="27" t="s">
        <v>933</v>
      </c>
      <c r="C295" s="27" t="s">
        <v>934</v>
      </c>
      <c r="D295" s="27" t="s">
        <v>935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500000</f>
        <v>500000.0</v>
      </c>
      <c r="L295" s="34" t="s">
        <v>48</v>
      </c>
      <c r="M295" s="33" t="n">
        <f>506000</f>
        <v>506000.0</v>
      </c>
      <c r="N295" s="34" t="s">
        <v>277</v>
      </c>
      <c r="O295" s="33" t="n">
        <f>479500</f>
        <v>479500.0</v>
      </c>
      <c r="P295" s="34" t="s">
        <v>66</v>
      </c>
      <c r="Q295" s="33" t="n">
        <f>496000</f>
        <v>496000.0</v>
      </c>
      <c r="R295" s="34" t="s">
        <v>50</v>
      </c>
      <c r="S295" s="35" t="n">
        <f>495578.95</f>
        <v>495578.95</v>
      </c>
      <c r="T295" s="32" t="n">
        <f>47674</f>
        <v>47674.0</v>
      </c>
      <c r="U295" s="32" t="n">
        <f>9485</f>
        <v>9485.0</v>
      </c>
      <c r="V295" s="32" t="n">
        <f>23584261178</f>
        <v>2.3584261178E10</v>
      </c>
      <c r="W295" s="32" t="n">
        <f>4695268178</f>
        <v>4.695268178E9</v>
      </c>
      <c r="X295" s="36" t="n">
        <f>19</f>
        <v>19.0</v>
      </c>
    </row>
    <row r="296">
      <c r="A296" s="27" t="s">
        <v>42</v>
      </c>
      <c r="B296" s="27" t="s">
        <v>936</v>
      </c>
      <c r="C296" s="27" t="s">
        <v>937</v>
      </c>
      <c r="D296" s="27" t="s">
        <v>938</v>
      </c>
      <c r="E296" s="28" t="s">
        <v>46</v>
      </c>
      <c r="F296" s="29" t="s">
        <v>46</v>
      </c>
      <c r="G296" s="30" t="s">
        <v>46</v>
      </c>
      <c r="H296" s="31"/>
      <c r="I296" s="31" t="s">
        <v>628</v>
      </c>
      <c r="J296" s="32" t="n">
        <v>1.0</v>
      </c>
      <c r="K296" s="33" t="n">
        <f>68700</f>
        <v>68700.0</v>
      </c>
      <c r="L296" s="34" t="s">
        <v>48</v>
      </c>
      <c r="M296" s="33" t="n">
        <f>74900</f>
        <v>74900.0</v>
      </c>
      <c r="N296" s="34" t="s">
        <v>113</v>
      </c>
      <c r="O296" s="33" t="n">
        <f>68500</f>
        <v>68500.0</v>
      </c>
      <c r="P296" s="34" t="s">
        <v>50</v>
      </c>
      <c r="Q296" s="33" t="n">
        <f>68500</f>
        <v>68500.0</v>
      </c>
      <c r="R296" s="34" t="s">
        <v>50</v>
      </c>
      <c r="S296" s="35" t="n">
        <f>72378.95</f>
        <v>72378.95</v>
      </c>
      <c r="T296" s="32" t="n">
        <f>23805</f>
        <v>23805.0</v>
      </c>
      <c r="U296" s="32" t="n">
        <f>2433</f>
        <v>2433.0</v>
      </c>
      <c r="V296" s="32" t="n">
        <f>1725253125</f>
        <v>1.725253125E9</v>
      </c>
      <c r="W296" s="32" t="n">
        <f>176933125</f>
        <v>1.76933125E8</v>
      </c>
      <c r="X296" s="36" t="n">
        <f>19</f>
        <v>19.0</v>
      </c>
    </row>
    <row r="297">
      <c r="A297" s="27" t="s">
        <v>42</v>
      </c>
      <c r="B297" s="27" t="s">
        <v>939</v>
      </c>
      <c r="C297" s="27" t="s">
        <v>940</v>
      </c>
      <c r="D297" s="27" t="s">
        <v>941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35900</f>
        <v>35900.0</v>
      </c>
      <c r="L297" s="34" t="s">
        <v>48</v>
      </c>
      <c r="M297" s="33" t="n">
        <f>39400</f>
        <v>39400.0</v>
      </c>
      <c r="N297" s="34" t="s">
        <v>113</v>
      </c>
      <c r="O297" s="33" t="n">
        <f>35850</f>
        <v>35850.0</v>
      </c>
      <c r="P297" s="34" t="s">
        <v>48</v>
      </c>
      <c r="Q297" s="33" t="n">
        <f>38450</f>
        <v>38450.0</v>
      </c>
      <c r="R297" s="34" t="s">
        <v>50</v>
      </c>
      <c r="S297" s="35" t="n">
        <f>37684.21</f>
        <v>37684.21</v>
      </c>
      <c r="T297" s="32" t="n">
        <f>202965</f>
        <v>202965.0</v>
      </c>
      <c r="U297" s="32" t="n">
        <f>23027</f>
        <v>23027.0</v>
      </c>
      <c r="V297" s="32" t="n">
        <f>7648381303</f>
        <v>7.648381303E9</v>
      </c>
      <c r="W297" s="32" t="n">
        <f>869886253</f>
        <v>8.69886253E8</v>
      </c>
      <c r="X297" s="36" t="n">
        <f>19</f>
        <v>19.0</v>
      </c>
    </row>
    <row r="298">
      <c r="A298" s="27" t="s">
        <v>42</v>
      </c>
      <c r="B298" s="27" t="s">
        <v>942</v>
      </c>
      <c r="C298" s="27" t="s">
        <v>943</v>
      </c>
      <c r="D298" s="27" t="s">
        <v>944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106100</f>
        <v>106100.0</v>
      </c>
      <c r="L298" s="34" t="s">
        <v>48</v>
      </c>
      <c r="M298" s="33" t="n">
        <f>119500</f>
        <v>119500.0</v>
      </c>
      <c r="N298" s="34" t="s">
        <v>113</v>
      </c>
      <c r="O298" s="33" t="n">
        <f>105600</f>
        <v>105600.0</v>
      </c>
      <c r="P298" s="34" t="s">
        <v>48</v>
      </c>
      <c r="Q298" s="33" t="n">
        <f>115400</f>
        <v>115400.0</v>
      </c>
      <c r="R298" s="34" t="s">
        <v>50</v>
      </c>
      <c r="S298" s="35" t="n">
        <f>113273.68</f>
        <v>113273.68</v>
      </c>
      <c r="T298" s="32" t="n">
        <f>27875</f>
        <v>27875.0</v>
      </c>
      <c r="U298" s="32" t="n">
        <f>4300</f>
        <v>4300.0</v>
      </c>
      <c r="V298" s="32" t="n">
        <f>3160079686</f>
        <v>3.160079686E9</v>
      </c>
      <c r="W298" s="32" t="n">
        <f>488300586</f>
        <v>4.88300586E8</v>
      </c>
      <c r="X298" s="36" t="n">
        <f>19</f>
        <v>19.0</v>
      </c>
    </row>
    <row r="299">
      <c r="A299" s="27" t="s">
        <v>42</v>
      </c>
      <c r="B299" s="27" t="s">
        <v>945</v>
      </c>
      <c r="C299" s="27" t="s">
        <v>946</v>
      </c>
      <c r="D299" s="27" t="s">
        <v>947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414500</f>
        <v>414500.0</v>
      </c>
      <c r="L299" s="34" t="s">
        <v>48</v>
      </c>
      <c r="M299" s="33" t="n">
        <f>435000</f>
        <v>435000.0</v>
      </c>
      <c r="N299" s="34" t="s">
        <v>97</v>
      </c>
      <c r="O299" s="33" t="n">
        <f>384500</f>
        <v>384500.0</v>
      </c>
      <c r="P299" s="34" t="s">
        <v>66</v>
      </c>
      <c r="Q299" s="33" t="n">
        <f>398500</f>
        <v>398500.0</v>
      </c>
      <c r="R299" s="34" t="s">
        <v>50</v>
      </c>
      <c r="S299" s="35" t="n">
        <f>408052.63</f>
        <v>408052.63</v>
      </c>
      <c r="T299" s="32" t="n">
        <f>29502</f>
        <v>29502.0</v>
      </c>
      <c r="U299" s="32" t="n">
        <f>5387</f>
        <v>5387.0</v>
      </c>
      <c r="V299" s="32" t="n">
        <f>12003950966</f>
        <v>1.2003950966E10</v>
      </c>
      <c r="W299" s="32" t="n">
        <f>2191466966</f>
        <v>2.191466966E9</v>
      </c>
      <c r="X299" s="36" t="n">
        <f>19</f>
        <v>19.0</v>
      </c>
    </row>
    <row r="300">
      <c r="A300" s="27" t="s">
        <v>42</v>
      </c>
      <c r="B300" s="27" t="s">
        <v>948</v>
      </c>
      <c r="C300" s="27" t="s">
        <v>949</v>
      </c>
      <c r="D300" s="27" t="s">
        <v>950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152500</f>
        <v>152500.0</v>
      </c>
      <c r="L300" s="34" t="s">
        <v>48</v>
      </c>
      <c r="M300" s="33" t="n">
        <f>162300</f>
        <v>162300.0</v>
      </c>
      <c r="N300" s="34" t="s">
        <v>97</v>
      </c>
      <c r="O300" s="33" t="n">
        <f>146400</f>
        <v>146400.0</v>
      </c>
      <c r="P300" s="34" t="s">
        <v>66</v>
      </c>
      <c r="Q300" s="33" t="n">
        <f>156300</f>
        <v>156300.0</v>
      </c>
      <c r="R300" s="34" t="s">
        <v>50</v>
      </c>
      <c r="S300" s="35" t="n">
        <f>154031.58</f>
        <v>154031.58</v>
      </c>
      <c r="T300" s="32" t="n">
        <f>40652</f>
        <v>40652.0</v>
      </c>
      <c r="U300" s="32" t="n">
        <f>5230</f>
        <v>5230.0</v>
      </c>
      <c r="V300" s="32" t="n">
        <f>6242048220</f>
        <v>6.24204822E9</v>
      </c>
      <c r="W300" s="32" t="n">
        <f>804538120</f>
        <v>8.0453812E8</v>
      </c>
      <c r="X300" s="36" t="n">
        <f>19</f>
        <v>19.0</v>
      </c>
    </row>
    <row r="301">
      <c r="A301" s="27" t="s">
        <v>42</v>
      </c>
      <c r="B301" s="27" t="s">
        <v>951</v>
      </c>
      <c r="C301" s="27" t="s">
        <v>952</v>
      </c>
      <c r="D301" s="27" t="s">
        <v>953</v>
      </c>
      <c r="E301" s="28" t="s">
        <v>46</v>
      </c>
      <c r="F301" s="29" t="s">
        <v>46</v>
      </c>
      <c r="G301" s="30" t="s">
        <v>46</v>
      </c>
      <c r="H301" s="31"/>
      <c r="I301" s="31" t="s">
        <v>628</v>
      </c>
      <c r="J301" s="32" t="n">
        <v>1.0</v>
      </c>
      <c r="K301" s="33" t="n">
        <f>85800</f>
        <v>85800.0</v>
      </c>
      <c r="L301" s="34" t="s">
        <v>48</v>
      </c>
      <c r="M301" s="33" t="n">
        <f>93700</f>
        <v>93700.0</v>
      </c>
      <c r="N301" s="34" t="s">
        <v>113</v>
      </c>
      <c r="O301" s="33" t="n">
        <f>85400</f>
        <v>85400.0</v>
      </c>
      <c r="P301" s="34" t="s">
        <v>48</v>
      </c>
      <c r="Q301" s="33" t="n">
        <f>91300</f>
        <v>91300.0</v>
      </c>
      <c r="R301" s="34" t="s">
        <v>50</v>
      </c>
      <c r="S301" s="35" t="n">
        <f>90542.11</f>
        <v>90542.11</v>
      </c>
      <c r="T301" s="32" t="n">
        <f>23768</f>
        <v>23768.0</v>
      </c>
      <c r="U301" s="32" t="n">
        <f>1658</f>
        <v>1658.0</v>
      </c>
      <c r="V301" s="32" t="n">
        <f>2153260986</f>
        <v>2.153260986E9</v>
      </c>
      <c r="W301" s="32" t="n">
        <f>150770886</f>
        <v>1.50770886E8</v>
      </c>
      <c r="X301" s="36" t="n">
        <f>19</f>
        <v>19.0</v>
      </c>
    </row>
    <row r="302">
      <c r="A302" s="27" t="s">
        <v>42</v>
      </c>
      <c r="B302" s="27" t="s">
        <v>954</v>
      </c>
      <c r="C302" s="27" t="s">
        <v>955</v>
      </c>
      <c r="D302" s="27" t="s">
        <v>956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83100</f>
        <v>83100.0</v>
      </c>
      <c r="L302" s="34" t="s">
        <v>48</v>
      </c>
      <c r="M302" s="33" t="n">
        <f>89600</f>
        <v>89600.0</v>
      </c>
      <c r="N302" s="34" t="s">
        <v>49</v>
      </c>
      <c r="O302" s="33" t="n">
        <f>82900</f>
        <v>82900.0</v>
      </c>
      <c r="P302" s="34" t="s">
        <v>48</v>
      </c>
      <c r="Q302" s="33" t="n">
        <f>89600</f>
        <v>89600.0</v>
      </c>
      <c r="R302" s="34" t="s">
        <v>50</v>
      </c>
      <c r="S302" s="35" t="n">
        <f>86252.63</f>
        <v>86252.63</v>
      </c>
      <c r="T302" s="32" t="n">
        <f>56701</f>
        <v>56701.0</v>
      </c>
      <c r="U302" s="32" t="n">
        <f>4389</f>
        <v>4389.0</v>
      </c>
      <c r="V302" s="32" t="n">
        <f>4900673137</f>
        <v>4.900673137E9</v>
      </c>
      <c r="W302" s="32" t="n">
        <f>380299237</f>
        <v>3.80299237E8</v>
      </c>
      <c r="X302" s="36" t="n">
        <f>19</f>
        <v>19.0</v>
      </c>
    </row>
    <row r="303">
      <c r="A303" s="27" t="s">
        <v>42</v>
      </c>
      <c r="B303" s="27" t="s">
        <v>957</v>
      </c>
      <c r="C303" s="27" t="s">
        <v>958</v>
      </c>
      <c r="D303" s="27" t="s">
        <v>959</v>
      </c>
      <c r="E303" s="28" t="s">
        <v>46</v>
      </c>
      <c r="F303" s="29" t="s">
        <v>46</v>
      </c>
      <c r="G303" s="30" t="s">
        <v>46</v>
      </c>
      <c r="H303" s="31"/>
      <c r="I303" s="31" t="s">
        <v>628</v>
      </c>
      <c r="J303" s="32" t="n">
        <v>1.0</v>
      </c>
      <c r="K303" s="33" t="n">
        <f>143100</f>
        <v>143100.0</v>
      </c>
      <c r="L303" s="34" t="s">
        <v>48</v>
      </c>
      <c r="M303" s="33" t="n">
        <f>147200</f>
        <v>147200.0</v>
      </c>
      <c r="N303" s="34" t="s">
        <v>97</v>
      </c>
      <c r="O303" s="33" t="n">
        <f>125500</f>
        <v>125500.0</v>
      </c>
      <c r="P303" s="34" t="s">
        <v>66</v>
      </c>
      <c r="Q303" s="33" t="n">
        <f>128400</f>
        <v>128400.0</v>
      </c>
      <c r="R303" s="34" t="s">
        <v>50</v>
      </c>
      <c r="S303" s="35" t="n">
        <f>135815.79</f>
        <v>135815.79</v>
      </c>
      <c r="T303" s="32" t="n">
        <f>150231</f>
        <v>150231.0</v>
      </c>
      <c r="U303" s="32" t="n">
        <f>30921</f>
        <v>30921.0</v>
      </c>
      <c r="V303" s="32" t="n">
        <f>19969873689</f>
        <v>1.9969873689E10</v>
      </c>
      <c r="W303" s="32" t="n">
        <f>4145475189</f>
        <v>4.145475189E9</v>
      </c>
      <c r="X303" s="36" t="n">
        <f>19</f>
        <v>19.0</v>
      </c>
    </row>
    <row r="304">
      <c r="A304" s="27" t="s">
        <v>42</v>
      </c>
      <c r="B304" s="27" t="s">
        <v>960</v>
      </c>
      <c r="C304" s="27" t="s">
        <v>961</v>
      </c>
      <c r="D304" s="27" t="s">
        <v>962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528000</f>
        <v>528000.0</v>
      </c>
      <c r="L304" s="34" t="s">
        <v>48</v>
      </c>
      <c r="M304" s="33" t="n">
        <f>588000</f>
        <v>588000.0</v>
      </c>
      <c r="N304" s="34" t="s">
        <v>113</v>
      </c>
      <c r="O304" s="33" t="n">
        <f>526000</f>
        <v>526000.0</v>
      </c>
      <c r="P304" s="34" t="s">
        <v>48</v>
      </c>
      <c r="Q304" s="33" t="n">
        <f>577000</f>
        <v>577000.0</v>
      </c>
      <c r="R304" s="34" t="s">
        <v>50</v>
      </c>
      <c r="S304" s="35" t="n">
        <f>565210.53</f>
        <v>565210.53</v>
      </c>
      <c r="T304" s="32" t="n">
        <f>284914</f>
        <v>284914.0</v>
      </c>
      <c r="U304" s="32" t="n">
        <f>46864</f>
        <v>46864.0</v>
      </c>
      <c r="V304" s="32" t="n">
        <f>161160431682</f>
        <v>1.61160431682E11</v>
      </c>
      <c r="W304" s="32" t="n">
        <f>26550009682</f>
        <v>2.6550009682E10</v>
      </c>
      <c r="X304" s="36" t="n">
        <f>19</f>
        <v>19.0</v>
      </c>
    </row>
    <row r="305">
      <c r="A305" s="27" t="s">
        <v>42</v>
      </c>
      <c r="B305" s="27" t="s">
        <v>963</v>
      </c>
      <c r="C305" s="27" t="s">
        <v>964</v>
      </c>
      <c r="D305" s="27" t="s">
        <v>965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511000</f>
        <v>511000.0</v>
      </c>
      <c r="L305" s="34" t="s">
        <v>48</v>
      </c>
      <c r="M305" s="33" t="n">
        <f>566000</f>
        <v>566000.0</v>
      </c>
      <c r="N305" s="34" t="s">
        <v>113</v>
      </c>
      <c r="O305" s="33" t="n">
        <f>507000</f>
        <v>507000.0</v>
      </c>
      <c r="P305" s="34" t="s">
        <v>48</v>
      </c>
      <c r="Q305" s="33" t="n">
        <f>542000</f>
        <v>542000.0</v>
      </c>
      <c r="R305" s="34" t="s">
        <v>50</v>
      </c>
      <c r="S305" s="35" t="n">
        <f>533210.53</f>
        <v>533210.53</v>
      </c>
      <c r="T305" s="32" t="n">
        <f>144971</f>
        <v>144971.0</v>
      </c>
      <c r="U305" s="32" t="n">
        <f>30783</f>
        <v>30783.0</v>
      </c>
      <c r="V305" s="32" t="n">
        <f>77431889422</f>
        <v>7.7431889422E10</v>
      </c>
      <c r="W305" s="32" t="n">
        <f>16424546422</f>
        <v>1.6424546422E10</v>
      </c>
      <c r="X305" s="36" t="n">
        <f>19</f>
        <v>19.0</v>
      </c>
    </row>
    <row r="306">
      <c r="A306" s="27" t="s">
        <v>42</v>
      </c>
      <c r="B306" s="27" t="s">
        <v>966</v>
      </c>
      <c r="C306" s="27" t="s">
        <v>967</v>
      </c>
      <c r="D306" s="27" t="s">
        <v>968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151900</f>
        <v>151900.0</v>
      </c>
      <c r="L306" s="34" t="s">
        <v>48</v>
      </c>
      <c r="M306" s="33" t="n">
        <f>171700</f>
        <v>171700.0</v>
      </c>
      <c r="N306" s="34" t="s">
        <v>113</v>
      </c>
      <c r="O306" s="33" t="n">
        <f>149900</f>
        <v>149900.0</v>
      </c>
      <c r="P306" s="34" t="s">
        <v>225</v>
      </c>
      <c r="Q306" s="33" t="n">
        <f>166500</f>
        <v>166500.0</v>
      </c>
      <c r="R306" s="34" t="s">
        <v>50</v>
      </c>
      <c r="S306" s="35" t="n">
        <f>162742.11</f>
        <v>162742.11</v>
      </c>
      <c r="T306" s="32" t="n">
        <f>361127</f>
        <v>361127.0</v>
      </c>
      <c r="U306" s="32" t="n">
        <f>59355</f>
        <v>59355.0</v>
      </c>
      <c r="V306" s="32" t="n">
        <f>58686098667</f>
        <v>5.8686098667E10</v>
      </c>
      <c r="W306" s="32" t="n">
        <f>9648939867</f>
        <v>9.648939867E9</v>
      </c>
      <c r="X306" s="36" t="n">
        <f>19</f>
        <v>19.0</v>
      </c>
    </row>
    <row r="307">
      <c r="A307" s="27" t="s">
        <v>42</v>
      </c>
      <c r="B307" s="27" t="s">
        <v>969</v>
      </c>
      <c r="C307" s="27" t="s">
        <v>970</v>
      </c>
      <c r="D307" s="27" t="s">
        <v>971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148600</f>
        <v>148600.0</v>
      </c>
      <c r="L307" s="34" t="s">
        <v>48</v>
      </c>
      <c r="M307" s="33" t="n">
        <f>163200</f>
        <v>163200.0</v>
      </c>
      <c r="N307" s="34" t="s">
        <v>113</v>
      </c>
      <c r="O307" s="33" t="n">
        <f>147800</f>
        <v>147800.0</v>
      </c>
      <c r="P307" s="34" t="s">
        <v>48</v>
      </c>
      <c r="Q307" s="33" t="n">
        <f>156000</f>
        <v>156000.0</v>
      </c>
      <c r="R307" s="34" t="s">
        <v>50</v>
      </c>
      <c r="S307" s="35" t="n">
        <f>155026.32</f>
        <v>155026.32</v>
      </c>
      <c r="T307" s="32" t="n">
        <f>211133</f>
        <v>211133.0</v>
      </c>
      <c r="U307" s="32" t="n">
        <f>46736</f>
        <v>46736.0</v>
      </c>
      <c r="V307" s="32" t="n">
        <f>32726814219</f>
        <v>3.2726814219E10</v>
      </c>
      <c r="W307" s="32" t="n">
        <f>7262029619</f>
        <v>7.262029619E9</v>
      </c>
      <c r="X307" s="36" t="n">
        <f>19</f>
        <v>19.0</v>
      </c>
    </row>
    <row r="308">
      <c r="A308" s="27" t="s">
        <v>42</v>
      </c>
      <c r="B308" s="27" t="s">
        <v>972</v>
      </c>
      <c r="C308" s="27" t="s">
        <v>973</v>
      </c>
      <c r="D308" s="27" t="s">
        <v>974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281200</f>
        <v>281200.0</v>
      </c>
      <c r="L308" s="34" t="s">
        <v>48</v>
      </c>
      <c r="M308" s="33" t="n">
        <f>322500</f>
        <v>322500.0</v>
      </c>
      <c r="N308" s="34" t="s">
        <v>172</v>
      </c>
      <c r="O308" s="33" t="n">
        <f>281100</f>
        <v>281100.0</v>
      </c>
      <c r="P308" s="34" t="s">
        <v>48</v>
      </c>
      <c r="Q308" s="33" t="n">
        <f>306500</f>
        <v>306500.0</v>
      </c>
      <c r="R308" s="34" t="s">
        <v>50</v>
      </c>
      <c r="S308" s="35" t="n">
        <f>299921.05</f>
        <v>299921.05</v>
      </c>
      <c r="T308" s="32" t="n">
        <f>247013</f>
        <v>247013.0</v>
      </c>
      <c r="U308" s="32" t="n">
        <f>62988</f>
        <v>62988.0</v>
      </c>
      <c r="V308" s="32" t="n">
        <f>74601223197</f>
        <v>7.4601223197E10</v>
      </c>
      <c r="W308" s="32" t="n">
        <f>19082414697</f>
        <v>1.9082414697E10</v>
      </c>
      <c r="X308" s="36" t="n">
        <f>19</f>
        <v>19.0</v>
      </c>
    </row>
    <row r="309">
      <c r="A309" s="27" t="s">
        <v>42</v>
      </c>
      <c r="B309" s="27" t="s">
        <v>975</v>
      </c>
      <c r="C309" s="27" t="s">
        <v>976</v>
      </c>
      <c r="D309" s="27" t="s">
        <v>977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114700</f>
        <v>114700.0</v>
      </c>
      <c r="L309" s="34" t="s">
        <v>48</v>
      </c>
      <c r="M309" s="33" t="n">
        <f>122800</f>
        <v>122800.0</v>
      </c>
      <c r="N309" s="34" t="s">
        <v>172</v>
      </c>
      <c r="O309" s="33" t="n">
        <f>114100</f>
        <v>114100.0</v>
      </c>
      <c r="P309" s="34" t="s">
        <v>129</v>
      </c>
      <c r="Q309" s="33" t="n">
        <f>119600</f>
        <v>119600.0</v>
      </c>
      <c r="R309" s="34" t="s">
        <v>50</v>
      </c>
      <c r="S309" s="35" t="n">
        <f>118257.89</f>
        <v>118257.89</v>
      </c>
      <c r="T309" s="32" t="n">
        <f>118306</f>
        <v>118306.0</v>
      </c>
      <c r="U309" s="32" t="n">
        <f>22225</f>
        <v>22225.0</v>
      </c>
      <c r="V309" s="32" t="n">
        <f>13948892639</f>
        <v>1.3948892639E10</v>
      </c>
      <c r="W309" s="32" t="n">
        <f>2626336339</f>
        <v>2.626336339E9</v>
      </c>
      <c r="X309" s="36" t="n">
        <f>19</f>
        <v>19.0</v>
      </c>
    </row>
    <row r="310">
      <c r="A310" s="27" t="s">
        <v>42</v>
      </c>
      <c r="B310" s="27" t="s">
        <v>978</v>
      </c>
      <c r="C310" s="27" t="s">
        <v>979</v>
      </c>
      <c r="D310" s="27" t="s">
        <v>980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140600</f>
        <v>140600.0</v>
      </c>
      <c r="L310" s="34" t="s">
        <v>48</v>
      </c>
      <c r="M310" s="33" t="n">
        <f>154300</f>
        <v>154300.0</v>
      </c>
      <c r="N310" s="34" t="s">
        <v>172</v>
      </c>
      <c r="O310" s="33" t="n">
        <f>140600</f>
        <v>140600.0</v>
      </c>
      <c r="P310" s="34" t="s">
        <v>48</v>
      </c>
      <c r="Q310" s="33" t="n">
        <f>151900</f>
        <v>151900.0</v>
      </c>
      <c r="R310" s="34" t="s">
        <v>50</v>
      </c>
      <c r="S310" s="35" t="n">
        <f>148815.79</f>
        <v>148815.79</v>
      </c>
      <c r="T310" s="32" t="n">
        <f>69426</f>
        <v>69426.0</v>
      </c>
      <c r="U310" s="32" t="n">
        <f>17732</f>
        <v>17732.0</v>
      </c>
      <c r="V310" s="32" t="n">
        <f>10341500543</f>
        <v>1.0341500543E10</v>
      </c>
      <c r="W310" s="32" t="n">
        <f>2637540243</f>
        <v>2.637540243E9</v>
      </c>
      <c r="X310" s="36" t="n">
        <f>19</f>
        <v>19.0</v>
      </c>
    </row>
    <row r="311">
      <c r="A311" s="27" t="s">
        <v>42</v>
      </c>
      <c r="B311" s="27" t="s">
        <v>981</v>
      </c>
      <c r="C311" s="27" t="s">
        <v>982</v>
      </c>
      <c r="D311" s="27" t="s">
        <v>983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95000</f>
        <v>95000.0</v>
      </c>
      <c r="L311" s="34" t="s">
        <v>48</v>
      </c>
      <c r="M311" s="33" t="n">
        <f>104900</f>
        <v>104900.0</v>
      </c>
      <c r="N311" s="34" t="s">
        <v>164</v>
      </c>
      <c r="O311" s="33" t="n">
        <f>94300</f>
        <v>94300.0</v>
      </c>
      <c r="P311" s="34" t="s">
        <v>48</v>
      </c>
      <c r="Q311" s="33" t="n">
        <f>100400</f>
        <v>100400.0</v>
      </c>
      <c r="R311" s="34" t="s">
        <v>50</v>
      </c>
      <c r="S311" s="35" t="n">
        <f>100047.37</f>
        <v>100047.37</v>
      </c>
      <c r="T311" s="32" t="n">
        <f>76383</f>
        <v>76383.0</v>
      </c>
      <c r="U311" s="32" t="n">
        <f>17607</f>
        <v>17607.0</v>
      </c>
      <c r="V311" s="32" t="n">
        <f>7639464193</f>
        <v>7.639464193E9</v>
      </c>
      <c r="W311" s="32" t="n">
        <f>1753411693</f>
        <v>1.753411693E9</v>
      </c>
      <c r="X311" s="36" t="n">
        <f>19</f>
        <v>19.0</v>
      </c>
    </row>
    <row r="312">
      <c r="A312" s="27" t="s">
        <v>42</v>
      </c>
      <c r="B312" s="27" t="s">
        <v>984</v>
      </c>
      <c r="C312" s="27" t="s">
        <v>985</v>
      </c>
      <c r="D312" s="27" t="s">
        <v>986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111600</f>
        <v>111600.0</v>
      </c>
      <c r="L312" s="34" t="s">
        <v>48</v>
      </c>
      <c r="M312" s="33" t="n">
        <f>131000</f>
        <v>131000.0</v>
      </c>
      <c r="N312" s="34" t="s">
        <v>113</v>
      </c>
      <c r="O312" s="33" t="n">
        <f>111400</f>
        <v>111400.0</v>
      </c>
      <c r="P312" s="34" t="s">
        <v>48</v>
      </c>
      <c r="Q312" s="33" t="n">
        <f>118000</f>
        <v>118000.0</v>
      </c>
      <c r="R312" s="34" t="s">
        <v>50</v>
      </c>
      <c r="S312" s="35" t="n">
        <f>122131.58</f>
        <v>122131.58</v>
      </c>
      <c r="T312" s="32" t="n">
        <f>287159</f>
        <v>287159.0</v>
      </c>
      <c r="U312" s="32" t="n">
        <f>56743</f>
        <v>56743.0</v>
      </c>
      <c r="V312" s="32" t="n">
        <f>35128604763</f>
        <v>3.5128604763E10</v>
      </c>
      <c r="W312" s="32" t="n">
        <f>6962136063</f>
        <v>6.962136063E9</v>
      </c>
      <c r="X312" s="36" t="n">
        <f>19</f>
        <v>19.0</v>
      </c>
    </row>
    <row r="313">
      <c r="A313" s="27" t="s">
        <v>42</v>
      </c>
      <c r="B313" s="27" t="s">
        <v>987</v>
      </c>
      <c r="C313" s="27" t="s">
        <v>988</v>
      </c>
      <c r="D313" s="27" t="s">
        <v>989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124200</f>
        <v>124200.0</v>
      </c>
      <c r="L313" s="34" t="s">
        <v>48</v>
      </c>
      <c r="M313" s="33" t="n">
        <f>135600</f>
        <v>135600.0</v>
      </c>
      <c r="N313" s="34" t="s">
        <v>113</v>
      </c>
      <c r="O313" s="33" t="n">
        <f>123300</f>
        <v>123300.0</v>
      </c>
      <c r="P313" s="34" t="s">
        <v>314</v>
      </c>
      <c r="Q313" s="33" t="n">
        <f>125800</f>
        <v>125800.0</v>
      </c>
      <c r="R313" s="34" t="s">
        <v>50</v>
      </c>
      <c r="S313" s="35" t="n">
        <f>128578.95</f>
        <v>128578.95</v>
      </c>
      <c r="T313" s="32" t="n">
        <f>84864</f>
        <v>84864.0</v>
      </c>
      <c r="U313" s="32" t="n">
        <f>12056</f>
        <v>12056.0</v>
      </c>
      <c r="V313" s="32" t="n">
        <f>10883563955</f>
        <v>1.0883563955E10</v>
      </c>
      <c r="W313" s="32" t="n">
        <f>1549310855</f>
        <v>1.549310855E9</v>
      </c>
      <c r="X313" s="36" t="n">
        <f>19</f>
        <v>19.0</v>
      </c>
    </row>
    <row r="314">
      <c r="A314" s="27" t="s">
        <v>42</v>
      </c>
      <c r="B314" s="27" t="s">
        <v>990</v>
      </c>
      <c r="C314" s="27" t="s">
        <v>991</v>
      </c>
      <c r="D314" s="27" t="s">
        <v>992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32600</f>
        <v>32600.0</v>
      </c>
      <c r="L314" s="34" t="s">
        <v>48</v>
      </c>
      <c r="M314" s="33" t="n">
        <f>39800</f>
        <v>39800.0</v>
      </c>
      <c r="N314" s="34" t="s">
        <v>113</v>
      </c>
      <c r="O314" s="33" t="n">
        <f>30850</f>
        <v>30850.0</v>
      </c>
      <c r="P314" s="34" t="s">
        <v>50</v>
      </c>
      <c r="Q314" s="33" t="n">
        <f>30950</f>
        <v>30950.0</v>
      </c>
      <c r="R314" s="34" t="s">
        <v>50</v>
      </c>
      <c r="S314" s="35" t="n">
        <f>33981.58</f>
        <v>33981.58</v>
      </c>
      <c r="T314" s="32" t="n">
        <f>1130854</f>
        <v>1130854.0</v>
      </c>
      <c r="U314" s="32" t="n">
        <f>137678</f>
        <v>137678.0</v>
      </c>
      <c r="V314" s="32" t="n">
        <f>38796981462</f>
        <v>3.8796981462E10</v>
      </c>
      <c r="W314" s="32" t="n">
        <f>4675419362</f>
        <v>4.675419362E9</v>
      </c>
      <c r="X314" s="36" t="n">
        <f>19</f>
        <v>19.0</v>
      </c>
    </row>
    <row r="315">
      <c r="A315" s="27" t="s">
        <v>42</v>
      </c>
      <c r="B315" s="27" t="s">
        <v>993</v>
      </c>
      <c r="C315" s="27" t="s">
        <v>994</v>
      </c>
      <c r="D315" s="27" t="s">
        <v>995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350000</f>
        <v>350000.0</v>
      </c>
      <c r="L315" s="34" t="s">
        <v>48</v>
      </c>
      <c r="M315" s="33" t="n">
        <f>385000</f>
        <v>385000.0</v>
      </c>
      <c r="N315" s="34" t="s">
        <v>113</v>
      </c>
      <c r="O315" s="33" t="n">
        <f>348500</f>
        <v>348500.0</v>
      </c>
      <c r="P315" s="34" t="s">
        <v>48</v>
      </c>
      <c r="Q315" s="33" t="n">
        <f>375000</f>
        <v>375000.0</v>
      </c>
      <c r="R315" s="34" t="s">
        <v>50</v>
      </c>
      <c r="S315" s="35" t="n">
        <f>372473.68</f>
        <v>372473.68</v>
      </c>
      <c r="T315" s="32" t="n">
        <f>37340</f>
        <v>37340.0</v>
      </c>
      <c r="U315" s="32" t="n">
        <f>5120</f>
        <v>5120.0</v>
      </c>
      <c r="V315" s="32" t="n">
        <f>13895939142</f>
        <v>1.3895939142E10</v>
      </c>
      <c r="W315" s="32" t="n">
        <f>1906796142</f>
        <v>1.906796142E9</v>
      </c>
      <c r="X315" s="36" t="n">
        <f>19</f>
        <v>19.0</v>
      </c>
    </row>
    <row r="316">
      <c r="A316" s="27" t="s">
        <v>42</v>
      </c>
      <c r="B316" s="27" t="s">
        <v>996</v>
      </c>
      <c r="C316" s="27" t="s">
        <v>997</v>
      </c>
      <c r="D316" s="27" t="s">
        <v>998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113500</f>
        <v>113500.0</v>
      </c>
      <c r="L316" s="34" t="s">
        <v>48</v>
      </c>
      <c r="M316" s="33" t="n">
        <f>120800</f>
        <v>120800.0</v>
      </c>
      <c r="N316" s="34" t="s">
        <v>164</v>
      </c>
      <c r="O316" s="33" t="n">
        <f>112100</f>
        <v>112100.0</v>
      </c>
      <c r="P316" s="34" t="s">
        <v>277</v>
      </c>
      <c r="Q316" s="33" t="n">
        <f>116800</f>
        <v>116800.0</v>
      </c>
      <c r="R316" s="34" t="s">
        <v>50</v>
      </c>
      <c r="S316" s="35" t="n">
        <f>117210.53</f>
        <v>117210.53</v>
      </c>
      <c r="T316" s="32" t="n">
        <f>103370</f>
        <v>103370.0</v>
      </c>
      <c r="U316" s="32" t="n">
        <f>32772</f>
        <v>32772.0</v>
      </c>
      <c r="V316" s="32" t="n">
        <f>12060064510</f>
        <v>1.206006451E10</v>
      </c>
      <c r="W316" s="32" t="n">
        <f>3833372710</f>
        <v>3.83337271E9</v>
      </c>
      <c r="X316" s="36" t="n">
        <f>19</f>
        <v>19.0</v>
      </c>
    </row>
    <row r="317">
      <c r="A317" s="27" t="s">
        <v>42</v>
      </c>
      <c r="B317" s="27" t="s">
        <v>999</v>
      </c>
      <c r="C317" s="27" t="s">
        <v>1000</v>
      </c>
      <c r="D317" s="27" t="s">
        <v>1001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290000</f>
        <v>290000.0</v>
      </c>
      <c r="L317" s="34" t="s">
        <v>48</v>
      </c>
      <c r="M317" s="33" t="n">
        <f>308000</f>
        <v>308000.0</v>
      </c>
      <c r="N317" s="34" t="s">
        <v>277</v>
      </c>
      <c r="O317" s="33" t="n">
        <f>285800</f>
        <v>285800.0</v>
      </c>
      <c r="P317" s="34" t="s">
        <v>90</v>
      </c>
      <c r="Q317" s="33" t="n">
        <f>295000</f>
        <v>295000.0</v>
      </c>
      <c r="R317" s="34" t="s">
        <v>50</v>
      </c>
      <c r="S317" s="35" t="n">
        <f>296342.11</f>
        <v>296342.11</v>
      </c>
      <c r="T317" s="32" t="n">
        <f>74576</f>
        <v>74576.0</v>
      </c>
      <c r="U317" s="32" t="n">
        <f>15149</f>
        <v>15149.0</v>
      </c>
      <c r="V317" s="32" t="n">
        <f>22075190420</f>
        <v>2.207519042E10</v>
      </c>
      <c r="W317" s="32" t="n">
        <f>4493882920</f>
        <v>4.49388292E9</v>
      </c>
      <c r="X317" s="36" t="n">
        <f>19</f>
        <v>19.0</v>
      </c>
    </row>
    <row r="318">
      <c r="A318" s="27" t="s">
        <v>42</v>
      </c>
      <c r="B318" s="27" t="s">
        <v>1002</v>
      </c>
      <c r="C318" s="27" t="s">
        <v>1003</v>
      </c>
      <c r="D318" s="27" t="s">
        <v>1004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127600</f>
        <v>127600.0</v>
      </c>
      <c r="L318" s="34" t="s">
        <v>48</v>
      </c>
      <c r="M318" s="33" t="n">
        <f>142900</f>
        <v>142900.0</v>
      </c>
      <c r="N318" s="34" t="s">
        <v>90</v>
      </c>
      <c r="O318" s="33" t="n">
        <f>127200</f>
        <v>127200.0</v>
      </c>
      <c r="P318" s="34" t="s">
        <v>48</v>
      </c>
      <c r="Q318" s="33" t="n">
        <f>138900</f>
        <v>138900.0</v>
      </c>
      <c r="R318" s="34" t="s">
        <v>50</v>
      </c>
      <c r="S318" s="35" t="n">
        <f>136552.63</f>
        <v>136552.63</v>
      </c>
      <c r="T318" s="32" t="n">
        <f>56405</f>
        <v>56405.0</v>
      </c>
      <c r="U318" s="32" t="n">
        <f>11673</f>
        <v>11673.0</v>
      </c>
      <c r="V318" s="32" t="n">
        <f>7724765033</f>
        <v>7.724765033E9</v>
      </c>
      <c r="W318" s="32" t="n">
        <f>1597338633</f>
        <v>1.597338633E9</v>
      </c>
      <c r="X318" s="36" t="n">
        <f>19</f>
        <v>19.0</v>
      </c>
    </row>
    <row r="319">
      <c r="A319" s="27" t="s">
        <v>42</v>
      </c>
      <c r="B319" s="27" t="s">
        <v>1005</v>
      </c>
      <c r="C319" s="27" t="s">
        <v>1006</v>
      </c>
      <c r="D319" s="27" t="s">
        <v>1007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598000</f>
        <v>598000.0</v>
      </c>
      <c r="L319" s="34" t="s">
        <v>48</v>
      </c>
      <c r="M319" s="33" t="n">
        <f>672000</f>
        <v>672000.0</v>
      </c>
      <c r="N319" s="34" t="s">
        <v>49</v>
      </c>
      <c r="O319" s="33" t="n">
        <f>592000</f>
        <v>592000.0</v>
      </c>
      <c r="P319" s="34" t="s">
        <v>48</v>
      </c>
      <c r="Q319" s="33" t="n">
        <f>662000</f>
        <v>662000.0</v>
      </c>
      <c r="R319" s="34" t="s">
        <v>50</v>
      </c>
      <c r="S319" s="35" t="n">
        <f>640842.11</f>
        <v>640842.11</v>
      </c>
      <c r="T319" s="32" t="n">
        <f>31237</f>
        <v>31237.0</v>
      </c>
      <c r="U319" s="32" t="n">
        <f>6139</f>
        <v>6139.0</v>
      </c>
      <c r="V319" s="32" t="n">
        <f>19978854196</f>
        <v>1.9978854196E10</v>
      </c>
      <c r="W319" s="32" t="n">
        <f>3923116196</f>
        <v>3.923116196E9</v>
      </c>
      <c r="X319" s="36" t="n">
        <f>19</f>
        <v>19.0</v>
      </c>
    </row>
    <row r="320">
      <c r="A320" s="27" t="s">
        <v>42</v>
      </c>
      <c r="B320" s="27" t="s">
        <v>1008</v>
      </c>
      <c r="C320" s="27" t="s">
        <v>1009</v>
      </c>
      <c r="D320" s="27" t="s">
        <v>1010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67500</f>
        <v>67500.0</v>
      </c>
      <c r="L320" s="34" t="s">
        <v>48</v>
      </c>
      <c r="M320" s="33" t="n">
        <f>73900</f>
        <v>73900.0</v>
      </c>
      <c r="N320" s="34" t="s">
        <v>113</v>
      </c>
      <c r="O320" s="33" t="n">
        <f>67200</f>
        <v>67200.0</v>
      </c>
      <c r="P320" s="34" t="s">
        <v>48</v>
      </c>
      <c r="Q320" s="33" t="n">
        <f>70200</f>
        <v>70200.0</v>
      </c>
      <c r="R320" s="34" t="s">
        <v>50</v>
      </c>
      <c r="S320" s="35" t="n">
        <f>70773.68</f>
        <v>70773.68</v>
      </c>
      <c r="T320" s="32" t="n">
        <f>116810</f>
        <v>116810.0</v>
      </c>
      <c r="U320" s="32" t="n">
        <f>25857</f>
        <v>25857.0</v>
      </c>
      <c r="V320" s="32" t="n">
        <f>8261663958</f>
        <v>8.261663958E9</v>
      </c>
      <c r="W320" s="32" t="n">
        <f>1822561258</f>
        <v>1.822561258E9</v>
      </c>
      <c r="X320" s="36" t="n">
        <f>19</f>
        <v>19.0</v>
      </c>
    </row>
    <row r="321">
      <c r="A321" s="27" t="s">
        <v>42</v>
      </c>
      <c r="B321" s="27" t="s">
        <v>1011</v>
      </c>
      <c r="C321" s="27" t="s">
        <v>1012</v>
      </c>
      <c r="D321" s="27" t="s">
        <v>1013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565000</f>
        <v>565000.0</v>
      </c>
      <c r="L321" s="34" t="s">
        <v>48</v>
      </c>
      <c r="M321" s="33" t="n">
        <f>661000</f>
        <v>661000.0</v>
      </c>
      <c r="N321" s="34" t="s">
        <v>164</v>
      </c>
      <c r="O321" s="33" t="n">
        <f>564000</f>
        <v>564000.0</v>
      </c>
      <c r="P321" s="34" t="s">
        <v>48</v>
      </c>
      <c r="Q321" s="33" t="n">
        <f>599000</f>
        <v>599000.0</v>
      </c>
      <c r="R321" s="34" t="s">
        <v>50</v>
      </c>
      <c r="S321" s="35" t="n">
        <f>627631.58</f>
        <v>627631.58</v>
      </c>
      <c r="T321" s="32" t="n">
        <f>34415</f>
        <v>34415.0</v>
      </c>
      <c r="U321" s="32" t="n">
        <f>5762</f>
        <v>5762.0</v>
      </c>
      <c r="V321" s="32" t="n">
        <f>21637970414</f>
        <v>2.1637970414E10</v>
      </c>
      <c r="W321" s="32" t="n">
        <f>3606023414</f>
        <v>3.606023414E9</v>
      </c>
      <c r="X321" s="36" t="n">
        <f>19</f>
        <v>19.0</v>
      </c>
    </row>
    <row r="322">
      <c r="A322" s="27" t="s">
        <v>42</v>
      </c>
      <c r="B322" s="27" t="s">
        <v>1014</v>
      </c>
      <c r="C322" s="27" t="s">
        <v>1015</v>
      </c>
      <c r="D322" s="27" t="s">
        <v>1016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115500</f>
        <v>115500.0</v>
      </c>
      <c r="L322" s="34" t="s">
        <v>48</v>
      </c>
      <c r="M322" s="33" t="n">
        <f>126900</f>
        <v>126900.0</v>
      </c>
      <c r="N322" s="34" t="s">
        <v>164</v>
      </c>
      <c r="O322" s="33" t="n">
        <f>114800</f>
        <v>114800.0</v>
      </c>
      <c r="P322" s="34" t="s">
        <v>48</v>
      </c>
      <c r="Q322" s="33" t="n">
        <f>120500</f>
        <v>120500.0</v>
      </c>
      <c r="R322" s="34" t="s">
        <v>50</v>
      </c>
      <c r="S322" s="35" t="n">
        <f>122642.11</f>
        <v>122642.11</v>
      </c>
      <c r="T322" s="32" t="n">
        <f>49547</f>
        <v>49547.0</v>
      </c>
      <c r="U322" s="32" t="n">
        <f>8053</f>
        <v>8053.0</v>
      </c>
      <c r="V322" s="32" t="n">
        <f>6085130146</f>
        <v>6.085130146E9</v>
      </c>
      <c r="W322" s="32" t="n">
        <f>990021046</f>
        <v>9.90021046E8</v>
      </c>
      <c r="X322" s="36" t="n">
        <f>19</f>
        <v>19.0</v>
      </c>
    </row>
    <row r="323">
      <c r="A323" s="27" t="s">
        <v>42</v>
      </c>
      <c r="B323" s="27" t="s">
        <v>1017</v>
      </c>
      <c r="C323" s="27" t="s">
        <v>1018</v>
      </c>
      <c r="D323" s="27" t="s">
        <v>1019</v>
      </c>
      <c r="E323" s="28" t="s">
        <v>46</v>
      </c>
      <c r="F323" s="29" t="s">
        <v>46</v>
      </c>
      <c r="G323" s="30" t="s">
        <v>46</v>
      </c>
      <c r="H323" s="31"/>
      <c r="I323" s="31" t="s">
        <v>628</v>
      </c>
      <c r="J323" s="32" t="n">
        <v>1.0</v>
      </c>
      <c r="K323" s="33" t="n">
        <f>197800</f>
        <v>197800.0</v>
      </c>
      <c r="L323" s="34" t="s">
        <v>48</v>
      </c>
      <c r="M323" s="33" t="n">
        <f>201600</f>
        <v>201600.0</v>
      </c>
      <c r="N323" s="34" t="s">
        <v>277</v>
      </c>
      <c r="O323" s="33" t="n">
        <f>191200</f>
        <v>191200.0</v>
      </c>
      <c r="P323" s="34" t="s">
        <v>90</v>
      </c>
      <c r="Q323" s="33" t="n">
        <f>195300</f>
        <v>195300.0</v>
      </c>
      <c r="R323" s="34" t="s">
        <v>50</v>
      </c>
      <c r="S323" s="35" t="n">
        <f>197515.79</f>
        <v>197515.79</v>
      </c>
      <c r="T323" s="32" t="n">
        <f>12198</f>
        <v>12198.0</v>
      </c>
      <c r="U323" s="32" t="n">
        <f>1690</f>
        <v>1690.0</v>
      </c>
      <c r="V323" s="32" t="n">
        <f>2404275666</f>
        <v>2.404275666E9</v>
      </c>
      <c r="W323" s="32" t="n">
        <f>334092866</f>
        <v>3.34092866E8</v>
      </c>
      <c r="X323" s="36" t="n">
        <f>19</f>
        <v>19.0</v>
      </c>
    </row>
    <row r="324">
      <c r="A324" s="27" t="s">
        <v>42</v>
      </c>
      <c r="B324" s="27" t="s">
        <v>1020</v>
      </c>
      <c r="C324" s="27" t="s">
        <v>1021</v>
      </c>
      <c r="D324" s="27" t="s">
        <v>1022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241100</f>
        <v>241100.0</v>
      </c>
      <c r="L324" s="34" t="s">
        <v>48</v>
      </c>
      <c r="M324" s="33" t="n">
        <f>251900</f>
        <v>251900.0</v>
      </c>
      <c r="N324" s="34" t="s">
        <v>113</v>
      </c>
      <c r="O324" s="33" t="n">
        <f>240000</f>
        <v>240000.0</v>
      </c>
      <c r="P324" s="34" t="s">
        <v>314</v>
      </c>
      <c r="Q324" s="33" t="n">
        <f>251300</f>
        <v>251300.0</v>
      </c>
      <c r="R324" s="34" t="s">
        <v>50</v>
      </c>
      <c r="S324" s="35" t="n">
        <f>244426.32</f>
        <v>244426.32</v>
      </c>
      <c r="T324" s="32" t="n">
        <f>221586</f>
        <v>221586.0</v>
      </c>
      <c r="U324" s="32" t="n">
        <f>55548</f>
        <v>55548.0</v>
      </c>
      <c r="V324" s="32" t="n">
        <f>54345778820</f>
        <v>5.434577882E10</v>
      </c>
      <c r="W324" s="32" t="n">
        <f>13589725120</f>
        <v>1.358972512E10</v>
      </c>
      <c r="X324" s="36" t="n">
        <f>19</f>
        <v>19.0</v>
      </c>
    </row>
    <row r="325">
      <c r="A325" s="27" t="s">
        <v>42</v>
      </c>
      <c r="B325" s="27" t="s">
        <v>1023</v>
      </c>
      <c r="C325" s="27" t="s">
        <v>1024</v>
      </c>
      <c r="D325" s="27" t="s">
        <v>1025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49750</f>
        <v>49750.0</v>
      </c>
      <c r="L325" s="34" t="s">
        <v>48</v>
      </c>
      <c r="M325" s="33" t="n">
        <f>59800</f>
        <v>59800.0</v>
      </c>
      <c r="N325" s="34" t="s">
        <v>113</v>
      </c>
      <c r="O325" s="33" t="n">
        <f>49150</f>
        <v>49150.0</v>
      </c>
      <c r="P325" s="34" t="s">
        <v>48</v>
      </c>
      <c r="Q325" s="33" t="n">
        <f>51400</f>
        <v>51400.0</v>
      </c>
      <c r="R325" s="34" t="s">
        <v>50</v>
      </c>
      <c r="S325" s="35" t="n">
        <f>52807.89</f>
        <v>52807.89</v>
      </c>
      <c r="T325" s="32" t="n">
        <f>1123652</f>
        <v>1123652.0</v>
      </c>
      <c r="U325" s="32" t="n">
        <f>219173</f>
        <v>219173.0</v>
      </c>
      <c r="V325" s="32" t="n">
        <f>59632603987</f>
        <v>5.9632603987E10</v>
      </c>
      <c r="W325" s="32" t="n">
        <f>11580430437</f>
        <v>1.1580430437E10</v>
      </c>
      <c r="X325" s="36" t="n">
        <f>19</f>
        <v>19.0</v>
      </c>
    </row>
    <row r="326">
      <c r="A326" s="27" t="s">
        <v>42</v>
      </c>
      <c r="B326" s="27" t="s">
        <v>1026</v>
      </c>
      <c r="C326" s="27" t="s">
        <v>1027</v>
      </c>
      <c r="D326" s="27" t="s">
        <v>1028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102400</f>
        <v>102400.0</v>
      </c>
      <c r="L326" s="34" t="s">
        <v>48</v>
      </c>
      <c r="M326" s="33" t="n">
        <f>103800</f>
        <v>103800.0</v>
      </c>
      <c r="N326" s="34" t="s">
        <v>277</v>
      </c>
      <c r="O326" s="33" t="n">
        <f>87400</f>
        <v>87400.0</v>
      </c>
      <c r="P326" s="34" t="s">
        <v>130</v>
      </c>
      <c r="Q326" s="33" t="n">
        <f>89700</f>
        <v>89700.0</v>
      </c>
      <c r="R326" s="34" t="s">
        <v>50</v>
      </c>
      <c r="S326" s="35" t="n">
        <f>96821.05</f>
        <v>96821.05</v>
      </c>
      <c r="T326" s="32" t="n">
        <f>206232</f>
        <v>206232.0</v>
      </c>
      <c r="U326" s="32" t="n">
        <f>30471</f>
        <v>30471.0</v>
      </c>
      <c r="V326" s="32" t="n">
        <f>19524542183</f>
        <v>1.9524542183E10</v>
      </c>
      <c r="W326" s="32" t="n">
        <f>2935618383</f>
        <v>2.935618383E9</v>
      </c>
      <c r="X326" s="36" t="n">
        <f>19</f>
        <v>19.0</v>
      </c>
    </row>
    <row r="327">
      <c r="A327" s="27" t="s">
        <v>42</v>
      </c>
      <c r="B327" s="27" t="s">
        <v>1029</v>
      </c>
      <c r="C327" s="27" t="s">
        <v>1030</v>
      </c>
      <c r="D327" s="27" t="s">
        <v>1031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118000</f>
        <v>118000.0</v>
      </c>
      <c r="L327" s="34" t="s">
        <v>48</v>
      </c>
      <c r="M327" s="33" t="n">
        <f>127300</f>
        <v>127300.0</v>
      </c>
      <c r="N327" s="34" t="s">
        <v>113</v>
      </c>
      <c r="O327" s="33" t="n">
        <f>116200</f>
        <v>116200.0</v>
      </c>
      <c r="P327" s="34" t="s">
        <v>48</v>
      </c>
      <c r="Q327" s="33" t="n">
        <f>124200</f>
        <v>124200.0</v>
      </c>
      <c r="R327" s="34" t="s">
        <v>50</v>
      </c>
      <c r="S327" s="35" t="n">
        <f>122884.21</f>
        <v>122884.21</v>
      </c>
      <c r="T327" s="32" t="n">
        <f>71739</f>
        <v>71739.0</v>
      </c>
      <c r="U327" s="32" t="n">
        <f>18242</f>
        <v>18242.0</v>
      </c>
      <c r="V327" s="32" t="n">
        <f>8811427741</f>
        <v>8.811427741E9</v>
      </c>
      <c r="W327" s="32" t="n">
        <f>2238707341</f>
        <v>2.238707341E9</v>
      </c>
      <c r="X327" s="36" t="n">
        <f>19</f>
        <v>19.0</v>
      </c>
    </row>
    <row r="328">
      <c r="A328" s="27" t="s">
        <v>42</v>
      </c>
      <c r="B328" s="27" t="s">
        <v>1032</v>
      </c>
      <c r="C328" s="27" t="s">
        <v>1033</v>
      </c>
      <c r="D328" s="27" t="s">
        <v>1034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121500</f>
        <v>121500.0</v>
      </c>
      <c r="L328" s="34" t="s">
        <v>48</v>
      </c>
      <c r="M328" s="33" t="n">
        <f>124100</f>
        <v>124100.0</v>
      </c>
      <c r="N328" s="34" t="s">
        <v>97</v>
      </c>
      <c r="O328" s="33" t="n">
        <f>111400</f>
        <v>111400.0</v>
      </c>
      <c r="P328" s="34" t="s">
        <v>50</v>
      </c>
      <c r="Q328" s="33" t="n">
        <f>111400</f>
        <v>111400.0</v>
      </c>
      <c r="R328" s="34" t="s">
        <v>50</v>
      </c>
      <c r="S328" s="35" t="n">
        <f>118436.84</f>
        <v>118436.84</v>
      </c>
      <c r="T328" s="32" t="n">
        <f>37791</f>
        <v>37791.0</v>
      </c>
      <c r="U328" s="32" t="n">
        <f>383</f>
        <v>383.0</v>
      </c>
      <c r="V328" s="32" t="n">
        <f>4437453650</f>
        <v>4.43745365E9</v>
      </c>
      <c r="W328" s="32" t="n">
        <f>44936350</f>
        <v>4.493635E7</v>
      </c>
      <c r="X328" s="36" t="n">
        <f>19</f>
        <v>19.0</v>
      </c>
    </row>
    <row r="329">
      <c r="A329" s="27" t="s">
        <v>42</v>
      </c>
      <c r="B329" s="27" t="s">
        <v>1035</v>
      </c>
      <c r="C329" s="27" t="s">
        <v>1036</v>
      </c>
      <c r="D329" s="27" t="s">
        <v>1037</v>
      </c>
      <c r="E329" s="28" t="s">
        <v>46</v>
      </c>
      <c r="F329" s="29" t="s">
        <v>46</v>
      </c>
      <c r="G329" s="30" t="s">
        <v>46</v>
      </c>
      <c r="H329" s="31"/>
      <c r="I329" s="31" t="s">
        <v>628</v>
      </c>
      <c r="J329" s="32" t="n">
        <v>1.0</v>
      </c>
      <c r="K329" s="33" t="n">
        <f>59000</f>
        <v>59000.0</v>
      </c>
      <c r="L329" s="34" t="s">
        <v>48</v>
      </c>
      <c r="M329" s="33" t="n">
        <f>61000</f>
        <v>61000.0</v>
      </c>
      <c r="N329" s="34" t="s">
        <v>97</v>
      </c>
      <c r="O329" s="33" t="n">
        <f>58800</f>
        <v>58800.0</v>
      </c>
      <c r="P329" s="34" t="s">
        <v>48</v>
      </c>
      <c r="Q329" s="33" t="n">
        <f>60300</f>
        <v>60300.0</v>
      </c>
      <c r="R329" s="34" t="s">
        <v>50</v>
      </c>
      <c r="S329" s="35" t="n">
        <f>60168.42</f>
        <v>60168.42</v>
      </c>
      <c r="T329" s="32" t="n">
        <f>3665</f>
        <v>3665.0</v>
      </c>
      <c r="U329" s="32" t="n">
        <f>1</f>
        <v>1.0</v>
      </c>
      <c r="V329" s="32" t="n">
        <f>220766500</f>
        <v>2.207665E8</v>
      </c>
      <c r="W329" s="32" t="n">
        <f>60000</f>
        <v>60000.0</v>
      </c>
      <c r="X329" s="36" t="n">
        <f>19</f>
        <v>19.0</v>
      </c>
    </row>
    <row r="330">
      <c r="A330" s="27" t="s">
        <v>42</v>
      </c>
      <c r="B330" s="27" t="s">
        <v>1038</v>
      </c>
      <c r="C330" s="27" t="s">
        <v>1039</v>
      </c>
      <c r="D330" s="27" t="s">
        <v>1040</v>
      </c>
      <c r="E330" s="28" t="s">
        <v>46</v>
      </c>
      <c r="F330" s="29" t="s">
        <v>46</v>
      </c>
      <c r="G330" s="30" t="s">
        <v>46</v>
      </c>
      <c r="H330" s="31"/>
      <c r="I330" s="31" t="s">
        <v>628</v>
      </c>
      <c r="J330" s="32" t="n">
        <v>1.0</v>
      </c>
      <c r="K330" s="33" t="n">
        <f>105500</f>
        <v>105500.0</v>
      </c>
      <c r="L330" s="34" t="s">
        <v>48</v>
      </c>
      <c r="M330" s="33" t="n">
        <f>107500</f>
        <v>107500.0</v>
      </c>
      <c r="N330" s="34" t="s">
        <v>49</v>
      </c>
      <c r="O330" s="33" t="n">
        <f>104800</f>
        <v>104800.0</v>
      </c>
      <c r="P330" s="34" t="s">
        <v>164</v>
      </c>
      <c r="Q330" s="33" t="n">
        <f>107300</f>
        <v>107300.0</v>
      </c>
      <c r="R330" s="34" t="s">
        <v>50</v>
      </c>
      <c r="S330" s="35" t="n">
        <f>106184.21</f>
        <v>106184.21</v>
      </c>
      <c r="T330" s="32" t="n">
        <f>5602</f>
        <v>5602.0</v>
      </c>
      <c r="U330" s="32" t="n">
        <f>491</f>
        <v>491.0</v>
      </c>
      <c r="V330" s="32" t="n">
        <f>594759810</f>
        <v>5.9475981E8</v>
      </c>
      <c r="W330" s="32" t="n">
        <f>52290710</f>
        <v>5.229071E7</v>
      </c>
      <c r="X330" s="36" t="n">
        <f>19</f>
        <v>19.0</v>
      </c>
    </row>
    <row r="331">
      <c r="A331" s="27" t="s">
        <v>42</v>
      </c>
      <c r="B331" s="27" t="s">
        <v>1041</v>
      </c>
      <c r="C331" s="27" t="s">
        <v>1042</v>
      </c>
      <c r="D331" s="27" t="s">
        <v>1043</v>
      </c>
      <c r="E331" s="28" t="s">
        <v>46</v>
      </c>
      <c r="F331" s="29" t="s">
        <v>46</v>
      </c>
      <c r="G331" s="30" t="s">
        <v>46</v>
      </c>
      <c r="H331" s="31"/>
      <c r="I331" s="31" t="s">
        <v>628</v>
      </c>
      <c r="J331" s="32" t="n">
        <v>1.0</v>
      </c>
      <c r="K331" s="33" t="n">
        <f>131400</f>
        <v>131400.0</v>
      </c>
      <c r="L331" s="34" t="s">
        <v>48</v>
      </c>
      <c r="M331" s="33" t="n">
        <f>138100</f>
        <v>138100.0</v>
      </c>
      <c r="N331" s="34" t="s">
        <v>97</v>
      </c>
      <c r="O331" s="33" t="n">
        <f>130900</f>
        <v>130900.0</v>
      </c>
      <c r="P331" s="34" t="s">
        <v>48</v>
      </c>
      <c r="Q331" s="33" t="n">
        <f>137500</f>
        <v>137500.0</v>
      </c>
      <c r="R331" s="34" t="s">
        <v>50</v>
      </c>
      <c r="S331" s="35" t="n">
        <f>136400</f>
        <v>136400.0</v>
      </c>
      <c r="T331" s="32" t="n">
        <f>10680</f>
        <v>10680.0</v>
      </c>
      <c r="U331" s="32" t="n">
        <f>1265</f>
        <v>1265.0</v>
      </c>
      <c r="V331" s="32" t="n">
        <f>1452352504</f>
        <v>1.452352504E9</v>
      </c>
      <c r="W331" s="32" t="n">
        <f>171986104</f>
        <v>1.71986104E8</v>
      </c>
      <c r="X331" s="36" t="n">
        <f>19</f>
        <v>19.0</v>
      </c>
    </row>
    <row r="332">
      <c r="A332" s="27" t="s">
        <v>42</v>
      </c>
      <c r="B332" s="27" t="s">
        <v>1044</v>
      </c>
      <c r="C332" s="27" t="s">
        <v>1045</v>
      </c>
      <c r="D332" s="27" t="s">
        <v>1046</v>
      </c>
      <c r="E332" s="28" t="s">
        <v>46</v>
      </c>
      <c r="F332" s="29" t="s">
        <v>46</v>
      </c>
      <c r="G332" s="30" t="s">
        <v>46</v>
      </c>
      <c r="H332" s="31"/>
      <c r="I332" s="31" t="s">
        <v>628</v>
      </c>
      <c r="J332" s="32" t="n">
        <v>1.0</v>
      </c>
      <c r="K332" s="33" t="n">
        <f>94000</f>
        <v>94000.0</v>
      </c>
      <c r="L332" s="34" t="s">
        <v>48</v>
      </c>
      <c r="M332" s="33" t="n">
        <f>95300</f>
        <v>95300.0</v>
      </c>
      <c r="N332" s="34" t="s">
        <v>164</v>
      </c>
      <c r="O332" s="33" t="n">
        <f>93800</f>
        <v>93800.0</v>
      </c>
      <c r="P332" s="34" t="s">
        <v>48</v>
      </c>
      <c r="Q332" s="33" t="n">
        <f>94700</f>
        <v>94700.0</v>
      </c>
      <c r="R332" s="34" t="s">
        <v>50</v>
      </c>
      <c r="S332" s="35" t="n">
        <f>94589.47</f>
        <v>94589.47</v>
      </c>
      <c r="T332" s="32" t="n">
        <f>12086</f>
        <v>12086.0</v>
      </c>
      <c r="U332" s="32" t="str">
        <f>"－"</f>
        <v>－</v>
      </c>
      <c r="V332" s="32" t="n">
        <f>1142938000</f>
        <v>1.142938E9</v>
      </c>
      <c r="W332" s="32" t="str">
        <f>"－"</f>
        <v>－</v>
      </c>
      <c r="X332" s="36" t="n">
        <f>19</f>
        <v>19.0</v>
      </c>
    </row>
    <row r="333">
      <c r="A333" s="27" t="s">
        <v>42</v>
      </c>
      <c r="B333" s="27" t="s">
        <v>1047</v>
      </c>
      <c r="C333" s="27" t="s">
        <v>1048</v>
      </c>
      <c r="D333" s="27" t="s">
        <v>1049</v>
      </c>
      <c r="E333" s="28" t="s">
        <v>46</v>
      </c>
      <c r="F333" s="29" t="s">
        <v>46</v>
      </c>
      <c r="G333" s="30" t="s">
        <v>46</v>
      </c>
      <c r="H333" s="31"/>
      <c r="I333" s="31" t="s">
        <v>628</v>
      </c>
      <c r="J333" s="32" t="n">
        <v>1.0</v>
      </c>
      <c r="K333" s="33" t="n">
        <f>104700</f>
        <v>104700.0</v>
      </c>
      <c r="L333" s="34" t="s">
        <v>48</v>
      </c>
      <c r="M333" s="33" t="n">
        <f>106100</f>
        <v>106100.0</v>
      </c>
      <c r="N333" s="34" t="s">
        <v>277</v>
      </c>
      <c r="O333" s="33" t="n">
        <f>89500</f>
        <v>89500.0</v>
      </c>
      <c r="P333" s="34" t="s">
        <v>50</v>
      </c>
      <c r="Q333" s="33" t="n">
        <f>89500</f>
        <v>89500.0</v>
      </c>
      <c r="R333" s="34" t="s">
        <v>50</v>
      </c>
      <c r="S333" s="35" t="n">
        <f>102089.47</f>
        <v>102089.47</v>
      </c>
      <c r="T333" s="32" t="n">
        <f>23846</f>
        <v>23846.0</v>
      </c>
      <c r="U333" s="32" t="n">
        <f>1660</f>
        <v>1660.0</v>
      </c>
      <c r="V333" s="32" t="n">
        <f>2379651240</f>
        <v>2.37965124E9</v>
      </c>
      <c r="W333" s="32" t="n">
        <f>167718840</f>
        <v>1.6771884E8</v>
      </c>
      <c r="X333" s="36" t="n">
        <f>19</f>
        <v>19.0</v>
      </c>
    </row>
    <row r="334">
      <c r="A334" s="27" t="s">
        <v>42</v>
      </c>
      <c r="B334" s="27" t="s">
        <v>1050</v>
      </c>
      <c r="C334" s="27" t="s">
        <v>1051</v>
      </c>
      <c r="D334" s="27" t="s">
        <v>1052</v>
      </c>
      <c r="E334" s="28" t="s">
        <v>46</v>
      </c>
      <c r="F334" s="29" t="s">
        <v>46</v>
      </c>
      <c r="G334" s="30" t="s">
        <v>46</v>
      </c>
      <c r="H334" s="31"/>
      <c r="I334" s="31" t="s">
        <v>628</v>
      </c>
      <c r="J334" s="32" t="n">
        <v>1.0</v>
      </c>
      <c r="K334" s="33" t="n">
        <f>102500</f>
        <v>102500.0</v>
      </c>
      <c r="L334" s="34" t="s">
        <v>48</v>
      </c>
      <c r="M334" s="33" t="n">
        <f>105800</f>
        <v>105800.0</v>
      </c>
      <c r="N334" s="34" t="s">
        <v>129</v>
      </c>
      <c r="O334" s="33" t="n">
        <f>97700</f>
        <v>97700.0</v>
      </c>
      <c r="P334" s="34" t="s">
        <v>49</v>
      </c>
      <c r="Q334" s="33" t="n">
        <f>98200</f>
        <v>98200.0</v>
      </c>
      <c r="R334" s="34" t="s">
        <v>50</v>
      </c>
      <c r="S334" s="35" t="n">
        <f>101673.68</f>
        <v>101673.68</v>
      </c>
      <c r="T334" s="32" t="n">
        <f>5204</f>
        <v>5204.0</v>
      </c>
      <c r="U334" s="32" t="n">
        <f>1</f>
        <v>1.0</v>
      </c>
      <c r="V334" s="32" t="n">
        <f>528988700</f>
        <v>5.289887E8</v>
      </c>
      <c r="W334" s="32" t="n">
        <f>101500</f>
        <v>101500.0</v>
      </c>
      <c r="X334" s="36" t="n">
        <f>19</f>
        <v>19.0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