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<sst xmlns="http://schemas.openxmlformats.org/spreadsheetml/2006/main" count="3994" uniqueCount="1053">
  <si>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</si>
  <si>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</si>
  <si>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</si>
  <si>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</si>
  <si>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</si>
  <si>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</si>
  <si>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</si>
  <si>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</si>
  <si>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</si>
  <si>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</si>
  <si>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</si>
  <si>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</si>
  <si>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</si>
  <si>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</si>
  <si>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</si>
  <si>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</si>
  <si>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</si>
  <si>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</si>
  <si>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</si>
  <si>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</si>
  <si>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</si>
  <si>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</si>
  <si>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</si>
  <si>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</si>
  <si>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</si>
  <si>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</si>
  <si>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</si>
  <si>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</si>
  <si>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</si>
  <si>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</si>
  <si>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</si>
  <si>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</si>
  <si>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</si>
  <si>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</si>
  <si>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</si>
  <si>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</si>
  <si>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</si>
  <si>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</si>
  <si>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</si>
  <si>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</si>
  <si>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</si>
  <si>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</si>
  <si>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2020/12</t>
  </si>
  <si>
    <t>1305</t>
  </si>
  <si>
    <t>ダイワ上場投信－トピックス　受益証券</t>
  </si>
  <si>
    <t>Daiwa ETF-TOPIX</t>
  </si>
  <si>
    <t/>
  </si>
  <si>
    <t>貸借</t>
  </si>
  <si>
    <t>1</t>
  </si>
  <si>
    <t>29</t>
  </si>
  <si>
    <t>8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</si>
  <si>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</si>
  <si>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</si>
  <si>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</si>
  <si>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</si>
  <si>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</si>
  <si>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</si>
  <si>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</si>
  <si>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</si>
  <si>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</si>
  <si>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</si>
  <si>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7</t>
  </si>
  <si>
    <t>23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</si>
  <si>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</si>
  <si>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</si>
  <si>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</si>
  <si>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</si>
  <si>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</si>
  <si>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</si>
  <si>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3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</si>
  <si>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</si>
  <si>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</si>
  <si>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</si>
  <si>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</si>
  <si>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</si>
  <si>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</si>
  <si>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24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</si>
  <si>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</si>
  <si>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</si>
  <si>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</si>
  <si>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</si>
  <si>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</si>
  <si>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</si>
  <si>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</si>
  <si>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</si>
  <si>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</si>
  <si>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22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</si>
  <si>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</si>
  <si>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</si>
  <si>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</si>
  <si>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</si>
  <si>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</si>
  <si>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</si>
  <si>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18</t>
  </si>
  <si>
    <t>1325</t>
  </si>
  <si>
    <t>ＮＥＸＴ　ＦＵＮＤＳ　ブラジル株式指数・ボベスパ連動型上場投信　受益証券</t>
  </si>
  <si>
    <t>NEXT FUNDS Ibovespa Linked Exchange Traded Fund</t>
  </si>
  <si>
    <t>21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</si>
  <si>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</si>
  <si>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</si>
  <si>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</si>
  <si>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</si>
  <si>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</si>
  <si>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</si>
  <si>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</si>
  <si>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</si>
  <si>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</si>
  <si>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</si>
  <si>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</si>
  <si>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</si>
  <si>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</si>
  <si>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</si>
  <si>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</si>
  <si>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</si>
  <si>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</si>
  <si>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</si>
  <si>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</si>
  <si>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</si>
  <si>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</si>
  <si>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</si>
  <si>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</si>
  <si>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</si>
  <si>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</si>
  <si>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</si>
  <si>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</si>
  <si>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</si>
  <si>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</si>
  <si>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</si>
  <si>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</si>
  <si>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</si>
  <si>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</si>
  <si>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15</t>
  </si>
  <si>
    <t>4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</si>
  <si>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</si>
  <si>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</si>
  <si>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</si>
  <si>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</si>
  <si>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</si>
  <si>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</si>
  <si>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</si>
  <si>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</si>
  <si>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</si>
  <si>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</si>
  <si>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</si>
  <si>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</si>
  <si>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</si>
  <si>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</si>
  <si>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</si>
  <si>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</si>
  <si>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</si>
  <si>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</si>
  <si>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</si>
  <si>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</si>
  <si>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</si>
  <si>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</si>
  <si>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</si>
  <si>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</si>
  <si>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</si>
  <si>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</si>
  <si>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</si>
  <si>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</si>
  <si>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</si>
  <si>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</si>
  <si>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</si>
  <si>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</si>
  <si>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</si>
  <si>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</si>
  <si>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</si>
  <si>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</si>
  <si>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</si>
  <si>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</si>
  <si>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</si>
  <si>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</si>
  <si>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</si>
  <si>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</si>
  <si>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</si>
  <si>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</si>
  <si>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</si>
  <si>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</si>
  <si>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9</t>
  </si>
  <si>
    <t>1390</t>
  </si>
  <si>
    <t>ＵＢＳ　ＥＴＦ　ＭＳＣＩアジア太平洋株（除く日本）　受益証券</t>
  </si>
  <si>
    <t>UBS ETF MSCI Pacific (ex Japan) UCITS ETF-JDR</t>
  </si>
  <si>
    <t>14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</si>
  <si>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</si>
  <si>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</si>
  <si>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</si>
  <si>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</si>
  <si>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</si>
  <si>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</si>
  <si>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</si>
  <si>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</si>
  <si>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</si>
  <si>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</si>
  <si>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</si>
  <si>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</si>
  <si>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28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</si>
  <si>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</si>
  <si>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</si>
  <si>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</si>
  <si>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</si>
  <si>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</si>
  <si>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</si>
  <si>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</si>
  <si>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</si>
  <si>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</si>
  <si>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</si>
  <si>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</si>
  <si>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</si>
  <si>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</si>
  <si>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</si>
  <si>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</si>
  <si>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</si>
  <si>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</si>
  <si>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</si>
  <si>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</si>
  <si>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</si>
  <si>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</si>
  <si>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</si>
  <si>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</si>
  <si>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</si>
  <si>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16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</si>
  <si>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</si>
  <si>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</si>
  <si>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</si>
  <si>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</si>
  <si>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</si>
  <si>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</si>
  <si>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</si>
  <si>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</si>
  <si>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</si>
  <si>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</si>
  <si>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</si>
  <si>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</si>
  <si>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</si>
  <si>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</si>
  <si>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</si>
  <si>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</si>
  <si>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</si>
  <si>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</si>
  <si>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</si>
  <si>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</si>
  <si>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</si>
  <si>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</si>
  <si>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</si>
  <si>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</si>
  <si>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</si>
  <si>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</si>
  <si>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</si>
  <si>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</si>
  <si>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</si>
  <si>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</si>
  <si>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</si>
  <si>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</si>
  <si>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</si>
  <si>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</si>
  <si>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</si>
  <si>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</si>
  <si>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</si>
  <si>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</si>
  <si>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</si>
  <si>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</si>
  <si>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</si>
  <si>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</si>
  <si>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</si>
  <si>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</si>
  <si>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</si>
  <si>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</si>
  <si>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</si>
  <si>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</si>
  <si>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</si>
  <si>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</si>
  <si>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</si>
  <si>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</si>
  <si>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</si>
  <si>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</si>
  <si>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</si>
  <si>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</si>
  <si>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</si>
  <si>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</si>
  <si>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</si>
  <si>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</si>
  <si>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</si>
  <si>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</si>
  <si>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</si>
  <si>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</si>
  <si>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</si>
  <si>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</si>
  <si>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</si>
  <si>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</si>
  <si>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</si>
  <si>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</si>
  <si>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</si>
  <si>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</si>
  <si>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</si>
  <si>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</si>
  <si>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</si>
  <si>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</si>
  <si>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</si>
  <si>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</si>
  <si>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</si>
  <si>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</si>
  <si>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</si>
  <si>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</si>
  <si>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17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</si>
  <si>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</si>
  <si>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</si>
  <si>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</si>
  <si>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</si>
  <si>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</si>
  <si>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</si>
  <si>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</si>
  <si>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</si>
  <si>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</si>
  <si>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</si>
  <si>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</si>
  <si>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</si>
  <si>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</si>
  <si>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</si>
  <si>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</si>
  <si>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</si>
  <si>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</si>
  <si>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</si>
  <si>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25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</si>
  <si>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</si>
  <si>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</si>
  <si>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</si>
  <si>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</si>
  <si>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</si>
  <si>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</si>
  <si>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</si>
  <si>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</si>
  <si>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</si>
  <si>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</si>
  <si>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</si>
  <si>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</si>
  <si>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</si>
  <si>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</si>
  <si>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</si>
  <si>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</si>
  <si>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</si>
  <si>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</si>
  <si>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</si>
  <si>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</si>
  <si>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</si>
  <si>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11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</si>
  <si>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</si>
  <si>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</si>
  <si>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</si>
  <si>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</si>
  <si>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</si>
  <si>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</si>
  <si>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</si>
  <si>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</si>
  <si>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</si>
  <si>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</si>
  <si>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</si>
  <si>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</si>
  <si>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</si>
  <si>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</si>
  <si>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</si>
  <si>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</si>
  <si>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</si>
  <si>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</si>
  <si>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</si>
  <si>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</si>
  <si>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</si>
  <si>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</si>
  <si>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</si>
  <si>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</si>
  <si>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</si>
  <si>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</si>
  <si>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</si>
  <si>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</si>
  <si>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</si>
  <si>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</si>
  <si>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</si>
  <si>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</si>
  <si>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</si>
  <si>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</si>
  <si>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</si>
  <si>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</si>
  <si>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</si>
  <si>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</si>
  <si>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</si>
  <si>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</si>
  <si>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</si>
  <si>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</si>
  <si>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</si>
  <si>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</si>
  <si>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</si>
  <si>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</si>
  <si>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</si>
  <si>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</si>
  <si>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</si>
  <si>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</si>
  <si>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</si>
  <si>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</si>
  <si>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</si>
  <si>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</si>
  <si>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</si>
  <si>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</si>
  <si>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</si>
  <si>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</si>
  <si>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</si>
  <si>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</si>
  <si>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</si>
  <si>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</si>
  <si>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</si>
  <si>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</si>
  <si>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</si>
  <si>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</si>
  <si>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</si>
  <si>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</si>
  <si>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</si>
  <si>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</si>
  <si>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</si>
  <si>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</si>
  <si>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</si>
  <si>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</si>
  <si>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</si>
  <si>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</si>
  <si>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</si>
  <si>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</si>
  <si>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</si>
  <si>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</si>
  <si>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</si>
  <si>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</si>
  <si>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</si>
  <si>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</si>
  <si>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</si>
  <si>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</si>
  <si>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</si>
  <si>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</si>
  <si>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</si>
  <si>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</si>
  <si>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</si>
  <si>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</si>
  <si>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</si>
  <si>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</si>
  <si>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</si>
  <si>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</si>
  <si>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</si>
  <si>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</si>
  <si>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</si>
  <si>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</si>
  <si>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</si>
  <si>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</si>
  <si>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</si>
  <si>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</si>
  <si>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</si>
  <si>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</si>
  <si>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</si>
  <si>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</si>
  <si>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</si>
  <si>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</si>
  <si>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</si>
  <si>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</si>
  <si>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</si>
  <si>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</si>
  <si>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</si>
  <si>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</si>
  <si>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</si>
  <si>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</si>
  <si>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</si>
  <si>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</si>
  <si>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</si>
  <si>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</si>
  <si>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</si>
  <si>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</si>
  <si>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</si>
  <si>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</si>
  <si>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</si>
  <si>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</si>
  <si>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</si>
  <si>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</si>
  <si>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</si>
  <si>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</si>
  <si>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</si>
  <si>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</si>
  <si>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</si>
  <si>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</si>
  <si>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</si>
  <si>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</si>
  <si>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</si>
  <si>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</si>
  <si>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</si>
  <si>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</si>
  <si>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</si>
  <si>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</si>
  <si>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</si>
  <si>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</si>
  <si>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</si>
  <si>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</si>
  <si>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</si>
  <si>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</si>
  <si>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</si>
  <si>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</si>
  <si>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</si>
  <si>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</si>
  <si>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</si>
  <si>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</si>
  <si>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</si>
  <si>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</si>
  <si>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</si>
  <si>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</si>
  <si>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</si>
  <si>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</si>
  <si>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</si>
  <si>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</si>
  <si>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</si>
  <si>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</si>
  <si>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</si>
  <si>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</si>
  <si>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</si>
  <si>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</si>
  <si>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</si>
  <si>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</si>
  <si>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</si>
  <si>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</si>
  <si>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</si>
  <si>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</si>
  <si>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</si>
  <si>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</si>
  <si>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</si>
  <si>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</si>
  <si>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</si>
  <si>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</si>
  <si>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</si>
  <si>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</si>
  <si>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</si>
  <si>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</si>
  <si>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</si>
  <si>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</si>
  <si>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</si>
  <si>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</si>
  <si>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</si>
  <si>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</si>
  <si>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</si>
  <si>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</si>
  <si>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</si>
  <si>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</si>
  <si>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</si>
  <si>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</si>
  <si>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確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</si>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</sst>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3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1851</f>
        <v>1851.0</v>
      </c>
      <c r="L7" s="34" t="s">
        <v>48</v>
      </c>
      <c r="M7" s="33" t="n">
        <f>1914</f>
        <v>1914.0</v>
      </c>
      <c r="N7" s="34" t="s">
        <v>49</v>
      </c>
      <c r="O7" s="33" t="n">
        <f>1841</f>
        <v>1841.0</v>
      </c>
      <c r="P7" s="34" t="s">
        <v>50</v>
      </c>
      <c r="Q7" s="33" t="n">
        <f>1897</f>
        <v>1897.0</v>
      </c>
      <c r="R7" s="34" t="s">
        <v>51</v>
      </c>
      <c r="S7" s="35" t="n">
        <f>1870.14</f>
        <v>1870.14</v>
      </c>
      <c r="T7" s="32" t="n">
        <f>5187660</f>
        <v>5187660.0</v>
      </c>
      <c r="U7" s="32" t="n">
        <f>272010</f>
        <v>272010.0</v>
      </c>
      <c r="V7" s="32" t="n">
        <f>9705785245</f>
        <v>9.705785245E9</v>
      </c>
      <c r="W7" s="32" t="n">
        <f>512113865</f>
        <v>5.12113865E8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1831</f>
        <v>1831.0</v>
      </c>
      <c r="L8" s="34" t="s">
        <v>48</v>
      </c>
      <c r="M8" s="33" t="n">
        <f>1891</f>
        <v>1891.0</v>
      </c>
      <c r="N8" s="34" t="s">
        <v>49</v>
      </c>
      <c r="O8" s="33" t="n">
        <f>1819</f>
        <v>1819.0</v>
      </c>
      <c r="P8" s="34" t="s">
        <v>50</v>
      </c>
      <c r="Q8" s="33" t="n">
        <f>1875</f>
        <v>1875.0</v>
      </c>
      <c r="R8" s="34" t="s">
        <v>51</v>
      </c>
      <c r="S8" s="35" t="n">
        <f>1849.45</f>
        <v>1849.45</v>
      </c>
      <c r="T8" s="32" t="n">
        <f>71621240</f>
        <v>7.162124E7</v>
      </c>
      <c r="U8" s="32" t="n">
        <f>34221770</f>
        <v>3.422177E7</v>
      </c>
      <c r="V8" s="32" t="n">
        <f>132148920768</f>
        <v>1.32148920768E11</v>
      </c>
      <c r="W8" s="32" t="n">
        <f>63082308568</f>
        <v>6.3082308568E10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1811</f>
        <v>1811.0</v>
      </c>
      <c r="L9" s="34" t="s">
        <v>48</v>
      </c>
      <c r="M9" s="33" t="n">
        <f>1870</f>
        <v>1870.0</v>
      </c>
      <c r="N9" s="34" t="s">
        <v>49</v>
      </c>
      <c r="O9" s="33" t="n">
        <f>1800</f>
        <v>1800.0</v>
      </c>
      <c r="P9" s="34" t="s">
        <v>50</v>
      </c>
      <c r="Q9" s="33" t="n">
        <f>1857</f>
        <v>1857.0</v>
      </c>
      <c r="R9" s="34" t="s">
        <v>51</v>
      </c>
      <c r="S9" s="35" t="n">
        <f>1829.86</f>
        <v>1829.86</v>
      </c>
      <c r="T9" s="32" t="n">
        <f>13267000</f>
        <v>1.3267E7</v>
      </c>
      <c r="U9" s="32" t="n">
        <f>6518200</f>
        <v>6518200.0</v>
      </c>
      <c r="V9" s="32" t="n">
        <f>24326970350</f>
        <v>2.432697035E10</v>
      </c>
      <c r="W9" s="32" t="n">
        <f>11986967750</f>
        <v>1.198696775E10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41400</f>
        <v>41400.0</v>
      </c>
      <c r="L10" s="34" t="s">
        <v>48</v>
      </c>
      <c r="M10" s="33" t="n">
        <f>43000</f>
        <v>43000.0</v>
      </c>
      <c r="N10" s="34" t="s">
        <v>61</v>
      </c>
      <c r="O10" s="33" t="n">
        <f>41200</f>
        <v>41200.0</v>
      </c>
      <c r="P10" s="34" t="s">
        <v>62</v>
      </c>
      <c r="Q10" s="33" t="n">
        <f>42300</f>
        <v>42300.0</v>
      </c>
      <c r="R10" s="34" t="s">
        <v>51</v>
      </c>
      <c r="S10" s="35" t="n">
        <f>42079.55</f>
        <v>42079.55</v>
      </c>
      <c r="T10" s="32" t="n">
        <f>8096</f>
        <v>8096.0</v>
      </c>
      <c r="U10" s="32" t="str">
        <f>"－"</f>
        <v>－</v>
      </c>
      <c r="V10" s="32" t="n">
        <f>340591150</f>
        <v>3.4059115E8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804</f>
        <v>804.0</v>
      </c>
      <c r="L11" s="34" t="s">
        <v>48</v>
      </c>
      <c r="M11" s="33" t="n">
        <f>846</f>
        <v>846.0</v>
      </c>
      <c r="N11" s="34" t="s">
        <v>49</v>
      </c>
      <c r="O11" s="33" t="n">
        <f>794</f>
        <v>794.0</v>
      </c>
      <c r="P11" s="34" t="s">
        <v>50</v>
      </c>
      <c r="Q11" s="33" t="n">
        <f>841</f>
        <v>841.0</v>
      </c>
      <c r="R11" s="34" t="s">
        <v>51</v>
      </c>
      <c r="S11" s="35" t="n">
        <f>817.64</f>
        <v>817.64</v>
      </c>
      <c r="T11" s="32" t="n">
        <f>136330</f>
        <v>136330.0</v>
      </c>
      <c r="U11" s="32" t="str">
        <f>"－"</f>
        <v>－</v>
      </c>
      <c r="V11" s="32" t="n">
        <f>111904920</f>
        <v>1.1190492E8</v>
      </c>
      <c r="W11" s="32" t="str">
        <f>"－"</f>
        <v>－</v>
      </c>
      <c r="X11" s="36" t="n">
        <f>22</f>
        <v>22.0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19710</f>
        <v>19710.0</v>
      </c>
      <c r="L12" s="34" t="s">
        <v>48</v>
      </c>
      <c r="M12" s="33" t="n">
        <f>20420</f>
        <v>20420.0</v>
      </c>
      <c r="N12" s="34" t="s">
        <v>69</v>
      </c>
      <c r="O12" s="33" t="n">
        <f>19610</f>
        <v>19610.0</v>
      </c>
      <c r="P12" s="34" t="s">
        <v>62</v>
      </c>
      <c r="Q12" s="33" t="n">
        <f>20250</f>
        <v>20250.0</v>
      </c>
      <c r="R12" s="34" t="s">
        <v>51</v>
      </c>
      <c r="S12" s="35" t="n">
        <f>20041.36</f>
        <v>20041.36</v>
      </c>
      <c r="T12" s="32" t="n">
        <f>721</f>
        <v>721.0</v>
      </c>
      <c r="U12" s="32" t="str">
        <f>"－"</f>
        <v>－</v>
      </c>
      <c r="V12" s="32" t="n">
        <f>14419000</f>
        <v>1.4419E7</v>
      </c>
      <c r="W12" s="32" t="str">
        <f>"－"</f>
        <v>－</v>
      </c>
      <c r="X12" s="36" t="n">
        <f>22</f>
        <v>22.0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3320</f>
        <v>3320.0</v>
      </c>
      <c r="L13" s="34" t="s">
        <v>48</v>
      </c>
      <c r="M13" s="33" t="n">
        <f>3735</f>
        <v>3735.0</v>
      </c>
      <c r="N13" s="34" t="s">
        <v>51</v>
      </c>
      <c r="O13" s="33" t="n">
        <f>3305</f>
        <v>3305.0</v>
      </c>
      <c r="P13" s="34" t="s">
        <v>48</v>
      </c>
      <c r="Q13" s="33" t="n">
        <f>3735</f>
        <v>3735.0</v>
      </c>
      <c r="R13" s="34" t="s">
        <v>51</v>
      </c>
      <c r="S13" s="35" t="n">
        <f>3516.36</f>
        <v>3516.36</v>
      </c>
      <c r="T13" s="32" t="n">
        <f>4610</f>
        <v>4610.0</v>
      </c>
      <c r="U13" s="32" t="str">
        <f>"－"</f>
        <v>－</v>
      </c>
      <c r="V13" s="32" t="n">
        <f>16247550</f>
        <v>1.624755E7</v>
      </c>
      <c r="W13" s="32" t="str">
        <f>"－"</f>
        <v>－</v>
      </c>
      <c r="X13" s="36" t="n">
        <f>22</f>
        <v>22.0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333</f>
        <v>333.0</v>
      </c>
      <c r="L14" s="34" t="s">
        <v>48</v>
      </c>
      <c r="M14" s="33" t="n">
        <f>341</f>
        <v>341.0</v>
      </c>
      <c r="N14" s="34" t="s">
        <v>51</v>
      </c>
      <c r="O14" s="33" t="n">
        <f>330</f>
        <v>330.0</v>
      </c>
      <c r="P14" s="34" t="s">
        <v>76</v>
      </c>
      <c r="Q14" s="33" t="n">
        <f>339</f>
        <v>339.0</v>
      </c>
      <c r="R14" s="34" t="s">
        <v>51</v>
      </c>
      <c r="S14" s="35" t="n">
        <f>334.62</f>
        <v>334.62</v>
      </c>
      <c r="T14" s="32" t="n">
        <f>109000</f>
        <v>109000.0</v>
      </c>
      <c r="U14" s="32" t="str">
        <f>"－"</f>
        <v>－</v>
      </c>
      <c r="V14" s="32" t="n">
        <f>36663000</f>
        <v>3.6663E7</v>
      </c>
      <c r="W14" s="32" t="str">
        <f>"－"</f>
        <v>－</v>
      </c>
      <c r="X14" s="36" t="n">
        <f>21</f>
        <v>21.0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27360</f>
        <v>27360.0</v>
      </c>
      <c r="L15" s="34" t="s">
        <v>48</v>
      </c>
      <c r="M15" s="33" t="n">
        <f>28380</f>
        <v>28380.0</v>
      </c>
      <c r="N15" s="34" t="s">
        <v>49</v>
      </c>
      <c r="O15" s="33" t="n">
        <f>27050</f>
        <v>27050.0</v>
      </c>
      <c r="P15" s="34" t="s">
        <v>50</v>
      </c>
      <c r="Q15" s="33" t="n">
        <f>28260</f>
        <v>28260.0</v>
      </c>
      <c r="R15" s="34" t="s">
        <v>51</v>
      </c>
      <c r="S15" s="35" t="n">
        <f>27511.82</f>
        <v>27511.82</v>
      </c>
      <c r="T15" s="32" t="n">
        <f>1989153</f>
        <v>1989153.0</v>
      </c>
      <c r="U15" s="32" t="n">
        <f>922790</f>
        <v>922790.0</v>
      </c>
      <c r="V15" s="32" t="n">
        <f>54547097564</f>
        <v>5.4547097564E10</v>
      </c>
      <c r="W15" s="32" t="n">
        <f>25255454894</f>
        <v>2.5255454894E10</v>
      </c>
      <c r="X15" s="36" t="n">
        <f>22</f>
        <v>22.0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27420</f>
        <v>27420.0</v>
      </c>
      <c r="L16" s="34" t="s">
        <v>48</v>
      </c>
      <c r="M16" s="33" t="n">
        <f>28460</f>
        <v>28460.0</v>
      </c>
      <c r="N16" s="34" t="s">
        <v>49</v>
      </c>
      <c r="O16" s="33" t="n">
        <f>27100</f>
        <v>27100.0</v>
      </c>
      <c r="P16" s="34" t="s">
        <v>50</v>
      </c>
      <c r="Q16" s="33" t="n">
        <f>28340</f>
        <v>28340.0</v>
      </c>
      <c r="R16" s="34" t="s">
        <v>51</v>
      </c>
      <c r="S16" s="35" t="n">
        <f>27570.45</f>
        <v>27570.45</v>
      </c>
      <c r="T16" s="32" t="n">
        <f>5386180</f>
        <v>5386180.0</v>
      </c>
      <c r="U16" s="32" t="n">
        <f>671708</f>
        <v>671708.0</v>
      </c>
      <c r="V16" s="32" t="n">
        <f>148503193092</f>
        <v>1.48503193092E11</v>
      </c>
      <c r="W16" s="32" t="n">
        <f>18517316242</f>
        <v>1.8517316242E10</v>
      </c>
      <c r="X16" s="36" t="n">
        <f>22</f>
        <v>22.0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7690</f>
        <v>7690.0</v>
      </c>
      <c r="L17" s="34" t="s">
        <v>48</v>
      </c>
      <c r="M17" s="33" t="n">
        <f>8000</f>
        <v>8000.0</v>
      </c>
      <c r="N17" s="34" t="s">
        <v>61</v>
      </c>
      <c r="O17" s="33" t="n">
        <f>7550</f>
        <v>7550.0</v>
      </c>
      <c r="P17" s="34" t="s">
        <v>86</v>
      </c>
      <c r="Q17" s="33" t="n">
        <f>7910</f>
        <v>7910.0</v>
      </c>
      <c r="R17" s="34" t="s">
        <v>51</v>
      </c>
      <c r="S17" s="35" t="n">
        <f>7796.36</f>
        <v>7796.36</v>
      </c>
      <c r="T17" s="32" t="n">
        <f>20030</f>
        <v>20030.0</v>
      </c>
      <c r="U17" s="32" t="n">
        <f>30</f>
        <v>30.0</v>
      </c>
      <c r="V17" s="32" t="n">
        <f>156334300</f>
        <v>1.563343E8</v>
      </c>
      <c r="W17" s="32" t="n">
        <f>233500</f>
        <v>233500.0</v>
      </c>
      <c r="X17" s="36" t="n">
        <f>22</f>
        <v>22.0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345</f>
        <v>345.0</v>
      </c>
      <c r="L18" s="34" t="s">
        <v>48</v>
      </c>
      <c r="M18" s="33" t="n">
        <f>391</f>
        <v>391.0</v>
      </c>
      <c r="N18" s="34" t="s">
        <v>51</v>
      </c>
      <c r="O18" s="33" t="n">
        <f>343</f>
        <v>343.0</v>
      </c>
      <c r="P18" s="34" t="s">
        <v>48</v>
      </c>
      <c r="Q18" s="33" t="n">
        <f>387</f>
        <v>387.0</v>
      </c>
      <c r="R18" s="34" t="s">
        <v>51</v>
      </c>
      <c r="S18" s="35" t="n">
        <f>362.91</f>
        <v>362.91</v>
      </c>
      <c r="T18" s="32" t="n">
        <f>89700</f>
        <v>89700.0</v>
      </c>
      <c r="U18" s="32" t="str">
        <f>"－"</f>
        <v>－</v>
      </c>
      <c r="V18" s="32" t="n">
        <f>32991700</f>
        <v>3.29917E7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132</f>
        <v>132.0</v>
      </c>
      <c r="L19" s="34" t="s">
        <v>48</v>
      </c>
      <c r="M19" s="33" t="n">
        <f>138</f>
        <v>138.0</v>
      </c>
      <c r="N19" s="34" t="s">
        <v>93</v>
      </c>
      <c r="O19" s="33" t="n">
        <f>131</f>
        <v>131.0</v>
      </c>
      <c r="P19" s="34" t="s">
        <v>48</v>
      </c>
      <c r="Q19" s="33" t="n">
        <f>135</f>
        <v>135.0</v>
      </c>
      <c r="R19" s="34" t="s">
        <v>51</v>
      </c>
      <c r="S19" s="35" t="n">
        <f>134.82</f>
        <v>134.82</v>
      </c>
      <c r="T19" s="32" t="n">
        <f>385100</f>
        <v>385100.0</v>
      </c>
      <c r="U19" s="32" t="str">
        <f>"－"</f>
        <v>－</v>
      </c>
      <c r="V19" s="32" t="n">
        <f>51936300</f>
        <v>5.19363E7</v>
      </c>
      <c r="W19" s="32" t="str">
        <f>"－"</f>
        <v>－</v>
      </c>
      <c r="X19" s="36" t="n">
        <f>22</f>
        <v>22.0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154</f>
        <v>154.0</v>
      </c>
      <c r="L20" s="34" t="s">
        <v>48</v>
      </c>
      <c r="M20" s="33" t="n">
        <f>183</f>
        <v>183.0</v>
      </c>
      <c r="N20" s="34" t="s">
        <v>97</v>
      </c>
      <c r="O20" s="33" t="n">
        <f>151</f>
        <v>151.0</v>
      </c>
      <c r="P20" s="34" t="s">
        <v>48</v>
      </c>
      <c r="Q20" s="33" t="n">
        <f>174</f>
        <v>174.0</v>
      </c>
      <c r="R20" s="34" t="s">
        <v>51</v>
      </c>
      <c r="S20" s="35" t="n">
        <f>166.82</f>
        <v>166.82</v>
      </c>
      <c r="T20" s="32" t="n">
        <f>1237800</f>
        <v>1237800.0</v>
      </c>
      <c r="U20" s="32" t="n">
        <f>300</f>
        <v>300.0</v>
      </c>
      <c r="V20" s="32" t="n">
        <f>209319700</f>
        <v>2.093197E8</v>
      </c>
      <c r="W20" s="32" t="n">
        <f>52000</f>
        <v>52000.0</v>
      </c>
      <c r="X20" s="36" t="n">
        <f>22</f>
        <v>22.0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17400</f>
        <v>17400.0</v>
      </c>
      <c r="L21" s="34" t="s">
        <v>48</v>
      </c>
      <c r="M21" s="33" t="n">
        <f>18480</f>
        <v>18480.0</v>
      </c>
      <c r="N21" s="34" t="s">
        <v>97</v>
      </c>
      <c r="O21" s="33" t="n">
        <f>17390</f>
        <v>17390.0</v>
      </c>
      <c r="P21" s="34" t="s">
        <v>48</v>
      </c>
      <c r="Q21" s="33" t="n">
        <f>18250</f>
        <v>18250.0</v>
      </c>
      <c r="R21" s="34" t="s">
        <v>51</v>
      </c>
      <c r="S21" s="35" t="n">
        <f>18089.09</f>
        <v>18089.09</v>
      </c>
      <c r="T21" s="32" t="n">
        <f>262973</f>
        <v>262973.0</v>
      </c>
      <c r="U21" s="32" t="str">
        <f>"－"</f>
        <v>－</v>
      </c>
      <c r="V21" s="32" t="n">
        <f>4766259500</f>
        <v>4.7662595E9</v>
      </c>
      <c r="W21" s="32" t="str">
        <f>"－"</f>
        <v>－</v>
      </c>
      <c r="X21" s="36" t="n">
        <f>22</f>
        <v>22.0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2716</f>
        <v>2716.0</v>
      </c>
      <c r="L22" s="34" t="s">
        <v>48</v>
      </c>
      <c r="M22" s="33" t="n">
        <f>2964</f>
        <v>2964.0</v>
      </c>
      <c r="N22" s="34" t="s">
        <v>93</v>
      </c>
      <c r="O22" s="33" t="n">
        <f>2659</f>
        <v>2659.0</v>
      </c>
      <c r="P22" s="34" t="s">
        <v>69</v>
      </c>
      <c r="Q22" s="33" t="n">
        <f>2872</f>
        <v>2872.0</v>
      </c>
      <c r="R22" s="34" t="s">
        <v>51</v>
      </c>
      <c r="S22" s="35" t="n">
        <f>2865.81</f>
        <v>2865.81</v>
      </c>
      <c r="T22" s="32" t="n">
        <f>5196</f>
        <v>5196.0</v>
      </c>
      <c r="U22" s="32" t="str">
        <f>"－"</f>
        <v>－</v>
      </c>
      <c r="V22" s="32" t="n">
        <f>14695426</f>
        <v>1.4695426E7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4745</f>
        <v>4745.0</v>
      </c>
      <c r="L23" s="34" t="s">
        <v>48</v>
      </c>
      <c r="M23" s="33" t="n">
        <f>5100</f>
        <v>5100.0</v>
      </c>
      <c r="N23" s="34" t="s">
        <v>93</v>
      </c>
      <c r="O23" s="33" t="n">
        <f>4745</f>
        <v>4745.0</v>
      </c>
      <c r="P23" s="34" t="s">
        <v>48</v>
      </c>
      <c r="Q23" s="33" t="n">
        <f>4995</f>
        <v>4995.0</v>
      </c>
      <c r="R23" s="34" t="s">
        <v>51</v>
      </c>
      <c r="S23" s="35" t="n">
        <f>4946.36</f>
        <v>4946.36</v>
      </c>
      <c r="T23" s="32" t="n">
        <f>313860</f>
        <v>313860.0</v>
      </c>
      <c r="U23" s="32" t="str">
        <f>"－"</f>
        <v>－</v>
      </c>
      <c r="V23" s="32" t="n">
        <f>1551006700</f>
        <v>1.5510067E9</v>
      </c>
      <c r="W23" s="32" t="str">
        <f>"－"</f>
        <v>－</v>
      </c>
      <c r="X23" s="36" t="n">
        <f>22</f>
        <v>22.0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27540</f>
        <v>27540.0</v>
      </c>
      <c r="L24" s="34" t="s">
        <v>48</v>
      </c>
      <c r="M24" s="33" t="n">
        <f>28590</f>
        <v>28590.0</v>
      </c>
      <c r="N24" s="34" t="s">
        <v>49</v>
      </c>
      <c r="O24" s="33" t="n">
        <f>27230</f>
        <v>27230.0</v>
      </c>
      <c r="P24" s="34" t="s">
        <v>50</v>
      </c>
      <c r="Q24" s="33" t="n">
        <f>28450</f>
        <v>28450.0</v>
      </c>
      <c r="R24" s="34" t="s">
        <v>51</v>
      </c>
      <c r="S24" s="35" t="n">
        <f>27693.64</f>
        <v>27693.64</v>
      </c>
      <c r="T24" s="32" t="n">
        <f>680133</f>
        <v>680133.0</v>
      </c>
      <c r="U24" s="32" t="n">
        <f>261451</f>
        <v>261451.0</v>
      </c>
      <c r="V24" s="32" t="n">
        <f>18804995201</f>
        <v>1.8804995201E10</v>
      </c>
      <c r="W24" s="32" t="n">
        <f>7219985971</f>
        <v>7.219985971E9</v>
      </c>
      <c r="X24" s="36" t="n">
        <f>22</f>
        <v>22.0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27480</f>
        <v>27480.0</v>
      </c>
      <c r="L25" s="34" t="s">
        <v>48</v>
      </c>
      <c r="M25" s="33" t="n">
        <f>28490</f>
        <v>28490.0</v>
      </c>
      <c r="N25" s="34" t="s">
        <v>49</v>
      </c>
      <c r="O25" s="33" t="n">
        <f>27160</f>
        <v>27160.0</v>
      </c>
      <c r="P25" s="34" t="s">
        <v>50</v>
      </c>
      <c r="Q25" s="33" t="n">
        <f>28370</f>
        <v>28370.0</v>
      </c>
      <c r="R25" s="34" t="s">
        <v>51</v>
      </c>
      <c r="S25" s="35" t="n">
        <f>27622.73</f>
        <v>27622.73</v>
      </c>
      <c r="T25" s="32" t="n">
        <f>1522180</f>
        <v>1522180.0</v>
      </c>
      <c r="U25" s="32" t="n">
        <f>578240</f>
        <v>578240.0</v>
      </c>
      <c r="V25" s="32" t="n">
        <f>42063828424</f>
        <v>4.2063828424E10</v>
      </c>
      <c r="W25" s="32" t="n">
        <f>15986080424</f>
        <v>1.5986080424E10</v>
      </c>
      <c r="X25" s="36" t="n">
        <f>22</f>
        <v>22.0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1807</f>
        <v>1807.0</v>
      </c>
      <c r="L26" s="34" t="s">
        <v>48</v>
      </c>
      <c r="M26" s="33" t="n">
        <f>1912</f>
        <v>1912.0</v>
      </c>
      <c r="N26" s="34" t="s">
        <v>51</v>
      </c>
      <c r="O26" s="33" t="n">
        <f>1801</f>
        <v>1801.0</v>
      </c>
      <c r="P26" s="34" t="s">
        <v>69</v>
      </c>
      <c r="Q26" s="33" t="n">
        <f>1909</f>
        <v>1909.0</v>
      </c>
      <c r="R26" s="34" t="s">
        <v>51</v>
      </c>
      <c r="S26" s="35" t="n">
        <f>1836.82</f>
        <v>1836.82</v>
      </c>
      <c r="T26" s="32" t="n">
        <f>6729280</f>
        <v>6729280.0</v>
      </c>
      <c r="U26" s="32" t="n">
        <f>319640</f>
        <v>319640.0</v>
      </c>
      <c r="V26" s="32" t="n">
        <f>12340610737</f>
        <v>1.2340610737E10</v>
      </c>
      <c r="W26" s="32" t="n">
        <f>581718577</f>
        <v>5.81718577E8</v>
      </c>
      <c r="X26" s="36" t="n">
        <f>22</f>
        <v>22.0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779</f>
        <v>779.0</v>
      </c>
      <c r="L27" s="34" t="s">
        <v>48</v>
      </c>
      <c r="M27" s="33" t="n">
        <f>815</f>
        <v>815.0</v>
      </c>
      <c r="N27" s="34" t="s">
        <v>97</v>
      </c>
      <c r="O27" s="33" t="n">
        <f>771</f>
        <v>771.0</v>
      </c>
      <c r="P27" s="34" t="s">
        <v>50</v>
      </c>
      <c r="Q27" s="33" t="n">
        <f>794</f>
        <v>794.0</v>
      </c>
      <c r="R27" s="34" t="s">
        <v>51</v>
      </c>
      <c r="S27" s="35" t="n">
        <f>792.45</f>
        <v>792.45</v>
      </c>
      <c r="T27" s="32" t="n">
        <f>94760</f>
        <v>94760.0</v>
      </c>
      <c r="U27" s="32" t="str">
        <f>"－"</f>
        <v>－</v>
      </c>
      <c r="V27" s="32" t="n">
        <f>75214220</f>
        <v>7.521422E7</v>
      </c>
      <c r="W27" s="32" t="str">
        <f>"－"</f>
        <v>－</v>
      </c>
      <c r="X27" s="36" t="n">
        <f>22</f>
        <v>22.0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1710</f>
        <v>1710.0</v>
      </c>
      <c r="L28" s="34" t="s">
        <v>48</v>
      </c>
      <c r="M28" s="33" t="n">
        <f>1808</f>
        <v>1808.0</v>
      </c>
      <c r="N28" s="34" t="s">
        <v>51</v>
      </c>
      <c r="O28" s="33" t="n">
        <f>1704</f>
        <v>1704.0</v>
      </c>
      <c r="P28" s="34" t="s">
        <v>69</v>
      </c>
      <c r="Q28" s="33" t="n">
        <f>1806</f>
        <v>1806.0</v>
      </c>
      <c r="R28" s="34" t="s">
        <v>51</v>
      </c>
      <c r="S28" s="35" t="n">
        <f>1736.82</f>
        <v>1736.82</v>
      </c>
      <c r="T28" s="32" t="n">
        <f>9988300</f>
        <v>9988300.0</v>
      </c>
      <c r="U28" s="32" t="n">
        <f>120700</f>
        <v>120700.0</v>
      </c>
      <c r="V28" s="32" t="n">
        <f>17184353300</f>
        <v>1.71843533E10</v>
      </c>
      <c r="W28" s="32" t="n">
        <f>209358600</f>
        <v>2.093586E8</v>
      </c>
      <c r="X28" s="36" t="n">
        <f>22</f>
        <v>22.0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27540</f>
        <v>27540.0</v>
      </c>
      <c r="L29" s="34" t="s">
        <v>48</v>
      </c>
      <c r="M29" s="33" t="n">
        <f>28590</f>
        <v>28590.0</v>
      </c>
      <c r="N29" s="34" t="s">
        <v>51</v>
      </c>
      <c r="O29" s="33" t="n">
        <f>27230</f>
        <v>27230.0</v>
      </c>
      <c r="P29" s="34" t="s">
        <v>50</v>
      </c>
      <c r="Q29" s="33" t="n">
        <f>28450</f>
        <v>28450.0</v>
      </c>
      <c r="R29" s="34" t="s">
        <v>51</v>
      </c>
      <c r="S29" s="35" t="n">
        <f>27707.27</f>
        <v>27707.27</v>
      </c>
      <c r="T29" s="32" t="n">
        <f>951069</f>
        <v>951069.0</v>
      </c>
      <c r="U29" s="32" t="n">
        <f>496963</f>
        <v>496963.0</v>
      </c>
      <c r="V29" s="32" t="n">
        <f>26233064710</f>
        <v>2.623306471E10</v>
      </c>
      <c r="W29" s="32" t="n">
        <f>13660794720</f>
        <v>1.366079472E10</v>
      </c>
      <c r="X29" s="36" t="n">
        <f>22</f>
        <v>22.0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1830</f>
        <v>1830.0</v>
      </c>
      <c r="L30" s="34" t="s">
        <v>48</v>
      </c>
      <c r="M30" s="33" t="n">
        <f>1891</f>
        <v>1891.0</v>
      </c>
      <c r="N30" s="34" t="s">
        <v>49</v>
      </c>
      <c r="O30" s="33" t="n">
        <f>1819</f>
        <v>1819.0</v>
      </c>
      <c r="P30" s="34" t="s">
        <v>50</v>
      </c>
      <c r="Q30" s="33" t="n">
        <f>1878</f>
        <v>1878.0</v>
      </c>
      <c r="R30" s="34" t="s">
        <v>51</v>
      </c>
      <c r="S30" s="35" t="n">
        <f>1849.55</f>
        <v>1849.55</v>
      </c>
      <c r="T30" s="32" t="n">
        <f>3536950</f>
        <v>3536950.0</v>
      </c>
      <c r="U30" s="32" t="n">
        <f>61120</f>
        <v>61120.0</v>
      </c>
      <c r="V30" s="32" t="n">
        <f>6545266850</f>
        <v>6.54526685E9</v>
      </c>
      <c r="W30" s="32" t="n">
        <f>112633440</f>
        <v>1.1263344E8</v>
      </c>
      <c r="X30" s="36" t="n">
        <f>22</f>
        <v>22.0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13040</f>
        <v>13040.0</v>
      </c>
      <c r="L31" s="34" t="s">
        <v>48</v>
      </c>
      <c r="M31" s="33" t="n">
        <f>13180</f>
        <v>13180.0</v>
      </c>
      <c r="N31" s="34" t="s">
        <v>131</v>
      </c>
      <c r="O31" s="33" t="n">
        <f>12970</f>
        <v>12970.0</v>
      </c>
      <c r="P31" s="34" t="s">
        <v>132</v>
      </c>
      <c r="Q31" s="33" t="n">
        <f>13080</f>
        <v>13080.0</v>
      </c>
      <c r="R31" s="34" t="s">
        <v>51</v>
      </c>
      <c r="S31" s="35" t="n">
        <f>13083.64</f>
        <v>13083.64</v>
      </c>
      <c r="T31" s="32" t="n">
        <f>591</f>
        <v>591.0</v>
      </c>
      <c r="U31" s="32" t="str">
        <f>"－"</f>
        <v>－</v>
      </c>
      <c r="V31" s="32" t="n">
        <f>7733160</f>
        <v>7733160.0</v>
      </c>
      <c r="W31" s="32" t="str">
        <f>"－"</f>
        <v>－</v>
      </c>
      <c r="X31" s="36" t="n">
        <f>22</f>
        <v>22.0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1503</f>
        <v>1503.0</v>
      </c>
      <c r="L32" s="34" t="s">
        <v>48</v>
      </c>
      <c r="M32" s="33" t="n">
        <f>1521</f>
        <v>1521.0</v>
      </c>
      <c r="N32" s="34" t="s">
        <v>50</v>
      </c>
      <c r="O32" s="33" t="n">
        <f>1400</f>
        <v>1400.0</v>
      </c>
      <c r="P32" s="34" t="s">
        <v>49</v>
      </c>
      <c r="Q32" s="33" t="n">
        <f>1424</f>
        <v>1424.0</v>
      </c>
      <c r="R32" s="34" t="s">
        <v>51</v>
      </c>
      <c r="S32" s="35" t="n">
        <f>1470.14</f>
        <v>1470.14</v>
      </c>
      <c r="T32" s="32" t="n">
        <f>7524680</f>
        <v>7524680.0</v>
      </c>
      <c r="U32" s="32" t="n">
        <f>8260</f>
        <v>8260.0</v>
      </c>
      <c r="V32" s="32" t="n">
        <f>11063110150</f>
        <v>1.106311015E10</v>
      </c>
      <c r="W32" s="32" t="n">
        <f>12191530</f>
        <v>1.219153E7</v>
      </c>
      <c r="X32" s="36" t="n">
        <f>22</f>
        <v>22.0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530</f>
        <v>530.0</v>
      </c>
      <c r="L33" s="34" t="s">
        <v>48</v>
      </c>
      <c r="M33" s="33" t="n">
        <f>543</f>
        <v>543.0</v>
      </c>
      <c r="N33" s="34" t="s">
        <v>50</v>
      </c>
      <c r="O33" s="33" t="n">
        <f>489</f>
        <v>489.0</v>
      </c>
      <c r="P33" s="34" t="s">
        <v>49</v>
      </c>
      <c r="Q33" s="33" t="n">
        <f>494</f>
        <v>494.0</v>
      </c>
      <c r="R33" s="34" t="s">
        <v>51</v>
      </c>
      <c r="S33" s="35" t="n">
        <f>523.68</f>
        <v>523.68</v>
      </c>
      <c r="T33" s="32" t="n">
        <f>996936278</f>
        <v>9.96936278E8</v>
      </c>
      <c r="U33" s="32" t="n">
        <f>1604418</f>
        <v>1604418.0</v>
      </c>
      <c r="V33" s="32" t="n">
        <f>520839588618</f>
        <v>5.20839588618E11</v>
      </c>
      <c r="W33" s="32" t="n">
        <f>846555318</f>
        <v>8.46555318E8</v>
      </c>
      <c r="X33" s="36" t="n">
        <f>22</f>
        <v>22.0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25290</f>
        <v>25290.0</v>
      </c>
      <c r="L34" s="34" t="s">
        <v>48</v>
      </c>
      <c r="M34" s="33" t="n">
        <f>27150</f>
        <v>27150.0</v>
      </c>
      <c r="N34" s="34" t="s">
        <v>51</v>
      </c>
      <c r="O34" s="33" t="n">
        <f>24720</f>
        <v>24720.0</v>
      </c>
      <c r="P34" s="34" t="s">
        <v>50</v>
      </c>
      <c r="Q34" s="33" t="n">
        <f>26880</f>
        <v>26880.0</v>
      </c>
      <c r="R34" s="34" t="s">
        <v>51</v>
      </c>
      <c r="S34" s="35" t="n">
        <f>25528.64</f>
        <v>25528.64</v>
      </c>
      <c r="T34" s="32" t="n">
        <f>228110</f>
        <v>228110.0</v>
      </c>
      <c r="U34" s="32" t="str">
        <f>"－"</f>
        <v>－</v>
      </c>
      <c r="V34" s="32" t="n">
        <f>5829338870</f>
        <v>5.82933887E9</v>
      </c>
      <c r="W34" s="32" t="str">
        <f>"－"</f>
        <v>－</v>
      </c>
      <c r="X34" s="36" t="n">
        <f>22</f>
        <v>22.0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1291</f>
        <v>1291.0</v>
      </c>
      <c r="L35" s="34" t="s">
        <v>48</v>
      </c>
      <c r="M35" s="33" t="n">
        <f>1319</f>
        <v>1319.0</v>
      </c>
      <c r="N35" s="34" t="s">
        <v>50</v>
      </c>
      <c r="O35" s="33" t="n">
        <f>1191</f>
        <v>1191.0</v>
      </c>
      <c r="P35" s="34" t="s">
        <v>49</v>
      </c>
      <c r="Q35" s="33" t="n">
        <f>1202</f>
        <v>1202.0</v>
      </c>
      <c r="R35" s="34" t="s">
        <v>51</v>
      </c>
      <c r="S35" s="35" t="n">
        <f>1273.23</f>
        <v>1273.23</v>
      </c>
      <c r="T35" s="32" t="n">
        <f>122796090</f>
        <v>1.2279609E8</v>
      </c>
      <c r="U35" s="32" t="n">
        <f>639960</f>
        <v>639960.0</v>
      </c>
      <c r="V35" s="32" t="n">
        <f>156335569630</f>
        <v>1.5633556963E11</v>
      </c>
      <c r="W35" s="32" t="n">
        <f>817376600</f>
        <v>8.173766E8</v>
      </c>
      <c r="X35" s="36" t="n">
        <f>22</f>
        <v>22.0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16420</f>
        <v>16420.0</v>
      </c>
      <c r="L36" s="34" t="s">
        <v>48</v>
      </c>
      <c r="M36" s="33" t="n">
        <f>16870</f>
        <v>16870.0</v>
      </c>
      <c r="N36" s="34" t="s">
        <v>49</v>
      </c>
      <c r="O36" s="33" t="n">
        <f>16260</f>
        <v>16260.0</v>
      </c>
      <c r="P36" s="34" t="s">
        <v>62</v>
      </c>
      <c r="Q36" s="33" t="n">
        <f>16760</f>
        <v>16760.0</v>
      </c>
      <c r="R36" s="34" t="s">
        <v>51</v>
      </c>
      <c r="S36" s="35" t="n">
        <f>16498.64</f>
        <v>16498.64</v>
      </c>
      <c r="T36" s="32" t="n">
        <f>43102</f>
        <v>43102.0</v>
      </c>
      <c r="U36" s="32" t="n">
        <f>40002</f>
        <v>40002.0</v>
      </c>
      <c r="V36" s="32" t="n">
        <f>712364510</f>
        <v>7.1236451E8</v>
      </c>
      <c r="W36" s="32" t="n">
        <f>661112880</f>
        <v>6.6111288E8</v>
      </c>
      <c r="X36" s="36" t="n">
        <f>22</f>
        <v>22.0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20830</f>
        <v>20830.0</v>
      </c>
      <c r="L37" s="34" t="s">
        <v>48</v>
      </c>
      <c r="M37" s="33" t="n">
        <f>22440</f>
        <v>22440.0</v>
      </c>
      <c r="N37" s="34" t="s">
        <v>49</v>
      </c>
      <c r="O37" s="33" t="n">
        <f>20360</f>
        <v>20360.0</v>
      </c>
      <c r="P37" s="34" t="s">
        <v>50</v>
      </c>
      <c r="Q37" s="33" t="n">
        <f>22200</f>
        <v>22200.0</v>
      </c>
      <c r="R37" s="34" t="s">
        <v>51</v>
      </c>
      <c r="S37" s="35" t="n">
        <f>21064.09</f>
        <v>21064.09</v>
      </c>
      <c r="T37" s="32" t="n">
        <f>650157</f>
        <v>650157.0</v>
      </c>
      <c r="U37" s="32" t="n">
        <f>1</f>
        <v>1.0</v>
      </c>
      <c r="V37" s="32" t="n">
        <f>13697201240</f>
        <v>1.369720124E10</v>
      </c>
      <c r="W37" s="32" t="n">
        <f>22200</f>
        <v>22200.0</v>
      </c>
      <c r="X37" s="36" t="n">
        <f>22</f>
        <v>22.0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1383</f>
        <v>1383.0</v>
      </c>
      <c r="L38" s="34" t="s">
        <v>48</v>
      </c>
      <c r="M38" s="33" t="n">
        <f>1413</f>
        <v>1413.0</v>
      </c>
      <c r="N38" s="34" t="s">
        <v>50</v>
      </c>
      <c r="O38" s="33" t="n">
        <f>1274</f>
        <v>1274.0</v>
      </c>
      <c r="P38" s="34" t="s">
        <v>49</v>
      </c>
      <c r="Q38" s="33" t="n">
        <f>1287</f>
        <v>1287.0</v>
      </c>
      <c r="R38" s="34" t="s">
        <v>51</v>
      </c>
      <c r="S38" s="35" t="n">
        <f>1365.09</f>
        <v>1365.09</v>
      </c>
      <c r="T38" s="32" t="n">
        <f>7977656</f>
        <v>7977656.0</v>
      </c>
      <c r="U38" s="32" t="n">
        <f>40</f>
        <v>40.0</v>
      </c>
      <c r="V38" s="32" t="n">
        <f>10856562605</f>
        <v>1.0856562605E10</v>
      </c>
      <c r="W38" s="32" t="n">
        <f>54541</f>
        <v>54541.0</v>
      </c>
      <c r="X38" s="36" t="n">
        <f>22</f>
        <v>22.0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15150</f>
        <v>15150.0</v>
      </c>
      <c r="L39" s="34" t="s">
        <v>48</v>
      </c>
      <c r="M39" s="33" t="n">
        <f>16180</f>
        <v>16180.0</v>
      </c>
      <c r="N39" s="34" t="s">
        <v>49</v>
      </c>
      <c r="O39" s="33" t="n">
        <f>14960</f>
        <v>14960.0</v>
      </c>
      <c r="P39" s="34" t="s">
        <v>50</v>
      </c>
      <c r="Q39" s="33" t="n">
        <f>15930</f>
        <v>15930.0</v>
      </c>
      <c r="R39" s="34" t="s">
        <v>51</v>
      </c>
      <c r="S39" s="35" t="n">
        <f>15459.09</f>
        <v>15459.09</v>
      </c>
      <c r="T39" s="32" t="n">
        <f>260059</f>
        <v>260059.0</v>
      </c>
      <c r="U39" s="32" t="str">
        <f>"－"</f>
        <v>－</v>
      </c>
      <c r="V39" s="32" t="n">
        <f>4037180900</f>
        <v>4.0371809E9</v>
      </c>
      <c r="W39" s="32" t="str">
        <f>"－"</f>
        <v>－</v>
      </c>
      <c r="X39" s="36" t="n">
        <f>22</f>
        <v>22.0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2185</f>
        <v>2185.0</v>
      </c>
      <c r="L40" s="34" t="s">
        <v>48</v>
      </c>
      <c r="M40" s="33" t="n">
        <f>2209</f>
        <v>2209.0</v>
      </c>
      <c r="N40" s="34" t="s">
        <v>50</v>
      </c>
      <c r="O40" s="33" t="n">
        <f>2033</f>
        <v>2033.0</v>
      </c>
      <c r="P40" s="34" t="s">
        <v>49</v>
      </c>
      <c r="Q40" s="33" t="n">
        <f>2063</f>
        <v>2063.0</v>
      </c>
      <c r="R40" s="34" t="s">
        <v>51</v>
      </c>
      <c r="S40" s="35" t="n">
        <f>2134.86</f>
        <v>2134.86</v>
      </c>
      <c r="T40" s="32" t="n">
        <f>1261821</f>
        <v>1261821.0</v>
      </c>
      <c r="U40" s="32" t="n">
        <f>1189</f>
        <v>1189.0</v>
      </c>
      <c r="V40" s="32" t="n">
        <f>2698454092</f>
        <v>2.698454092E9</v>
      </c>
      <c r="W40" s="32" t="n">
        <f>2550341</f>
        <v>2550341.0</v>
      </c>
      <c r="X40" s="36" t="n">
        <f>22</f>
        <v>22.0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26840</f>
        <v>26840.0</v>
      </c>
      <c r="L41" s="34" t="s">
        <v>48</v>
      </c>
      <c r="M41" s="33" t="n">
        <f>27800</f>
        <v>27800.0</v>
      </c>
      <c r="N41" s="34" t="s">
        <v>49</v>
      </c>
      <c r="O41" s="33" t="n">
        <f>26490</f>
        <v>26490.0</v>
      </c>
      <c r="P41" s="34" t="s">
        <v>50</v>
      </c>
      <c r="Q41" s="33" t="n">
        <f>27670</f>
        <v>27670.0</v>
      </c>
      <c r="R41" s="34" t="s">
        <v>51</v>
      </c>
      <c r="S41" s="35" t="n">
        <f>26940</f>
        <v>26940.0</v>
      </c>
      <c r="T41" s="32" t="n">
        <f>81587</f>
        <v>81587.0</v>
      </c>
      <c r="U41" s="32" t="n">
        <f>23000</f>
        <v>23000.0</v>
      </c>
      <c r="V41" s="32" t="n">
        <f>2197946770</f>
        <v>2.19794677E9</v>
      </c>
      <c r="W41" s="32" t="n">
        <f>619530000</f>
        <v>6.1953E8</v>
      </c>
      <c r="X41" s="36" t="n">
        <f>22</f>
        <v>22.0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4390</f>
        <v>4390.0</v>
      </c>
      <c r="L42" s="34" t="s">
        <v>48</v>
      </c>
      <c r="M42" s="33" t="n">
        <f>4595</f>
        <v>4595.0</v>
      </c>
      <c r="N42" s="34" t="s">
        <v>49</v>
      </c>
      <c r="O42" s="33" t="n">
        <f>4330</f>
        <v>4330.0</v>
      </c>
      <c r="P42" s="34" t="s">
        <v>97</v>
      </c>
      <c r="Q42" s="33" t="n">
        <f>4515</f>
        <v>4515.0</v>
      </c>
      <c r="R42" s="34" t="s">
        <v>51</v>
      </c>
      <c r="S42" s="35" t="n">
        <f>4473.86</f>
        <v>4473.86</v>
      </c>
      <c r="T42" s="32" t="n">
        <f>8288</f>
        <v>8288.0</v>
      </c>
      <c r="U42" s="32" t="str">
        <f>"－"</f>
        <v>－</v>
      </c>
      <c r="V42" s="32" t="n">
        <f>36970805</f>
        <v>3.6970805E7</v>
      </c>
      <c r="W42" s="32" t="str">
        <f>"－"</f>
        <v>－</v>
      </c>
      <c r="X42" s="36" t="n">
        <f>22</f>
        <v>22.0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8150</f>
        <v>8150.0</v>
      </c>
      <c r="L43" s="34" t="s">
        <v>48</v>
      </c>
      <c r="M43" s="33" t="n">
        <f>8230</f>
        <v>8230.0</v>
      </c>
      <c r="N43" s="34" t="s">
        <v>49</v>
      </c>
      <c r="O43" s="33" t="n">
        <f>7850</f>
        <v>7850.0</v>
      </c>
      <c r="P43" s="34" t="s">
        <v>48</v>
      </c>
      <c r="Q43" s="33" t="n">
        <f>8190</f>
        <v>8190.0</v>
      </c>
      <c r="R43" s="34" t="s">
        <v>51</v>
      </c>
      <c r="S43" s="35" t="n">
        <f>8104.09</f>
        <v>8104.09</v>
      </c>
      <c r="T43" s="32" t="n">
        <f>2244</f>
        <v>2244.0</v>
      </c>
      <c r="U43" s="32" t="str">
        <f>"－"</f>
        <v>－</v>
      </c>
      <c r="V43" s="32" t="n">
        <f>18177710</f>
        <v>1.817771E7</v>
      </c>
      <c r="W43" s="32" t="str">
        <f>"－"</f>
        <v>－</v>
      </c>
      <c r="X43" s="36" t="n">
        <f>22</f>
        <v>22.0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15720</f>
        <v>15720.0</v>
      </c>
      <c r="L44" s="34" t="s">
        <v>172</v>
      </c>
      <c r="M44" s="33" t="n">
        <f>16440</f>
        <v>16440.0</v>
      </c>
      <c r="N44" s="34" t="s">
        <v>49</v>
      </c>
      <c r="O44" s="33" t="n">
        <f>15640</f>
        <v>15640.0</v>
      </c>
      <c r="P44" s="34" t="s">
        <v>62</v>
      </c>
      <c r="Q44" s="33" t="n">
        <f>16440</f>
        <v>16440.0</v>
      </c>
      <c r="R44" s="34" t="s">
        <v>49</v>
      </c>
      <c r="S44" s="35" t="n">
        <f>16086.36</f>
        <v>16086.36</v>
      </c>
      <c r="T44" s="32" t="n">
        <f>175</f>
        <v>175.0</v>
      </c>
      <c r="U44" s="32" t="str">
        <f>"－"</f>
        <v>－</v>
      </c>
      <c r="V44" s="32" t="n">
        <f>2796110</f>
        <v>2796110.0</v>
      </c>
      <c r="W44" s="32" t="str">
        <f>"－"</f>
        <v>－</v>
      </c>
      <c r="X44" s="36" t="n">
        <f>11</f>
        <v>11.0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13000</f>
        <v>13000.0</v>
      </c>
      <c r="L45" s="34" t="s">
        <v>172</v>
      </c>
      <c r="M45" s="33" t="n">
        <f>13980</f>
        <v>13980.0</v>
      </c>
      <c r="N45" s="34" t="s">
        <v>49</v>
      </c>
      <c r="O45" s="33" t="n">
        <f>13000</f>
        <v>13000.0</v>
      </c>
      <c r="P45" s="34" t="s">
        <v>172</v>
      </c>
      <c r="Q45" s="33" t="n">
        <f>13630</f>
        <v>13630.0</v>
      </c>
      <c r="R45" s="34" t="s">
        <v>51</v>
      </c>
      <c r="S45" s="35" t="n">
        <f>13435.83</f>
        <v>13435.83</v>
      </c>
      <c r="T45" s="32" t="n">
        <f>51</f>
        <v>51.0</v>
      </c>
      <c r="U45" s="32" t="str">
        <f>"－"</f>
        <v>－</v>
      </c>
      <c r="V45" s="32" t="n">
        <f>675230</f>
        <v>675230.0</v>
      </c>
      <c r="W45" s="32" t="str">
        <f>"－"</f>
        <v>－</v>
      </c>
      <c r="X45" s="36" t="n">
        <f>12</f>
        <v>12.0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8300</f>
        <v>8300.0</v>
      </c>
      <c r="L46" s="34" t="s">
        <v>48</v>
      </c>
      <c r="M46" s="33" t="n">
        <f>8790</f>
        <v>8790.0</v>
      </c>
      <c r="N46" s="34" t="s">
        <v>179</v>
      </c>
      <c r="O46" s="33" t="n">
        <f>8200</f>
        <v>8200.0</v>
      </c>
      <c r="P46" s="34" t="s">
        <v>97</v>
      </c>
      <c r="Q46" s="33" t="n">
        <f>8580</f>
        <v>8580.0</v>
      </c>
      <c r="R46" s="34" t="s">
        <v>51</v>
      </c>
      <c r="S46" s="35" t="n">
        <f>8529.55</f>
        <v>8529.55</v>
      </c>
      <c r="T46" s="32" t="n">
        <f>7313</f>
        <v>7313.0</v>
      </c>
      <c r="U46" s="32" t="str">
        <f>"－"</f>
        <v>－</v>
      </c>
      <c r="V46" s="32" t="n">
        <f>62212190</f>
        <v>6.221219E7</v>
      </c>
      <c r="W46" s="32" t="str">
        <f>"－"</f>
        <v>－</v>
      </c>
      <c r="X46" s="36" t="n">
        <f>22</f>
        <v>22.0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4630</f>
        <v>4630.0</v>
      </c>
      <c r="L47" s="34" t="s">
        <v>48</v>
      </c>
      <c r="M47" s="33" t="n">
        <f>5000</f>
        <v>5000.0</v>
      </c>
      <c r="N47" s="34" t="s">
        <v>183</v>
      </c>
      <c r="O47" s="33" t="n">
        <f>4620</f>
        <v>4620.0</v>
      </c>
      <c r="P47" s="34" t="s">
        <v>172</v>
      </c>
      <c r="Q47" s="33" t="n">
        <f>4860</f>
        <v>4860.0</v>
      </c>
      <c r="R47" s="34" t="s">
        <v>51</v>
      </c>
      <c r="S47" s="35" t="n">
        <f>4774.32</f>
        <v>4774.32</v>
      </c>
      <c r="T47" s="32" t="n">
        <f>2985</f>
        <v>2985.0</v>
      </c>
      <c r="U47" s="32" t="str">
        <f>"－"</f>
        <v>－</v>
      </c>
      <c r="V47" s="32" t="n">
        <f>14321230</f>
        <v>1.432123E7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2300</f>
        <v>2300.0</v>
      </c>
      <c r="L48" s="34" t="s">
        <v>48</v>
      </c>
      <c r="M48" s="33" t="n">
        <f>2414</f>
        <v>2414.0</v>
      </c>
      <c r="N48" s="34" t="s">
        <v>69</v>
      </c>
      <c r="O48" s="33" t="n">
        <f>2261</f>
        <v>2261.0</v>
      </c>
      <c r="P48" s="34" t="s">
        <v>48</v>
      </c>
      <c r="Q48" s="33" t="n">
        <f>2378</f>
        <v>2378.0</v>
      </c>
      <c r="R48" s="34" t="s">
        <v>51</v>
      </c>
      <c r="S48" s="35" t="n">
        <f>2347.41</f>
        <v>2347.41</v>
      </c>
      <c r="T48" s="32" t="n">
        <f>4363</f>
        <v>4363.0</v>
      </c>
      <c r="U48" s="32" t="str">
        <f>"－"</f>
        <v>－</v>
      </c>
      <c r="V48" s="32" t="n">
        <f>10275287</f>
        <v>1.0275287E7</v>
      </c>
      <c r="W48" s="32" t="str">
        <f>"－"</f>
        <v>－</v>
      </c>
      <c r="X48" s="36" t="n">
        <f>22</f>
        <v>22.0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2201</f>
        <v>2201.0</v>
      </c>
      <c r="L49" s="34" t="s">
        <v>48</v>
      </c>
      <c r="M49" s="33" t="n">
        <f>2414</f>
        <v>2414.0</v>
      </c>
      <c r="N49" s="34" t="s">
        <v>61</v>
      </c>
      <c r="O49" s="33" t="n">
        <f>2201</f>
        <v>2201.0</v>
      </c>
      <c r="P49" s="34" t="s">
        <v>48</v>
      </c>
      <c r="Q49" s="33" t="n">
        <f>2355</f>
        <v>2355.0</v>
      </c>
      <c r="R49" s="34" t="s">
        <v>51</v>
      </c>
      <c r="S49" s="35" t="n">
        <f>2299.5</f>
        <v>2299.5</v>
      </c>
      <c r="T49" s="32" t="n">
        <f>12898</f>
        <v>12898.0</v>
      </c>
      <c r="U49" s="32" t="str">
        <f>"－"</f>
        <v>－</v>
      </c>
      <c r="V49" s="32" t="n">
        <f>29642655</f>
        <v>2.9642655E7</v>
      </c>
      <c r="W49" s="32" t="str">
        <f>"－"</f>
        <v>－</v>
      </c>
      <c r="X49" s="36" t="n">
        <f>22</f>
        <v>22.0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36900</f>
        <v>36900.0</v>
      </c>
      <c r="L50" s="34" t="s">
        <v>48</v>
      </c>
      <c r="M50" s="33" t="n">
        <f>38800</f>
        <v>38800.0</v>
      </c>
      <c r="N50" s="34" t="s">
        <v>49</v>
      </c>
      <c r="O50" s="33" t="n">
        <f>36900</f>
        <v>36900.0</v>
      </c>
      <c r="P50" s="34" t="s">
        <v>48</v>
      </c>
      <c r="Q50" s="33" t="n">
        <f>38050</f>
        <v>38050.0</v>
      </c>
      <c r="R50" s="34" t="s">
        <v>51</v>
      </c>
      <c r="S50" s="35" t="n">
        <f>37475</f>
        <v>37475.0</v>
      </c>
      <c r="T50" s="32" t="n">
        <f>679</f>
        <v>679.0</v>
      </c>
      <c r="U50" s="32" t="str">
        <f>"－"</f>
        <v>－</v>
      </c>
      <c r="V50" s="32" t="n">
        <f>25529250</f>
        <v>2.552925E7</v>
      </c>
      <c r="W50" s="32" t="str">
        <f>"－"</f>
        <v>－</v>
      </c>
      <c r="X50" s="36" t="n">
        <f>22</f>
        <v>22.0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27070</f>
        <v>27070.0</v>
      </c>
      <c r="L51" s="34" t="s">
        <v>172</v>
      </c>
      <c r="M51" s="33" t="n">
        <f>31650</f>
        <v>31650.0</v>
      </c>
      <c r="N51" s="34" t="s">
        <v>196</v>
      </c>
      <c r="O51" s="33" t="n">
        <f>26980</f>
        <v>26980.0</v>
      </c>
      <c r="P51" s="34" t="s">
        <v>132</v>
      </c>
      <c r="Q51" s="33" t="n">
        <f>28500</f>
        <v>28500.0</v>
      </c>
      <c r="R51" s="34" t="s">
        <v>49</v>
      </c>
      <c r="S51" s="35" t="n">
        <f>27842.5</f>
        <v>27842.5</v>
      </c>
      <c r="T51" s="32" t="n">
        <f>309</f>
        <v>309.0</v>
      </c>
      <c r="U51" s="32" t="str">
        <f>"－"</f>
        <v>－</v>
      </c>
      <c r="V51" s="32" t="n">
        <f>8746440</f>
        <v>8746440.0</v>
      </c>
      <c r="W51" s="32" t="str">
        <f>"－"</f>
        <v>－</v>
      </c>
      <c r="X51" s="36" t="n">
        <f>12</f>
        <v>12.0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26820</f>
        <v>26820.0</v>
      </c>
      <c r="L52" s="34" t="s">
        <v>48</v>
      </c>
      <c r="M52" s="33" t="n">
        <f>27820</f>
        <v>27820.0</v>
      </c>
      <c r="N52" s="34" t="s">
        <v>51</v>
      </c>
      <c r="O52" s="33" t="n">
        <f>26280</f>
        <v>26280.0</v>
      </c>
      <c r="P52" s="34" t="s">
        <v>97</v>
      </c>
      <c r="Q52" s="33" t="n">
        <f>27660</f>
        <v>27660.0</v>
      </c>
      <c r="R52" s="34" t="s">
        <v>51</v>
      </c>
      <c r="S52" s="35" t="n">
        <f>26934.55</f>
        <v>26934.55</v>
      </c>
      <c r="T52" s="32" t="n">
        <f>410324</f>
        <v>410324.0</v>
      </c>
      <c r="U52" s="32" t="n">
        <f>410000</f>
        <v>410000.0</v>
      </c>
      <c r="V52" s="32" t="n">
        <f>11000472590</f>
        <v>1.100047259E10</v>
      </c>
      <c r="W52" s="32" t="n">
        <f>10991731000</f>
        <v>1.0991731E10</v>
      </c>
      <c r="X52" s="36" t="n">
        <f>22</f>
        <v>22.0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1728</f>
        <v>1728.0</v>
      </c>
      <c r="L53" s="34" t="s">
        <v>48</v>
      </c>
      <c r="M53" s="33" t="n">
        <f>1815</f>
        <v>1815.0</v>
      </c>
      <c r="N53" s="34" t="s">
        <v>51</v>
      </c>
      <c r="O53" s="33" t="n">
        <f>1713</f>
        <v>1713.0</v>
      </c>
      <c r="P53" s="34" t="s">
        <v>61</v>
      </c>
      <c r="Q53" s="33" t="n">
        <f>1814</f>
        <v>1814.0</v>
      </c>
      <c r="R53" s="34" t="s">
        <v>51</v>
      </c>
      <c r="S53" s="35" t="n">
        <f>1747.5</f>
        <v>1747.5</v>
      </c>
      <c r="T53" s="32" t="n">
        <f>1003220</f>
        <v>1003220.0</v>
      </c>
      <c r="U53" s="32" t="n">
        <f>129000</f>
        <v>129000.0</v>
      </c>
      <c r="V53" s="32" t="n">
        <f>1741253380</f>
        <v>1.74125338E9</v>
      </c>
      <c r="W53" s="32" t="n">
        <f>224808630</f>
        <v>2.2480863E8</v>
      </c>
      <c r="X53" s="36" t="n">
        <f>22</f>
        <v>22.0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1395</f>
        <v>1395.0</v>
      </c>
      <c r="L54" s="34" t="s">
        <v>48</v>
      </c>
      <c r="M54" s="33" t="n">
        <f>1444</f>
        <v>1444.0</v>
      </c>
      <c r="N54" s="34" t="s">
        <v>49</v>
      </c>
      <c r="O54" s="33" t="n">
        <f>1389</f>
        <v>1389.0</v>
      </c>
      <c r="P54" s="34" t="s">
        <v>48</v>
      </c>
      <c r="Q54" s="33" t="n">
        <f>1437</f>
        <v>1437.0</v>
      </c>
      <c r="R54" s="34" t="s">
        <v>51</v>
      </c>
      <c r="S54" s="35" t="n">
        <f>1413.59</f>
        <v>1413.59</v>
      </c>
      <c r="T54" s="32" t="n">
        <f>27220</f>
        <v>27220.0</v>
      </c>
      <c r="U54" s="32" t="n">
        <f>10</f>
        <v>10.0</v>
      </c>
      <c r="V54" s="32" t="n">
        <f>39037580</f>
        <v>3.903758E7</v>
      </c>
      <c r="W54" s="32" t="n">
        <f>14000</f>
        <v>14000.0</v>
      </c>
      <c r="X54" s="36" t="n">
        <f>22</f>
        <v>22.0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4885</f>
        <v>4885.0</v>
      </c>
      <c r="L55" s="34" t="s">
        <v>48</v>
      </c>
      <c r="M55" s="33" t="n">
        <f>4935</f>
        <v>4935.0</v>
      </c>
      <c r="N55" s="34" t="s">
        <v>50</v>
      </c>
      <c r="O55" s="33" t="n">
        <f>4695</f>
        <v>4695.0</v>
      </c>
      <c r="P55" s="34" t="s">
        <v>49</v>
      </c>
      <c r="Q55" s="33" t="n">
        <f>4720</f>
        <v>4720.0</v>
      </c>
      <c r="R55" s="34" t="s">
        <v>51</v>
      </c>
      <c r="S55" s="35" t="n">
        <f>4854.32</f>
        <v>4854.32</v>
      </c>
      <c r="T55" s="32" t="n">
        <f>397188</f>
        <v>397188.0</v>
      </c>
      <c r="U55" s="32" t="n">
        <f>9000</f>
        <v>9000.0</v>
      </c>
      <c r="V55" s="32" t="n">
        <f>1918793120</f>
        <v>1.91879312E9</v>
      </c>
      <c r="W55" s="32" t="n">
        <f>43767000</f>
        <v>4.3767E7</v>
      </c>
      <c r="X55" s="36" t="n">
        <f>22</f>
        <v>22.0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6070</f>
        <v>6070.0</v>
      </c>
      <c r="L56" s="34" t="s">
        <v>48</v>
      </c>
      <c r="M56" s="33" t="n">
        <f>6110</f>
        <v>6110.0</v>
      </c>
      <c r="N56" s="34" t="s">
        <v>50</v>
      </c>
      <c r="O56" s="33" t="n">
        <f>5860</f>
        <v>5860.0</v>
      </c>
      <c r="P56" s="34" t="s">
        <v>49</v>
      </c>
      <c r="Q56" s="33" t="n">
        <f>5890</f>
        <v>5890.0</v>
      </c>
      <c r="R56" s="34" t="s">
        <v>51</v>
      </c>
      <c r="S56" s="35" t="n">
        <f>6003.18</f>
        <v>6003.18</v>
      </c>
      <c r="T56" s="32" t="n">
        <f>72182</f>
        <v>72182.0</v>
      </c>
      <c r="U56" s="32" t="str">
        <f>"－"</f>
        <v>－</v>
      </c>
      <c r="V56" s="32" t="n">
        <f>432092610</f>
        <v>4.3209261E8</v>
      </c>
      <c r="W56" s="32" t="str">
        <f>"－"</f>
        <v>－</v>
      </c>
      <c r="X56" s="36" t="n">
        <f>22</f>
        <v>22.0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15800</f>
        <v>15800.0</v>
      </c>
      <c r="L57" s="34" t="s">
        <v>48</v>
      </c>
      <c r="M57" s="33" t="n">
        <f>17000</f>
        <v>17000.0</v>
      </c>
      <c r="N57" s="34" t="s">
        <v>49</v>
      </c>
      <c r="O57" s="33" t="n">
        <f>15430</f>
        <v>15430.0</v>
      </c>
      <c r="P57" s="34" t="s">
        <v>50</v>
      </c>
      <c r="Q57" s="33" t="n">
        <f>16830</f>
        <v>16830.0</v>
      </c>
      <c r="R57" s="34" t="s">
        <v>51</v>
      </c>
      <c r="S57" s="35" t="n">
        <f>15965.45</f>
        <v>15965.45</v>
      </c>
      <c r="T57" s="32" t="n">
        <f>7041442</f>
        <v>7041442.0</v>
      </c>
      <c r="U57" s="32" t="n">
        <f>25095</f>
        <v>25095.0</v>
      </c>
      <c r="V57" s="32" t="n">
        <f>113054120200</f>
        <v>1.130541202E11</v>
      </c>
      <c r="W57" s="32" t="n">
        <f>425353040</f>
        <v>4.2535304E8</v>
      </c>
      <c r="X57" s="36" t="n">
        <f>22</f>
        <v>22.0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2111</f>
        <v>2111.0</v>
      </c>
      <c r="L58" s="34" t="s">
        <v>48</v>
      </c>
      <c r="M58" s="33" t="n">
        <f>2158</f>
        <v>2158.0</v>
      </c>
      <c r="N58" s="34" t="s">
        <v>50</v>
      </c>
      <c r="O58" s="33" t="n">
        <f>1945</f>
        <v>1945.0</v>
      </c>
      <c r="P58" s="34" t="s">
        <v>49</v>
      </c>
      <c r="Q58" s="33" t="n">
        <f>1965</f>
        <v>1965.0</v>
      </c>
      <c r="R58" s="34" t="s">
        <v>51</v>
      </c>
      <c r="S58" s="35" t="n">
        <f>2082.45</f>
        <v>2082.45</v>
      </c>
      <c r="T58" s="32" t="n">
        <f>46827630</f>
        <v>4.682763E7</v>
      </c>
      <c r="U58" s="32" t="n">
        <f>10084</f>
        <v>10084.0</v>
      </c>
      <c r="V58" s="32" t="n">
        <f>97048101747</f>
        <v>9.7048101747E10</v>
      </c>
      <c r="W58" s="32" t="n">
        <f>21354202</f>
        <v>2.1354202E7</v>
      </c>
      <c r="X58" s="36" t="n">
        <f>22</f>
        <v>22.0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23590</f>
        <v>23590.0</v>
      </c>
      <c r="L59" s="34" t="s">
        <v>172</v>
      </c>
      <c r="M59" s="33" t="n">
        <f>23590</f>
        <v>23590.0</v>
      </c>
      <c r="N59" s="34" t="s">
        <v>172</v>
      </c>
      <c r="O59" s="33" t="n">
        <f>22440</f>
        <v>22440.0</v>
      </c>
      <c r="P59" s="34" t="s">
        <v>221</v>
      </c>
      <c r="Q59" s="33" t="n">
        <f>23030</f>
        <v>23030.0</v>
      </c>
      <c r="R59" s="34" t="s">
        <v>196</v>
      </c>
      <c r="S59" s="35" t="n">
        <f>23190</f>
        <v>23190.0</v>
      </c>
      <c r="T59" s="32" t="n">
        <f>94</f>
        <v>94.0</v>
      </c>
      <c r="U59" s="32" t="str">
        <f>"－"</f>
        <v>－</v>
      </c>
      <c r="V59" s="32" t="n">
        <f>2158320</f>
        <v>2158320.0</v>
      </c>
      <c r="W59" s="32" t="str">
        <f>"－"</f>
        <v>－</v>
      </c>
      <c r="X59" s="36" t="n">
        <f>14</f>
        <v>14.0</v>
      </c>
    </row>
    <row r="60">
      <c r="A60" s="27" t="s">
        <v>42</v>
      </c>
      <c r="B60" s="27" t="s">
        <v>222</v>
      </c>
      <c r="C60" s="27" t="s">
        <v>223</v>
      </c>
      <c r="D60" s="27" t="s">
        <v>224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12310</f>
        <v>12310.0</v>
      </c>
      <c r="L60" s="34" t="s">
        <v>48</v>
      </c>
      <c r="M60" s="33" t="n">
        <f>13020</f>
        <v>13020.0</v>
      </c>
      <c r="N60" s="34" t="s">
        <v>49</v>
      </c>
      <c r="O60" s="33" t="n">
        <f>12070</f>
        <v>12070.0</v>
      </c>
      <c r="P60" s="34" t="s">
        <v>86</v>
      </c>
      <c r="Q60" s="33" t="n">
        <f>12830</f>
        <v>12830.0</v>
      </c>
      <c r="R60" s="34" t="s">
        <v>51</v>
      </c>
      <c r="S60" s="35" t="n">
        <f>12450.45</f>
        <v>12450.45</v>
      </c>
      <c r="T60" s="32" t="n">
        <f>4894</f>
        <v>4894.0</v>
      </c>
      <c r="U60" s="32" t="str">
        <f>"－"</f>
        <v>－</v>
      </c>
      <c r="V60" s="32" t="n">
        <f>61437780</f>
        <v>6.143778E7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5880</f>
        <v>5880.0</v>
      </c>
      <c r="L61" s="34" t="s">
        <v>48</v>
      </c>
      <c r="M61" s="33" t="n">
        <f>5930</f>
        <v>5930.0</v>
      </c>
      <c r="N61" s="34" t="s">
        <v>86</v>
      </c>
      <c r="O61" s="33" t="n">
        <f>5700</f>
        <v>5700.0</v>
      </c>
      <c r="P61" s="34" t="s">
        <v>49</v>
      </c>
      <c r="Q61" s="33" t="n">
        <f>5720</f>
        <v>5720.0</v>
      </c>
      <c r="R61" s="34" t="s">
        <v>51</v>
      </c>
      <c r="S61" s="35" t="n">
        <f>5841.05</f>
        <v>5841.05</v>
      </c>
      <c r="T61" s="32" t="n">
        <f>1714</f>
        <v>1714.0</v>
      </c>
      <c r="U61" s="32" t="str">
        <f>"－"</f>
        <v>－</v>
      </c>
      <c r="V61" s="32" t="n">
        <f>9920530</f>
        <v>9920530.0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2769</f>
        <v>2769.0</v>
      </c>
      <c r="L62" s="34" t="s">
        <v>48</v>
      </c>
      <c r="M62" s="33" t="n">
        <f>2837</f>
        <v>2837.0</v>
      </c>
      <c r="N62" s="34" t="s">
        <v>62</v>
      </c>
      <c r="O62" s="33" t="n">
        <f>2600</f>
        <v>2600.0</v>
      </c>
      <c r="P62" s="34" t="s">
        <v>49</v>
      </c>
      <c r="Q62" s="33" t="n">
        <f>2641</f>
        <v>2641.0</v>
      </c>
      <c r="R62" s="34" t="s">
        <v>51</v>
      </c>
      <c r="S62" s="35" t="n">
        <f>2739.23</f>
        <v>2739.23</v>
      </c>
      <c r="T62" s="32" t="n">
        <f>12931</f>
        <v>12931.0</v>
      </c>
      <c r="U62" s="32" t="str">
        <f>"－"</f>
        <v>－</v>
      </c>
      <c r="V62" s="32" t="n">
        <f>35208957</f>
        <v>3.5208957E7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11630</f>
        <v>11630.0</v>
      </c>
      <c r="L63" s="34" t="s">
        <v>48</v>
      </c>
      <c r="M63" s="33" t="n">
        <f>12520</f>
        <v>12520.0</v>
      </c>
      <c r="N63" s="34" t="s">
        <v>49</v>
      </c>
      <c r="O63" s="33" t="n">
        <f>11370</f>
        <v>11370.0</v>
      </c>
      <c r="P63" s="34" t="s">
        <v>50</v>
      </c>
      <c r="Q63" s="33" t="n">
        <f>12470</f>
        <v>12470.0</v>
      </c>
      <c r="R63" s="34" t="s">
        <v>51</v>
      </c>
      <c r="S63" s="35" t="n">
        <f>11986.84</f>
        <v>11986.84</v>
      </c>
      <c r="T63" s="32" t="n">
        <f>6370</f>
        <v>6370.0</v>
      </c>
      <c r="U63" s="32" t="str">
        <f>"－"</f>
        <v>－</v>
      </c>
      <c r="V63" s="32" t="n">
        <f>76536300</f>
        <v>7.65363E7</v>
      </c>
      <c r="W63" s="32" t="str">
        <f>"－"</f>
        <v>－</v>
      </c>
      <c r="X63" s="36" t="n">
        <f>19</f>
        <v>19.0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5700</f>
        <v>5700.0</v>
      </c>
      <c r="L64" s="34" t="s">
        <v>172</v>
      </c>
      <c r="M64" s="33" t="n">
        <f>5890</f>
        <v>5890.0</v>
      </c>
      <c r="N64" s="34" t="s">
        <v>50</v>
      </c>
      <c r="O64" s="33" t="n">
        <f>5550</f>
        <v>5550.0</v>
      </c>
      <c r="P64" s="34" t="s">
        <v>49</v>
      </c>
      <c r="Q64" s="33" t="n">
        <f>5700</f>
        <v>5700.0</v>
      </c>
      <c r="R64" s="34" t="s">
        <v>51</v>
      </c>
      <c r="S64" s="35" t="n">
        <f>5702.67</f>
        <v>5702.67</v>
      </c>
      <c r="T64" s="32" t="n">
        <f>1650</f>
        <v>1650.0</v>
      </c>
      <c r="U64" s="32" t="str">
        <f>"－"</f>
        <v>－</v>
      </c>
      <c r="V64" s="32" t="n">
        <f>9430900</f>
        <v>9430900.0</v>
      </c>
      <c r="W64" s="32" t="str">
        <f>"－"</f>
        <v>－</v>
      </c>
      <c r="X64" s="36" t="n">
        <f>15</f>
        <v>15.0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2809</f>
        <v>2809.0</v>
      </c>
      <c r="L65" s="34" t="s">
        <v>48</v>
      </c>
      <c r="M65" s="33" t="n">
        <f>2815</f>
        <v>2815.0</v>
      </c>
      <c r="N65" s="34" t="s">
        <v>50</v>
      </c>
      <c r="O65" s="33" t="n">
        <f>2606</f>
        <v>2606.0</v>
      </c>
      <c r="P65" s="34" t="s">
        <v>49</v>
      </c>
      <c r="Q65" s="33" t="n">
        <f>2649</f>
        <v>2649.0</v>
      </c>
      <c r="R65" s="34" t="s">
        <v>51</v>
      </c>
      <c r="S65" s="35" t="n">
        <f>2735.36</f>
        <v>2735.36</v>
      </c>
      <c r="T65" s="32" t="n">
        <f>31470</f>
        <v>31470.0</v>
      </c>
      <c r="U65" s="32" t="str">
        <f>"－"</f>
        <v>－</v>
      </c>
      <c r="V65" s="32" t="n">
        <f>85410120</f>
        <v>8.541012E7</v>
      </c>
      <c r="W65" s="32" t="str">
        <f>"－"</f>
        <v>－</v>
      </c>
      <c r="X65" s="36" t="n">
        <f>22</f>
        <v>22.0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22700</f>
        <v>22700.0</v>
      </c>
      <c r="L66" s="34" t="s">
        <v>48</v>
      </c>
      <c r="M66" s="33" t="n">
        <f>23680</f>
        <v>23680.0</v>
      </c>
      <c r="N66" s="34" t="s">
        <v>97</v>
      </c>
      <c r="O66" s="33" t="n">
        <f>21380</f>
        <v>21380.0</v>
      </c>
      <c r="P66" s="34" t="s">
        <v>97</v>
      </c>
      <c r="Q66" s="33" t="n">
        <f>23130</f>
        <v>23130.0</v>
      </c>
      <c r="R66" s="34" t="s">
        <v>51</v>
      </c>
      <c r="S66" s="35" t="n">
        <f>22575</f>
        <v>22575.0</v>
      </c>
      <c r="T66" s="32" t="n">
        <f>2756</f>
        <v>2756.0</v>
      </c>
      <c r="U66" s="32" t="str">
        <f>"－"</f>
        <v>－</v>
      </c>
      <c r="V66" s="32" t="n">
        <f>62321910</f>
        <v>6.232191E7</v>
      </c>
      <c r="W66" s="32" t="str">
        <f>"－"</f>
        <v>－</v>
      </c>
      <c r="X66" s="36" t="n">
        <f>22</f>
        <v>22.0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3855</f>
        <v>3855.0</v>
      </c>
      <c r="L67" s="34" t="s">
        <v>48</v>
      </c>
      <c r="M67" s="33" t="n">
        <f>3935</f>
        <v>3935.0</v>
      </c>
      <c r="N67" s="34" t="s">
        <v>179</v>
      </c>
      <c r="O67" s="33" t="n">
        <f>3675</f>
        <v>3675.0</v>
      </c>
      <c r="P67" s="34" t="s">
        <v>49</v>
      </c>
      <c r="Q67" s="33" t="n">
        <f>3720</f>
        <v>3720.0</v>
      </c>
      <c r="R67" s="34" t="s">
        <v>51</v>
      </c>
      <c r="S67" s="35" t="n">
        <f>3765.53</f>
        <v>3765.53</v>
      </c>
      <c r="T67" s="32" t="n">
        <f>1466</f>
        <v>1466.0</v>
      </c>
      <c r="U67" s="32" t="str">
        <f>"－"</f>
        <v>－</v>
      </c>
      <c r="V67" s="32" t="n">
        <f>5526540</f>
        <v>5526540.0</v>
      </c>
      <c r="W67" s="32" t="str">
        <f>"－"</f>
        <v>－</v>
      </c>
      <c r="X67" s="36" t="n">
        <f>19</f>
        <v>19.0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1120</f>
        <v>1120.0</v>
      </c>
      <c r="L68" s="34" t="s">
        <v>48</v>
      </c>
      <c r="M68" s="33" t="n">
        <f>1127</f>
        <v>1127.0</v>
      </c>
      <c r="N68" s="34" t="s">
        <v>62</v>
      </c>
      <c r="O68" s="33" t="n">
        <f>1013</f>
        <v>1013.0</v>
      </c>
      <c r="P68" s="34" t="s">
        <v>51</v>
      </c>
      <c r="Q68" s="33" t="n">
        <f>1058</f>
        <v>1058.0</v>
      </c>
      <c r="R68" s="34" t="s">
        <v>51</v>
      </c>
      <c r="S68" s="35" t="n">
        <f>1093.91</f>
        <v>1093.91</v>
      </c>
      <c r="T68" s="32" t="n">
        <f>73852</f>
        <v>73852.0</v>
      </c>
      <c r="U68" s="32" t="str">
        <f>"－"</f>
        <v>－</v>
      </c>
      <c r="V68" s="32" t="n">
        <f>79358966</f>
        <v>7.9358966E7</v>
      </c>
      <c r="W68" s="32" t="str">
        <f>"－"</f>
        <v>－</v>
      </c>
      <c r="X68" s="36" t="n">
        <f>22</f>
        <v>22.0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1792</f>
        <v>1792.0</v>
      </c>
      <c r="L69" s="34" t="s">
        <v>48</v>
      </c>
      <c r="M69" s="33" t="n">
        <f>1852</f>
        <v>1852.0</v>
      </c>
      <c r="N69" s="34" t="s">
        <v>49</v>
      </c>
      <c r="O69" s="33" t="n">
        <f>1782</f>
        <v>1782.0</v>
      </c>
      <c r="P69" s="34" t="s">
        <v>50</v>
      </c>
      <c r="Q69" s="33" t="n">
        <f>1844</f>
        <v>1844.0</v>
      </c>
      <c r="R69" s="34" t="s">
        <v>51</v>
      </c>
      <c r="S69" s="35" t="n">
        <f>1810.95</f>
        <v>1810.95</v>
      </c>
      <c r="T69" s="32" t="n">
        <f>6997980</f>
        <v>6997980.0</v>
      </c>
      <c r="U69" s="32" t="n">
        <f>5874000</f>
        <v>5874000.0</v>
      </c>
      <c r="V69" s="32" t="n">
        <f>12717247510</f>
        <v>1.271724751E10</v>
      </c>
      <c r="W69" s="32" t="n">
        <f>10681110800</f>
        <v>1.06811108E10</v>
      </c>
      <c r="X69" s="36" t="n">
        <f>22</f>
        <v>22.0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16570</f>
        <v>16570.0</v>
      </c>
      <c r="L70" s="34" t="s">
        <v>48</v>
      </c>
      <c r="M70" s="33" t="n">
        <f>16740</f>
        <v>16740.0</v>
      </c>
      <c r="N70" s="34" t="s">
        <v>49</v>
      </c>
      <c r="O70" s="33" t="n">
        <f>15970</f>
        <v>15970.0</v>
      </c>
      <c r="P70" s="34" t="s">
        <v>255</v>
      </c>
      <c r="Q70" s="33" t="n">
        <f>16660</f>
        <v>16660.0</v>
      </c>
      <c r="R70" s="34" t="s">
        <v>51</v>
      </c>
      <c r="S70" s="35" t="n">
        <f>16369.09</f>
        <v>16369.09</v>
      </c>
      <c r="T70" s="32" t="n">
        <f>194669</f>
        <v>194669.0</v>
      </c>
      <c r="U70" s="32" t="n">
        <f>92800</f>
        <v>92800.0</v>
      </c>
      <c r="V70" s="32" t="n">
        <f>3184824250</f>
        <v>3.18482425E9</v>
      </c>
      <c r="W70" s="32" t="n">
        <f>1516205600</f>
        <v>1.5162056E9</v>
      </c>
      <c r="X70" s="36" t="n">
        <f>22</f>
        <v>22.0</v>
      </c>
    </row>
    <row r="71">
      <c r="A71" s="27" t="s">
        <v>42</v>
      </c>
      <c r="B71" s="27" t="s">
        <v>256</v>
      </c>
      <c r="C71" s="27" t="s">
        <v>257</v>
      </c>
      <c r="D71" s="27" t="s">
        <v>258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1804</f>
        <v>1804.0</v>
      </c>
      <c r="L71" s="34" t="s">
        <v>48</v>
      </c>
      <c r="M71" s="33" t="n">
        <f>1865</f>
        <v>1865.0</v>
      </c>
      <c r="N71" s="34" t="s">
        <v>49</v>
      </c>
      <c r="O71" s="33" t="n">
        <f>1793</f>
        <v>1793.0</v>
      </c>
      <c r="P71" s="34" t="s">
        <v>50</v>
      </c>
      <c r="Q71" s="33" t="n">
        <f>1852</f>
        <v>1852.0</v>
      </c>
      <c r="R71" s="34" t="s">
        <v>51</v>
      </c>
      <c r="S71" s="35" t="n">
        <f>1823.18</f>
        <v>1823.18</v>
      </c>
      <c r="T71" s="32" t="n">
        <f>4530926</f>
        <v>4530926.0</v>
      </c>
      <c r="U71" s="32" t="n">
        <f>1137254</f>
        <v>1137254.0</v>
      </c>
      <c r="V71" s="32" t="n">
        <f>8250076693</f>
        <v>8.250076693E9</v>
      </c>
      <c r="W71" s="32" t="n">
        <f>2076397924</f>
        <v>2.076397924E9</v>
      </c>
      <c r="X71" s="36" t="n">
        <f>22</f>
        <v>22.0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1734</f>
        <v>1734.0</v>
      </c>
      <c r="L72" s="34" t="s">
        <v>48</v>
      </c>
      <c r="M72" s="33" t="n">
        <f>1846</f>
        <v>1846.0</v>
      </c>
      <c r="N72" s="34" t="s">
        <v>51</v>
      </c>
      <c r="O72" s="33" t="n">
        <f>1728</f>
        <v>1728.0</v>
      </c>
      <c r="P72" s="34" t="s">
        <v>69</v>
      </c>
      <c r="Q72" s="33" t="n">
        <f>1833</f>
        <v>1833.0</v>
      </c>
      <c r="R72" s="34" t="s">
        <v>51</v>
      </c>
      <c r="S72" s="35" t="n">
        <f>1763.59</f>
        <v>1763.59</v>
      </c>
      <c r="T72" s="32" t="n">
        <f>2154995</f>
        <v>2154995.0</v>
      </c>
      <c r="U72" s="32" t="n">
        <f>918011</f>
        <v>918011.0</v>
      </c>
      <c r="V72" s="32" t="n">
        <f>3797521671</f>
        <v>3.797521671E9</v>
      </c>
      <c r="W72" s="32" t="n">
        <f>1610001617</f>
        <v>1.610001617E9</v>
      </c>
      <c r="X72" s="36" t="n">
        <f>22</f>
        <v>22.0</v>
      </c>
    </row>
    <row r="73">
      <c r="A73" s="27" t="s">
        <v>42</v>
      </c>
      <c r="B73" s="27" t="s">
        <v>262</v>
      </c>
      <c r="C73" s="27" t="s">
        <v>263</v>
      </c>
      <c r="D73" s="27" t="s">
        <v>264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1811</f>
        <v>1811.0</v>
      </c>
      <c r="L73" s="34" t="s">
        <v>48</v>
      </c>
      <c r="M73" s="33" t="n">
        <f>1840</f>
        <v>1840.0</v>
      </c>
      <c r="N73" s="34" t="s">
        <v>49</v>
      </c>
      <c r="O73" s="33" t="n">
        <f>1761</f>
        <v>1761.0</v>
      </c>
      <c r="P73" s="34" t="s">
        <v>62</v>
      </c>
      <c r="Q73" s="33" t="n">
        <f>1826</f>
        <v>1826.0</v>
      </c>
      <c r="R73" s="34" t="s">
        <v>51</v>
      </c>
      <c r="S73" s="35" t="n">
        <f>1799.91</f>
        <v>1799.91</v>
      </c>
      <c r="T73" s="32" t="n">
        <f>28702</f>
        <v>28702.0</v>
      </c>
      <c r="U73" s="32" t="n">
        <f>14934</f>
        <v>14934.0</v>
      </c>
      <c r="V73" s="32" t="n">
        <f>51822629</f>
        <v>5.1822629E7</v>
      </c>
      <c r="W73" s="32" t="n">
        <f>27025313</f>
        <v>2.7025313E7</v>
      </c>
      <c r="X73" s="36" t="n">
        <f>22</f>
        <v>22.0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1871</f>
        <v>1871.0</v>
      </c>
      <c r="L74" s="34" t="s">
        <v>48</v>
      </c>
      <c r="M74" s="33" t="n">
        <f>1945</f>
        <v>1945.0</v>
      </c>
      <c r="N74" s="34" t="s">
        <v>183</v>
      </c>
      <c r="O74" s="33" t="n">
        <f>1854</f>
        <v>1854.0</v>
      </c>
      <c r="P74" s="34" t="s">
        <v>48</v>
      </c>
      <c r="Q74" s="33" t="n">
        <f>1929</f>
        <v>1929.0</v>
      </c>
      <c r="R74" s="34" t="s">
        <v>51</v>
      </c>
      <c r="S74" s="35" t="n">
        <f>1906.23</f>
        <v>1906.23</v>
      </c>
      <c r="T74" s="32" t="n">
        <f>223168</f>
        <v>223168.0</v>
      </c>
      <c r="U74" s="32" t="str">
        <f>"－"</f>
        <v>－</v>
      </c>
      <c r="V74" s="32" t="n">
        <f>424603532</f>
        <v>4.24603532E8</v>
      </c>
      <c r="W74" s="32" t="str">
        <f>"－"</f>
        <v>－</v>
      </c>
      <c r="X74" s="36" t="n">
        <f>22</f>
        <v>22.0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21490</f>
        <v>21490.0</v>
      </c>
      <c r="L75" s="34" t="s">
        <v>48</v>
      </c>
      <c r="M75" s="33" t="n">
        <f>22240</f>
        <v>22240.0</v>
      </c>
      <c r="N75" s="34" t="s">
        <v>49</v>
      </c>
      <c r="O75" s="33" t="n">
        <f>21330</f>
        <v>21330.0</v>
      </c>
      <c r="P75" s="34" t="s">
        <v>50</v>
      </c>
      <c r="Q75" s="33" t="n">
        <f>22240</f>
        <v>22240.0</v>
      </c>
      <c r="R75" s="34" t="s">
        <v>49</v>
      </c>
      <c r="S75" s="35" t="n">
        <f>21604.62</f>
        <v>21604.62</v>
      </c>
      <c r="T75" s="32" t="n">
        <f>73</f>
        <v>73.0</v>
      </c>
      <c r="U75" s="32" t="str">
        <f>"－"</f>
        <v>－</v>
      </c>
      <c r="V75" s="32" t="n">
        <f>1573830</f>
        <v>1573830.0</v>
      </c>
      <c r="W75" s="32" t="str">
        <f>"－"</f>
        <v>－</v>
      </c>
      <c r="X75" s="36" t="n">
        <f>13</f>
        <v>13.0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18120</f>
        <v>18120.0</v>
      </c>
      <c r="L76" s="34" t="s">
        <v>172</v>
      </c>
      <c r="M76" s="33" t="n">
        <f>18450</f>
        <v>18450.0</v>
      </c>
      <c r="N76" s="34" t="s">
        <v>51</v>
      </c>
      <c r="O76" s="33" t="n">
        <f>17880</f>
        <v>17880.0</v>
      </c>
      <c r="P76" s="34" t="s">
        <v>86</v>
      </c>
      <c r="Q76" s="33" t="n">
        <f>18380</f>
        <v>18380.0</v>
      </c>
      <c r="R76" s="34" t="s">
        <v>51</v>
      </c>
      <c r="S76" s="35" t="n">
        <f>18107.14</f>
        <v>18107.14</v>
      </c>
      <c r="T76" s="32" t="n">
        <f>449</f>
        <v>449.0</v>
      </c>
      <c r="U76" s="32" t="str">
        <f>"－"</f>
        <v>－</v>
      </c>
      <c r="V76" s="32" t="n">
        <f>8074690</f>
        <v>8074690.0</v>
      </c>
      <c r="W76" s="32" t="str">
        <f>"－"</f>
        <v>－</v>
      </c>
      <c r="X76" s="36" t="n">
        <f>14</f>
        <v>14.0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1775</f>
        <v>1775.0</v>
      </c>
      <c r="L77" s="34" t="s">
        <v>48</v>
      </c>
      <c r="M77" s="33" t="n">
        <f>1838</f>
        <v>1838.0</v>
      </c>
      <c r="N77" s="34" t="s">
        <v>49</v>
      </c>
      <c r="O77" s="33" t="n">
        <f>1753</f>
        <v>1753.0</v>
      </c>
      <c r="P77" s="34" t="s">
        <v>50</v>
      </c>
      <c r="Q77" s="33" t="n">
        <f>1836</f>
        <v>1836.0</v>
      </c>
      <c r="R77" s="34" t="s">
        <v>51</v>
      </c>
      <c r="S77" s="35" t="n">
        <f>1789.64</f>
        <v>1789.64</v>
      </c>
      <c r="T77" s="32" t="n">
        <f>3521</f>
        <v>3521.0</v>
      </c>
      <c r="U77" s="32" t="str">
        <f>"－"</f>
        <v>－</v>
      </c>
      <c r="V77" s="32" t="n">
        <f>6306894</f>
        <v>6306894.0</v>
      </c>
      <c r="W77" s="32" t="str">
        <f>"－"</f>
        <v>－</v>
      </c>
      <c r="X77" s="36" t="n">
        <f>22</f>
        <v>22.0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2481</f>
        <v>2481.0</v>
      </c>
      <c r="L78" s="34" t="s">
        <v>48</v>
      </c>
      <c r="M78" s="33" t="n">
        <f>2481</f>
        <v>2481.0</v>
      </c>
      <c r="N78" s="34" t="s">
        <v>48</v>
      </c>
      <c r="O78" s="33" t="n">
        <f>2457</f>
        <v>2457.0</v>
      </c>
      <c r="P78" s="34" t="s">
        <v>61</v>
      </c>
      <c r="Q78" s="33" t="n">
        <f>2463</f>
        <v>2463.0</v>
      </c>
      <c r="R78" s="34" t="s">
        <v>51</v>
      </c>
      <c r="S78" s="35" t="n">
        <f>2466.64</f>
        <v>2466.64</v>
      </c>
      <c r="T78" s="32" t="n">
        <f>2486851</f>
        <v>2486851.0</v>
      </c>
      <c r="U78" s="32" t="n">
        <f>10</f>
        <v>10.0</v>
      </c>
      <c r="V78" s="32" t="n">
        <f>6132803598</f>
        <v>6.132803598E9</v>
      </c>
      <c r="W78" s="32" t="n">
        <f>24659</f>
        <v>24659.0</v>
      </c>
      <c r="X78" s="36" t="n">
        <f>22</f>
        <v>22.0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1751</f>
        <v>1751.0</v>
      </c>
      <c r="L79" s="34" t="s">
        <v>48</v>
      </c>
      <c r="M79" s="33" t="n">
        <f>1810</f>
        <v>1810.0</v>
      </c>
      <c r="N79" s="34" t="s">
        <v>51</v>
      </c>
      <c r="O79" s="33" t="n">
        <f>1701</f>
        <v>1701.0</v>
      </c>
      <c r="P79" s="34" t="s">
        <v>62</v>
      </c>
      <c r="Q79" s="33" t="n">
        <f>1809</f>
        <v>1809.0</v>
      </c>
      <c r="R79" s="34" t="s">
        <v>51</v>
      </c>
      <c r="S79" s="35" t="n">
        <f>1760.33</f>
        <v>1760.33</v>
      </c>
      <c r="T79" s="32" t="n">
        <f>839</f>
        <v>839.0</v>
      </c>
      <c r="U79" s="32" t="str">
        <f>"－"</f>
        <v>－</v>
      </c>
      <c r="V79" s="32" t="n">
        <f>1474824</f>
        <v>1474824.0</v>
      </c>
      <c r="W79" s="32" t="str">
        <f>"－"</f>
        <v>－</v>
      </c>
      <c r="X79" s="36" t="n">
        <f>21</f>
        <v>21.0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1749</f>
        <v>1749.0</v>
      </c>
      <c r="L80" s="34" t="s">
        <v>48</v>
      </c>
      <c r="M80" s="33" t="n">
        <f>1816</f>
        <v>1816.0</v>
      </c>
      <c r="N80" s="34" t="s">
        <v>49</v>
      </c>
      <c r="O80" s="33" t="n">
        <f>1735</f>
        <v>1735.0</v>
      </c>
      <c r="P80" s="34" t="s">
        <v>61</v>
      </c>
      <c r="Q80" s="33" t="n">
        <f>1807</f>
        <v>1807.0</v>
      </c>
      <c r="R80" s="34" t="s">
        <v>51</v>
      </c>
      <c r="S80" s="35" t="n">
        <f>1763.91</f>
        <v>1763.91</v>
      </c>
      <c r="T80" s="32" t="n">
        <f>12820</f>
        <v>12820.0</v>
      </c>
      <c r="U80" s="32" t="str">
        <f>"－"</f>
        <v>－</v>
      </c>
      <c r="V80" s="32" t="n">
        <f>22483820</f>
        <v>2.248382E7</v>
      </c>
      <c r="W80" s="32" t="str">
        <f>"－"</f>
        <v>－</v>
      </c>
      <c r="X80" s="36" t="n">
        <f>22</f>
        <v>22.0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29640</f>
        <v>29640.0</v>
      </c>
      <c r="L81" s="34" t="s">
        <v>172</v>
      </c>
      <c r="M81" s="33" t="n">
        <f>29680</f>
        <v>29680.0</v>
      </c>
      <c r="N81" s="34" t="s">
        <v>221</v>
      </c>
      <c r="O81" s="33" t="n">
        <f>28170</f>
        <v>28170.0</v>
      </c>
      <c r="P81" s="34" t="s">
        <v>183</v>
      </c>
      <c r="Q81" s="33" t="n">
        <f>29290</f>
        <v>29290.0</v>
      </c>
      <c r="R81" s="34" t="s">
        <v>51</v>
      </c>
      <c r="S81" s="35" t="n">
        <f>29193.08</f>
        <v>29193.08</v>
      </c>
      <c r="T81" s="32" t="n">
        <f>96</f>
        <v>96.0</v>
      </c>
      <c r="U81" s="32" t="str">
        <f>"－"</f>
        <v>－</v>
      </c>
      <c r="V81" s="32" t="n">
        <f>2796270</f>
        <v>2796270.0</v>
      </c>
      <c r="W81" s="32" t="str">
        <f>"－"</f>
        <v>－</v>
      </c>
      <c r="X81" s="36" t="n">
        <f>13</f>
        <v>13.0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21490</f>
        <v>21490.0</v>
      </c>
      <c r="L82" s="34" t="s">
        <v>48</v>
      </c>
      <c r="M82" s="33" t="n">
        <f>21500</f>
        <v>21500.0</v>
      </c>
      <c r="N82" s="34" t="s">
        <v>48</v>
      </c>
      <c r="O82" s="33" t="n">
        <f>21140</f>
        <v>21140.0</v>
      </c>
      <c r="P82" s="34" t="s">
        <v>93</v>
      </c>
      <c r="Q82" s="33" t="n">
        <f>21180</f>
        <v>21180.0</v>
      </c>
      <c r="R82" s="34" t="s">
        <v>51</v>
      </c>
      <c r="S82" s="35" t="n">
        <f>21291.36</f>
        <v>21291.36</v>
      </c>
      <c r="T82" s="32" t="n">
        <f>91613</f>
        <v>91613.0</v>
      </c>
      <c r="U82" s="32" t="n">
        <f>16500</f>
        <v>16500.0</v>
      </c>
      <c r="V82" s="32" t="n">
        <f>1944274400</f>
        <v>1.9442744E9</v>
      </c>
      <c r="W82" s="32" t="n">
        <f>351067450</f>
        <v>3.5106745E8</v>
      </c>
      <c r="X82" s="36" t="n">
        <f>22</f>
        <v>22.0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19470</f>
        <v>19470.0</v>
      </c>
      <c r="L83" s="34" t="s">
        <v>48</v>
      </c>
      <c r="M83" s="33" t="n">
        <f>19500</f>
        <v>19500.0</v>
      </c>
      <c r="N83" s="34" t="s">
        <v>196</v>
      </c>
      <c r="O83" s="33" t="n">
        <f>19290</f>
        <v>19290.0</v>
      </c>
      <c r="P83" s="34" t="s">
        <v>61</v>
      </c>
      <c r="Q83" s="33" t="n">
        <f>19340</f>
        <v>19340.0</v>
      </c>
      <c r="R83" s="34" t="s">
        <v>51</v>
      </c>
      <c r="S83" s="35" t="n">
        <f>19362.27</f>
        <v>19362.27</v>
      </c>
      <c r="T83" s="32" t="n">
        <f>299719</f>
        <v>299719.0</v>
      </c>
      <c r="U83" s="32" t="n">
        <f>102500</f>
        <v>102500.0</v>
      </c>
      <c r="V83" s="32" t="n">
        <f>5803982695</f>
        <v>5.803982695E9</v>
      </c>
      <c r="W83" s="32" t="n">
        <f>1985992425</f>
        <v>1.985992425E9</v>
      </c>
      <c r="X83" s="36" t="n">
        <f>22</f>
        <v>22.0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1745</f>
        <v>1745.0</v>
      </c>
      <c r="L84" s="34" t="s">
        <v>48</v>
      </c>
      <c r="M84" s="33" t="n">
        <f>1882</f>
        <v>1882.0</v>
      </c>
      <c r="N84" s="34" t="s">
        <v>49</v>
      </c>
      <c r="O84" s="33" t="n">
        <f>1726</f>
        <v>1726.0</v>
      </c>
      <c r="P84" s="34" t="s">
        <v>69</v>
      </c>
      <c r="Q84" s="33" t="n">
        <f>1834</f>
        <v>1834.0</v>
      </c>
      <c r="R84" s="34" t="s">
        <v>51</v>
      </c>
      <c r="S84" s="35" t="n">
        <f>1763.23</f>
        <v>1763.23</v>
      </c>
      <c r="T84" s="32" t="n">
        <f>1118180</f>
        <v>1118180.0</v>
      </c>
      <c r="U84" s="32" t="n">
        <f>590100</f>
        <v>590100.0</v>
      </c>
      <c r="V84" s="32" t="n">
        <f>1983099450</f>
        <v>1.98309945E9</v>
      </c>
      <c r="W84" s="32" t="n">
        <f>1052956950</f>
        <v>1.05295695E9</v>
      </c>
      <c r="X84" s="36" t="n">
        <f>22</f>
        <v>22.0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28850</f>
        <v>28850.0</v>
      </c>
      <c r="L85" s="34" t="s">
        <v>48</v>
      </c>
      <c r="M85" s="33" t="n">
        <f>30200</f>
        <v>30200.0</v>
      </c>
      <c r="N85" s="34" t="s">
        <v>97</v>
      </c>
      <c r="O85" s="33" t="n">
        <f>28800</f>
        <v>28800.0</v>
      </c>
      <c r="P85" s="34" t="s">
        <v>48</v>
      </c>
      <c r="Q85" s="33" t="n">
        <f>30000</f>
        <v>30000.0</v>
      </c>
      <c r="R85" s="34" t="s">
        <v>51</v>
      </c>
      <c r="S85" s="35" t="n">
        <f>29672.73</f>
        <v>29672.73</v>
      </c>
      <c r="T85" s="32" t="n">
        <f>35929</f>
        <v>35929.0</v>
      </c>
      <c r="U85" s="32" t="n">
        <f>2000</f>
        <v>2000.0</v>
      </c>
      <c r="V85" s="32" t="n">
        <f>1066523500</f>
        <v>1.0665235E9</v>
      </c>
      <c r="W85" s="32" t="n">
        <f>59720000</f>
        <v>5.972E7</v>
      </c>
      <c r="X85" s="36" t="n">
        <f>22</f>
        <v>22.0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7660</f>
        <v>7660.0</v>
      </c>
      <c r="L86" s="34" t="s">
        <v>172</v>
      </c>
      <c r="M86" s="33" t="n">
        <f>7720</f>
        <v>7720.0</v>
      </c>
      <c r="N86" s="34" t="s">
        <v>304</v>
      </c>
      <c r="O86" s="33" t="n">
        <f>7640</f>
        <v>7640.0</v>
      </c>
      <c r="P86" s="34" t="s">
        <v>304</v>
      </c>
      <c r="Q86" s="33" t="n">
        <f>7710</f>
        <v>7710.0</v>
      </c>
      <c r="R86" s="34" t="s">
        <v>51</v>
      </c>
      <c r="S86" s="35" t="n">
        <f>7665</f>
        <v>7665.0</v>
      </c>
      <c r="T86" s="32" t="n">
        <f>1090</f>
        <v>1090.0</v>
      </c>
      <c r="U86" s="32" t="str">
        <f>"－"</f>
        <v>－</v>
      </c>
      <c r="V86" s="32" t="n">
        <f>8375600</f>
        <v>8375600.0</v>
      </c>
      <c r="W86" s="32" t="str">
        <f>"－"</f>
        <v>－</v>
      </c>
      <c r="X86" s="36" t="n">
        <f>4</f>
        <v>4.0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14530</f>
        <v>14530.0</v>
      </c>
      <c r="L87" s="34" t="s">
        <v>48</v>
      </c>
      <c r="M87" s="33" t="n">
        <f>15180</f>
        <v>15180.0</v>
      </c>
      <c r="N87" s="34" t="s">
        <v>51</v>
      </c>
      <c r="O87" s="33" t="n">
        <f>14530</f>
        <v>14530.0</v>
      </c>
      <c r="P87" s="34" t="s">
        <v>48</v>
      </c>
      <c r="Q87" s="33" t="n">
        <f>15140</f>
        <v>15140.0</v>
      </c>
      <c r="R87" s="34" t="s">
        <v>51</v>
      </c>
      <c r="S87" s="35" t="n">
        <f>14805.71</f>
        <v>14805.71</v>
      </c>
      <c r="T87" s="32" t="n">
        <f>945</f>
        <v>945.0</v>
      </c>
      <c r="U87" s="32" t="str">
        <f>"－"</f>
        <v>－</v>
      </c>
      <c r="V87" s="32" t="n">
        <f>14065100</f>
        <v>1.40651E7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14460</f>
        <v>14460.0</v>
      </c>
      <c r="L88" s="34" t="s">
        <v>48</v>
      </c>
      <c r="M88" s="33" t="n">
        <f>15180</f>
        <v>15180.0</v>
      </c>
      <c r="N88" s="34" t="s">
        <v>51</v>
      </c>
      <c r="O88" s="33" t="n">
        <f>14460</f>
        <v>14460.0</v>
      </c>
      <c r="P88" s="34" t="s">
        <v>48</v>
      </c>
      <c r="Q88" s="33" t="n">
        <f>15150</f>
        <v>15150.0</v>
      </c>
      <c r="R88" s="34" t="s">
        <v>51</v>
      </c>
      <c r="S88" s="35" t="n">
        <f>14864.09</f>
        <v>14864.09</v>
      </c>
      <c r="T88" s="32" t="n">
        <f>10182</f>
        <v>10182.0</v>
      </c>
      <c r="U88" s="32" t="str">
        <f>"－"</f>
        <v>－</v>
      </c>
      <c r="V88" s="32" t="n">
        <f>151339370</f>
        <v>1.5133937E8</v>
      </c>
      <c r="W88" s="32" t="str">
        <f>"－"</f>
        <v>－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16680</f>
        <v>16680.0</v>
      </c>
      <c r="L89" s="34" t="s">
        <v>48</v>
      </c>
      <c r="M89" s="33" t="n">
        <f>17320</f>
        <v>17320.0</v>
      </c>
      <c r="N89" s="34" t="s">
        <v>196</v>
      </c>
      <c r="O89" s="33" t="n">
        <f>16680</f>
        <v>16680.0</v>
      </c>
      <c r="P89" s="34" t="s">
        <v>48</v>
      </c>
      <c r="Q89" s="33" t="n">
        <f>17210</f>
        <v>17210.0</v>
      </c>
      <c r="R89" s="34" t="s">
        <v>51</v>
      </c>
      <c r="S89" s="35" t="n">
        <f>17077.27</f>
        <v>17077.27</v>
      </c>
      <c r="T89" s="32" t="n">
        <f>2315</f>
        <v>2315.0</v>
      </c>
      <c r="U89" s="32" t="str">
        <f>"－"</f>
        <v>－</v>
      </c>
      <c r="V89" s="32" t="n">
        <f>39580960</f>
        <v>3.958096E7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9860</f>
        <v>9860.0</v>
      </c>
      <c r="L90" s="34" t="s">
        <v>48</v>
      </c>
      <c r="M90" s="33" t="n">
        <f>10130</f>
        <v>10130.0</v>
      </c>
      <c r="N90" s="34" t="s">
        <v>61</v>
      </c>
      <c r="O90" s="33" t="n">
        <f>9730</f>
        <v>9730.0</v>
      </c>
      <c r="P90" s="34" t="s">
        <v>132</v>
      </c>
      <c r="Q90" s="33" t="n">
        <f>10030</f>
        <v>10030.0</v>
      </c>
      <c r="R90" s="34" t="s">
        <v>51</v>
      </c>
      <c r="S90" s="35" t="n">
        <f>9924.09</f>
        <v>9924.09</v>
      </c>
      <c r="T90" s="32" t="n">
        <f>14270</f>
        <v>14270.0</v>
      </c>
      <c r="U90" s="32" t="str">
        <f>"－"</f>
        <v>－</v>
      </c>
      <c r="V90" s="32" t="n">
        <f>141680000</f>
        <v>1.4168E8</v>
      </c>
      <c r="W90" s="32" t="str">
        <f>"－"</f>
        <v>－</v>
      </c>
      <c r="X90" s="36" t="n">
        <f>22</f>
        <v>22.0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2702</f>
        <v>2702.0</v>
      </c>
      <c r="L91" s="34" t="s">
        <v>48</v>
      </c>
      <c r="M91" s="33" t="n">
        <f>2702</f>
        <v>2702.0</v>
      </c>
      <c r="N91" s="34" t="s">
        <v>48</v>
      </c>
      <c r="O91" s="33" t="n">
        <f>2660</f>
        <v>2660.0</v>
      </c>
      <c r="P91" s="34" t="s">
        <v>255</v>
      </c>
      <c r="Q91" s="33" t="n">
        <f>2690</f>
        <v>2690.0</v>
      </c>
      <c r="R91" s="34" t="s">
        <v>51</v>
      </c>
      <c r="S91" s="35" t="n">
        <f>2680.91</f>
        <v>2680.91</v>
      </c>
      <c r="T91" s="32" t="n">
        <f>304736</f>
        <v>304736.0</v>
      </c>
      <c r="U91" s="32" t="n">
        <f>159542</f>
        <v>159542.0</v>
      </c>
      <c r="V91" s="32" t="n">
        <f>816948212</f>
        <v>8.16948212E8</v>
      </c>
      <c r="W91" s="32" t="n">
        <f>427341898</f>
        <v>4.27341898E8</v>
      </c>
      <c r="X91" s="36" t="n">
        <f>22</f>
        <v>22.0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2340</f>
        <v>2340.0</v>
      </c>
      <c r="L92" s="34" t="s">
        <v>48</v>
      </c>
      <c r="M92" s="33" t="n">
        <f>2387</f>
        <v>2387.0</v>
      </c>
      <c r="N92" s="34" t="s">
        <v>323</v>
      </c>
      <c r="O92" s="33" t="n">
        <f>2335</f>
        <v>2335.0</v>
      </c>
      <c r="P92" s="34" t="s">
        <v>48</v>
      </c>
      <c r="Q92" s="33" t="n">
        <f>2379</f>
        <v>2379.0</v>
      </c>
      <c r="R92" s="34" t="s">
        <v>51</v>
      </c>
      <c r="S92" s="35" t="n">
        <f>2361.86</f>
        <v>2361.86</v>
      </c>
      <c r="T92" s="32" t="n">
        <f>422095</f>
        <v>422095.0</v>
      </c>
      <c r="U92" s="32" t="n">
        <f>150000</f>
        <v>150000.0</v>
      </c>
      <c r="V92" s="32" t="n">
        <f>996702198</f>
        <v>9.96702198E8</v>
      </c>
      <c r="W92" s="32" t="n">
        <f>354611295</f>
        <v>3.54611295E8</v>
      </c>
      <c r="X92" s="36" t="n">
        <f>22</f>
        <v>22.0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13320</f>
        <v>13320.0</v>
      </c>
      <c r="L93" s="34" t="s">
        <v>48</v>
      </c>
      <c r="M93" s="33" t="n">
        <f>13780</f>
        <v>13780.0</v>
      </c>
      <c r="N93" s="34" t="s">
        <v>49</v>
      </c>
      <c r="O93" s="33" t="n">
        <f>13220</f>
        <v>13220.0</v>
      </c>
      <c r="P93" s="34" t="s">
        <v>86</v>
      </c>
      <c r="Q93" s="33" t="n">
        <f>13680</f>
        <v>13680.0</v>
      </c>
      <c r="R93" s="34" t="s">
        <v>51</v>
      </c>
      <c r="S93" s="35" t="n">
        <f>13423.18</f>
        <v>13423.18</v>
      </c>
      <c r="T93" s="32" t="n">
        <f>4630</f>
        <v>4630.0</v>
      </c>
      <c r="U93" s="32" t="str">
        <f>"－"</f>
        <v>－</v>
      </c>
      <c r="V93" s="32" t="n">
        <f>62988170</f>
        <v>6.298817E7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7790</f>
        <v>7790.0</v>
      </c>
      <c r="L94" s="34" t="s">
        <v>48</v>
      </c>
      <c r="M94" s="33" t="n">
        <f>7980</f>
        <v>7980.0</v>
      </c>
      <c r="N94" s="34" t="s">
        <v>183</v>
      </c>
      <c r="O94" s="33" t="n">
        <f>7730</f>
        <v>7730.0</v>
      </c>
      <c r="P94" s="34" t="s">
        <v>255</v>
      </c>
      <c r="Q94" s="33" t="n">
        <f>7920</f>
        <v>7920.0</v>
      </c>
      <c r="R94" s="34" t="s">
        <v>51</v>
      </c>
      <c r="S94" s="35" t="n">
        <f>7858.1</f>
        <v>7858.1</v>
      </c>
      <c r="T94" s="32" t="n">
        <f>332</f>
        <v>332.0</v>
      </c>
      <c r="U94" s="32" t="str">
        <f>"－"</f>
        <v>－</v>
      </c>
      <c r="V94" s="32" t="n">
        <f>2613040</f>
        <v>2613040.0</v>
      </c>
      <c r="W94" s="32" t="str">
        <f>"－"</f>
        <v>－</v>
      </c>
      <c r="X94" s="36" t="n">
        <f>21</f>
        <v>21.0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5710</f>
        <v>5710.0</v>
      </c>
      <c r="L95" s="34" t="s">
        <v>48</v>
      </c>
      <c r="M95" s="33" t="n">
        <f>6230</f>
        <v>6230.0</v>
      </c>
      <c r="N95" s="34" t="s">
        <v>93</v>
      </c>
      <c r="O95" s="33" t="n">
        <f>5700</f>
        <v>5700.0</v>
      </c>
      <c r="P95" s="34" t="s">
        <v>48</v>
      </c>
      <c r="Q95" s="33" t="n">
        <f>6090</f>
        <v>6090.0</v>
      </c>
      <c r="R95" s="34" t="s">
        <v>51</v>
      </c>
      <c r="S95" s="35" t="n">
        <f>5977.73</f>
        <v>5977.73</v>
      </c>
      <c r="T95" s="32" t="n">
        <f>4152554</f>
        <v>4152554.0</v>
      </c>
      <c r="U95" s="32" t="n">
        <f>197944</f>
        <v>197944.0</v>
      </c>
      <c r="V95" s="32" t="n">
        <f>24905434963</f>
        <v>2.4905434963E10</v>
      </c>
      <c r="W95" s="32" t="n">
        <f>1201272823</f>
        <v>1.201272823E9</v>
      </c>
      <c r="X95" s="36" t="n">
        <f>22</f>
        <v>22.0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3040</f>
        <v>3040.0</v>
      </c>
      <c r="L96" s="34" t="s">
        <v>48</v>
      </c>
      <c r="M96" s="33" t="n">
        <f>3260</f>
        <v>3260.0</v>
      </c>
      <c r="N96" s="34" t="s">
        <v>61</v>
      </c>
      <c r="O96" s="33" t="n">
        <f>3035</f>
        <v>3035.0</v>
      </c>
      <c r="P96" s="34" t="s">
        <v>48</v>
      </c>
      <c r="Q96" s="33" t="n">
        <f>3250</f>
        <v>3250.0</v>
      </c>
      <c r="R96" s="34" t="s">
        <v>51</v>
      </c>
      <c r="S96" s="35" t="n">
        <f>3157.5</f>
        <v>3157.5</v>
      </c>
      <c r="T96" s="32" t="n">
        <f>1808289</f>
        <v>1808289.0</v>
      </c>
      <c r="U96" s="32" t="str">
        <f>"－"</f>
        <v>－</v>
      </c>
      <c r="V96" s="32" t="n">
        <f>5730233635</f>
        <v>5.730233635E9</v>
      </c>
      <c r="W96" s="32" t="str">
        <f>"－"</f>
        <v>－</v>
      </c>
      <c r="X96" s="36" t="n">
        <f>22</f>
        <v>22.0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7020</f>
        <v>7020.0</v>
      </c>
      <c r="L97" s="34" t="s">
        <v>48</v>
      </c>
      <c r="M97" s="33" t="n">
        <f>8970</f>
        <v>8970.0</v>
      </c>
      <c r="N97" s="34" t="s">
        <v>51</v>
      </c>
      <c r="O97" s="33" t="n">
        <f>7010</f>
        <v>7010.0</v>
      </c>
      <c r="P97" s="34" t="s">
        <v>48</v>
      </c>
      <c r="Q97" s="33" t="n">
        <f>8930</f>
        <v>8930.0</v>
      </c>
      <c r="R97" s="34" t="s">
        <v>51</v>
      </c>
      <c r="S97" s="35" t="n">
        <f>7951.82</f>
        <v>7951.82</v>
      </c>
      <c r="T97" s="32" t="n">
        <f>688756</f>
        <v>688756.0</v>
      </c>
      <c r="U97" s="32" t="n">
        <f>15019</f>
        <v>15019.0</v>
      </c>
      <c r="V97" s="32" t="n">
        <f>5642471890</f>
        <v>5.64247189E9</v>
      </c>
      <c r="W97" s="32" t="n">
        <f>126603310</f>
        <v>1.2660331E8</v>
      </c>
      <c r="X97" s="36" t="n">
        <f>22</f>
        <v>22.0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70100</f>
        <v>70100.0</v>
      </c>
      <c r="L98" s="34" t="s">
        <v>48</v>
      </c>
      <c r="M98" s="33" t="n">
        <f>70700</f>
        <v>70700.0</v>
      </c>
      <c r="N98" s="34" t="s">
        <v>172</v>
      </c>
      <c r="O98" s="33" t="n">
        <f>66600</f>
        <v>66600.0</v>
      </c>
      <c r="P98" s="34" t="s">
        <v>51</v>
      </c>
      <c r="Q98" s="33" t="n">
        <f>66600</f>
        <v>66600.0</v>
      </c>
      <c r="R98" s="34" t="s">
        <v>51</v>
      </c>
      <c r="S98" s="35" t="n">
        <f>68481.82</f>
        <v>68481.82</v>
      </c>
      <c r="T98" s="32" t="n">
        <f>2348</f>
        <v>2348.0</v>
      </c>
      <c r="U98" s="32" t="str">
        <f>"－"</f>
        <v>－</v>
      </c>
      <c r="V98" s="32" t="n">
        <f>160666500</f>
        <v>1.606665E8</v>
      </c>
      <c r="W98" s="32" t="str">
        <f>"－"</f>
        <v>－</v>
      </c>
      <c r="X98" s="36" t="n">
        <f>22</f>
        <v>22.0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13040</f>
        <v>13040.0</v>
      </c>
      <c r="L99" s="34" t="s">
        <v>48</v>
      </c>
      <c r="M99" s="33" t="n">
        <f>13520</f>
        <v>13520.0</v>
      </c>
      <c r="N99" s="34" t="s">
        <v>49</v>
      </c>
      <c r="O99" s="33" t="n">
        <f>13010</f>
        <v>13010.0</v>
      </c>
      <c r="P99" s="34" t="s">
        <v>345</v>
      </c>
      <c r="Q99" s="33" t="n">
        <f>13470</f>
        <v>13470.0</v>
      </c>
      <c r="R99" s="34" t="s">
        <v>51</v>
      </c>
      <c r="S99" s="35" t="n">
        <f>13240.45</f>
        <v>13240.45</v>
      </c>
      <c r="T99" s="32" t="n">
        <f>1817080</f>
        <v>1817080.0</v>
      </c>
      <c r="U99" s="32" t="n">
        <f>49756</f>
        <v>49756.0</v>
      </c>
      <c r="V99" s="32" t="n">
        <f>24062686795</f>
        <v>2.4062686795E10</v>
      </c>
      <c r="W99" s="32" t="n">
        <f>660336425</f>
        <v>6.60336425E8</v>
      </c>
      <c r="X99" s="36" t="n">
        <f>22</f>
        <v>22.0</v>
      </c>
    </row>
    <row r="100">
      <c r="A100" s="27" t="s">
        <v>42</v>
      </c>
      <c r="B100" s="27" t="s">
        <v>346</v>
      </c>
      <c r="C100" s="27" t="s">
        <v>347</v>
      </c>
      <c r="D100" s="27" t="s">
        <v>348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30250</f>
        <v>30250.0</v>
      </c>
      <c r="L100" s="34" t="s">
        <v>48</v>
      </c>
      <c r="M100" s="33" t="n">
        <f>30950</f>
        <v>30950.0</v>
      </c>
      <c r="N100" s="34" t="s">
        <v>49</v>
      </c>
      <c r="O100" s="33" t="n">
        <f>30100</f>
        <v>30100.0</v>
      </c>
      <c r="P100" s="34" t="s">
        <v>172</v>
      </c>
      <c r="Q100" s="33" t="n">
        <f>30550</f>
        <v>30550.0</v>
      </c>
      <c r="R100" s="34" t="s">
        <v>51</v>
      </c>
      <c r="S100" s="35" t="n">
        <f>30452.27</f>
        <v>30452.27</v>
      </c>
      <c r="T100" s="32" t="n">
        <f>195162</f>
        <v>195162.0</v>
      </c>
      <c r="U100" s="32" t="n">
        <f>6883</f>
        <v>6883.0</v>
      </c>
      <c r="V100" s="32" t="n">
        <f>5942865900</f>
        <v>5.9428659E9</v>
      </c>
      <c r="W100" s="32" t="n">
        <f>210895050</f>
        <v>2.1089505E8</v>
      </c>
      <c r="X100" s="36" t="n">
        <f>22</f>
        <v>22.0</v>
      </c>
    </row>
    <row r="101">
      <c r="A101" s="27" t="s">
        <v>42</v>
      </c>
      <c r="B101" s="27" t="s">
        <v>349</v>
      </c>
      <c r="C101" s="27" t="s">
        <v>350</v>
      </c>
      <c r="D101" s="27" t="s">
        <v>351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4140</f>
        <v>4140.0</v>
      </c>
      <c r="L101" s="34" t="s">
        <v>48</v>
      </c>
      <c r="M101" s="33" t="n">
        <f>4255</f>
        <v>4255.0</v>
      </c>
      <c r="N101" s="34" t="s">
        <v>49</v>
      </c>
      <c r="O101" s="33" t="n">
        <f>4140</f>
        <v>4140.0</v>
      </c>
      <c r="P101" s="34" t="s">
        <v>48</v>
      </c>
      <c r="Q101" s="33" t="n">
        <f>4215</f>
        <v>4215.0</v>
      </c>
      <c r="R101" s="34" t="s">
        <v>51</v>
      </c>
      <c r="S101" s="35" t="n">
        <f>4182.05</f>
        <v>4182.05</v>
      </c>
      <c r="T101" s="32" t="n">
        <f>1000110</f>
        <v>1000110.0</v>
      </c>
      <c r="U101" s="32" t="n">
        <f>93090</f>
        <v>93090.0</v>
      </c>
      <c r="V101" s="32" t="n">
        <f>4185063250</f>
        <v>4.18506325E9</v>
      </c>
      <c r="W101" s="32" t="n">
        <f>389111150</f>
        <v>3.8911115E8</v>
      </c>
      <c r="X101" s="36" t="n">
        <f>22</f>
        <v>22.0</v>
      </c>
    </row>
    <row r="102">
      <c r="A102" s="27" t="s">
        <v>42</v>
      </c>
      <c r="B102" s="27" t="s">
        <v>352</v>
      </c>
      <c r="C102" s="27" t="s">
        <v>353</v>
      </c>
      <c r="D102" s="27" t="s">
        <v>354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2740</f>
        <v>2740.0</v>
      </c>
      <c r="L102" s="34" t="s">
        <v>48</v>
      </c>
      <c r="M102" s="33" t="n">
        <f>2826</f>
        <v>2826.0</v>
      </c>
      <c r="N102" s="34" t="s">
        <v>49</v>
      </c>
      <c r="O102" s="33" t="n">
        <f>2740</f>
        <v>2740.0</v>
      </c>
      <c r="P102" s="34" t="s">
        <v>48</v>
      </c>
      <c r="Q102" s="33" t="n">
        <f>2804</f>
        <v>2804.0</v>
      </c>
      <c r="R102" s="34" t="s">
        <v>51</v>
      </c>
      <c r="S102" s="35" t="n">
        <f>2774.73</f>
        <v>2774.73</v>
      </c>
      <c r="T102" s="32" t="n">
        <f>152920</f>
        <v>152920.0</v>
      </c>
      <c r="U102" s="32" t="n">
        <f>18050</f>
        <v>18050.0</v>
      </c>
      <c r="V102" s="32" t="n">
        <f>424237597</f>
        <v>4.24237597E8</v>
      </c>
      <c r="W102" s="32" t="n">
        <f>50015087</f>
        <v>5.0015087E7</v>
      </c>
      <c r="X102" s="36" t="n">
        <f>22</f>
        <v>22.0</v>
      </c>
    </row>
    <row r="103">
      <c r="A103" s="27" t="s">
        <v>42</v>
      </c>
      <c r="B103" s="27" t="s">
        <v>355</v>
      </c>
      <c r="C103" s="27" t="s">
        <v>356</v>
      </c>
      <c r="D103" s="27" t="s">
        <v>357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4960</f>
        <v>4960.0</v>
      </c>
      <c r="L103" s="34" t="s">
        <v>48</v>
      </c>
      <c r="M103" s="33" t="n">
        <f>5180</f>
        <v>5180.0</v>
      </c>
      <c r="N103" s="34" t="s">
        <v>93</v>
      </c>
      <c r="O103" s="33" t="n">
        <f>4840</f>
        <v>4840.0</v>
      </c>
      <c r="P103" s="34" t="s">
        <v>132</v>
      </c>
      <c r="Q103" s="33" t="n">
        <f>5140</f>
        <v>5140.0</v>
      </c>
      <c r="R103" s="34" t="s">
        <v>51</v>
      </c>
      <c r="S103" s="35" t="n">
        <f>5034.09</f>
        <v>5034.09</v>
      </c>
      <c r="T103" s="32" t="n">
        <f>29940</f>
        <v>29940.0</v>
      </c>
      <c r="U103" s="32" t="str">
        <f>"－"</f>
        <v>－</v>
      </c>
      <c r="V103" s="32" t="n">
        <f>151023450</f>
        <v>1.5102345E8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358</v>
      </c>
      <c r="C104" s="27" t="s">
        <v>359</v>
      </c>
      <c r="D104" s="27" t="s">
        <v>360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5740</f>
        <v>5740.0</v>
      </c>
      <c r="L104" s="34" t="s">
        <v>48</v>
      </c>
      <c r="M104" s="33" t="n">
        <f>6290</f>
        <v>6290.0</v>
      </c>
      <c r="N104" s="34" t="s">
        <v>86</v>
      </c>
      <c r="O104" s="33" t="n">
        <f>5500</f>
        <v>5500.0</v>
      </c>
      <c r="P104" s="34" t="s">
        <v>49</v>
      </c>
      <c r="Q104" s="33" t="n">
        <f>5740</f>
        <v>5740.0</v>
      </c>
      <c r="R104" s="34" t="s">
        <v>51</v>
      </c>
      <c r="S104" s="35" t="n">
        <f>5770.45</f>
        <v>5770.45</v>
      </c>
      <c r="T104" s="32" t="n">
        <f>7975245</f>
        <v>7975245.0</v>
      </c>
      <c r="U104" s="32" t="n">
        <f>89455</f>
        <v>89455.0</v>
      </c>
      <c r="V104" s="32" t="n">
        <f>46593331420</f>
        <v>4.659333142E10</v>
      </c>
      <c r="W104" s="32" t="n">
        <f>549861730</f>
        <v>5.4986173E8</v>
      </c>
      <c r="X104" s="36" t="n">
        <f>22</f>
        <v>22.0</v>
      </c>
    </row>
    <row r="105">
      <c r="A105" s="27" t="s">
        <v>42</v>
      </c>
      <c r="B105" s="27" t="s">
        <v>361</v>
      </c>
      <c r="C105" s="27" t="s">
        <v>362</v>
      </c>
      <c r="D105" s="27" t="s">
        <v>363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2392</f>
        <v>2392.0</v>
      </c>
      <c r="L105" s="34" t="s">
        <v>48</v>
      </c>
      <c r="M105" s="33" t="n">
        <f>2492</f>
        <v>2492.0</v>
      </c>
      <c r="N105" s="34" t="s">
        <v>49</v>
      </c>
      <c r="O105" s="33" t="n">
        <f>2392</f>
        <v>2392.0</v>
      </c>
      <c r="P105" s="34" t="s">
        <v>48</v>
      </c>
      <c r="Q105" s="33" t="n">
        <f>2490</f>
        <v>2490.0</v>
      </c>
      <c r="R105" s="34" t="s">
        <v>51</v>
      </c>
      <c r="S105" s="35" t="n">
        <f>2443.41</f>
        <v>2443.41</v>
      </c>
      <c r="T105" s="32" t="n">
        <f>65650</f>
        <v>65650.0</v>
      </c>
      <c r="U105" s="32" t="n">
        <f>100</f>
        <v>100.0</v>
      </c>
      <c r="V105" s="32" t="n">
        <f>160396400</f>
        <v>1.603964E8</v>
      </c>
      <c r="W105" s="32" t="n">
        <f>244790</f>
        <v>244790.0</v>
      </c>
      <c r="X105" s="36" t="n">
        <f>22</f>
        <v>22.0</v>
      </c>
    </row>
    <row r="106">
      <c r="A106" s="27" t="s">
        <v>42</v>
      </c>
      <c r="B106" s="27" t="s">
        <v>364</v>
      </c>
      <c r="C106" s="27" t="s">
        <v>365</v>
      </c>
      <c r="D106" s="27" t="s">
        <v>366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1491</f>
        <v>1491.0</v>
      </c>
      <c r="L106" s="34" t="s">
        <v>48</v>
      </c>
      <c r="M106" s="33" t="n">
        <f>1597</f>
        <v>1597.0</v>
      </c>
      <c r="N106" s="34" t="s">
        <v>51</v>
      </c>
      <c r="O106" s="33" t="n">
        <f>1475</f>
        <v>1475.0</v>
      </c>
      <c r="P106" s="34" t="s">
        <v>97</v>
      </c>
      <c r="Q106" s="33" t="n">
        <f>1587</f>
        <v>1587.0</v>
      </c>
      <c r="R106" s="34" t="s">
        <v>51</v>
      </c>
      <c r="S106" s="35" t="n">
        <f>1514.82</f>
        <v>1514.82</v>
      </c>
      <c r="T106" s="32" t="n">
        <f>208830</f>
        <v>208830.0</v>
      </c>
      <c r="U106" s="32" t="n">
        <f>90</f>
        <v>90.0</v>
      </c>
      <c r="V106" s="32" t="n">
        <f>316079030</f>
        <v>3.1607903E8</v>
      </c>
      <c r="W106" s="32" t="n">
        <f>136240</f>
        <v>136240.0</v>
      </c>
      <c r="X106" s="36" t="n">
        <f>22</f>
        <v>22.0</v>
      </c>
    </row>
    <row r="107">
      <c r="A107" s="27" t="s">
        <v>42</v>
      </c>
      <c r="B107" s="27" t="s">
        <v>367</v>
      </c>
      <c r="C107" s="27" t="s">
        <v>368</v>
      </c>
      <c r="D107" s="27" t="s">
        <v>369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37950</f>
        <v>37950.0</v>
      </c>
      <c r="L107" s="34" t="s">
        <v>48</v>
      </c>
      <c r="M107" s="33" t="n">
        <f>38800</f>
        <v>38800.0</v>
      </c>
      <c r="N107" s="34" t="s">
        <v>49</v>
      </c>
      <c r="O107" s="33" t="n">
        <f>37800</f>
        <v>37800.0</v>
      </c>
      <c r="P107" s="34" t="s">
        <v>86</v>
      </c>
      <c r="Q107" s="33" t="n">
        <f>38500</f>
        <v>38500.0</v>
      </c>
      <c r="R107" s="34" t="s">
        <v>51</v>
      </c>
      <c r="S107" s="35" t="n">
        <f>38256.82</f>
        <v>38256.82</v>
      </c>
      <c r="T107" s="32" t="n">
        <f>163672</f>
        <v>163672.0</v>
      </c>
      <c r="U107" s="32" t="n">
        <f>56000</f>
        <v>56000.0</v>
      </c>
      <c r="V107" s="32" t="n">
        <f>6245988632</f>
        <v>6.245988632E9</v>
      </c>
      <c r="W107" s="32" t="n">
        <f>2127359682</f>
        <v>2.127359682E9</v>
      </c>
      <c r="X107" s="36" t="n">
        <f>22</f>
        <v>22.0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2810</f>
        <v>2810.0</v>
      </c>
      <c r="L108" s="34" t="s">
        <v>48</v>
      </c>
      <c r="M108" s="33" t="n">
        <f>3005</f>
        <v>3005.0</v>
      </c>
      <c r="N108" s="34" t="s">
        <v>345</v>
      </c>
      <c r="O108" s="33" t="n">
        <f>2800</f>
        <v>2800.0</v>
      </c>
      <c r="P108" s="34" t="s">
        <v>76</v>
      </c>
      <c r="Q108" s="33" t="n">
        <f>2880</f>
        <v>2880.0</v>
      </c>
      <c r="R108" s="34" t="s">
        <v>51</v>
      </c>
      <c r="S108" s="35" t="n">
        <f>2915.05</f>
        <v>2915.05</v>
      </c>
      <c r="T108" s="32" t="n">
        <f>15291</f>
        <v>15291.0</v>
      </c>
      <c r="U108" s="32" t="str">
        <f>"－"</f>
        <v>－</v>
      </c>
      <c r="V108" s="32" t="n">
        <f>44529321</f>
        <v>4.4529321E7</v>
      </c>
      <c r="W108" s="32" t="str">
        <f>"－"</f>
        <v>－</v>
      </c>
      <c r="X108" s="36" t="n">
        <f>22</f>
        <v>22.0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4020</f>
        <v>4020.0</v>
      </c>
      <c r="L109" s="34" t="s">
        <v>48</v>
      </c>
      <c r="M109" s="33" t="n">
        <f>4275</f>
        <v>4275.0</v>
      </c>
      <c r="N109" s="34" t="s">
        <v>183</v>
      </c>
      <c r="O109" s="33" t="n">
        <f>3960</f>
        <v>3960.0</v>
      </c>
      <c r="P109" s="34" t="s">
        <v>48</v>
      </c>
      <c r="Q109" s="33" t="n">
        <f>4125</f>
        <v>4125.0</v>
      </c>
      <c r="R109" s="34" t="s">
        <v>51</v>
      </c>
      <c r="S109" s="35" t="n">
        <f>4135.45</f>
        <v>4135.45</v>
      </c>
      <c r="T109" s="32" t="n">
        <f>8707</f>
        <v>8707.0</v>
      </c>
      <c r="U109" s="32" t="str">
        <f>"－"</f>
        <v>－</v>
      </c>
      <c r="V109" s="32" t="n">
        <f>36268710</f>
        <v>3.626871E7</v>
      </c>
      <c r="W109" s="32" t="str">
        <f>"－"</f>
        <v>－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3690</f>
        <v>3690.0</v>
      </c>
      <c r="L110" s="34" t="s">
        <v>48</v>
      </c>
      <c r="M110" s="33" t="n">
        <f>3835</f>
        <v>3835.0</v>
      </c>
      <c r="N110" s="34" t="s">
        <v>172</v>
      </c>
      <c r="O110" s="33" t="n">
        <f>3360</f>
        <v>3360.0</v>
      </c>
      <c r="P110" s="34" t="s">
        <v>86</v>
      </c>
      <c r="Q110" s="33" t="n">
        <f>3565</f>
        <v>3565.0</v>
      </c>
      <c r="R110" s="34" t="s">
        <v>51</v>
      </c>
      <c r="S110" s="35" t="n">
        <f>3512.27</f>
        <v>3512.27</v>
      </c>
      <c r="T110" s="32" t="n">
        <f>576674</f>
        <v>576674.0</v>
      </c>
      <c r="U110" s="32" t="str">
        <f>"－"</f>
        <v>－</v>
      </c>
      <c r="V110" s="32" t="n">
        <f>2052706255</f>
        <v>2.052706255E9</v>
      </c>
      <c r="W110" s="32" t="str">
        <f>"－"</f>
        <v>－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44050</f>
        <v>44050.0</v>
      </c>
      <c r="L111" s="34" t="s">
        <v>48</v>
      </c>
      <c r="M111" s="33" t="n">
        <f>45200</f>
        <v>45200.0</v>
      </c>
      <c r="N111" s="34" t="s">
        <v>51</v>
      </c>
      <c r="O111" s="33" t="n">
        <f>44050</f>
        <v>44050.0</v>
      </c>
      <c r="P111" s="34" t="s">
        <v>48</v>
      </c>
      <c r="Q111" s="33" t="n">
        <f>45100</f>
        <v>45100.0</v>
      </c>
      <c r="R111" s="34" t="s">
        <v>51</v>
      </c>
      <c r="S111" s="35" t="n">
        <f>44747.73</f>
        <v>44747.73</v>
      </c>
      <c r="T111" s="32" t="n">
        <f>15308</f>
        <v>15308.0</v>
      </c>
      <c r="U111" s="32" t="n">
        <f>130</f>
        <v>130.0</v>
      </c>
      <c r="V111" s="32" t="n">
        <f>685148750</f>
        <v>6.8514875E8</v>
      </c>
      <c r="W111" s="32" t="n">
        <f>5817700</f>
        <v>5817700.0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1150</f>
        <v>1150.0</v>
      </c>
      <c r="L112" s="34" t="s">
        <v>132</v>
      </c>
      <c r="M112" s="33" t="n">
        <f>1250</f>
        <v>1250.0</v>
      </c>
      <c r="N112" s="34" t="s">
        <v>183</v>
      </c>
      <c r="O112" s="33" t="n">
        <f>1150</f>
        <v>1150.0</v>
      </c>
      <c r="P112" s="34" t="s">
        <v>132</v>
      </c>
      <c r="Q112" s="33" t="n">
        <f>1250</f>
        <v>1250.0</v>
      </c>
      <c r="R112" s="34" t="s">
        <v>183</v>
      </c>
      <c r="S112" s="35" t="n">
        <f>1202</f>
        <v>1202.0</v>
      </c>
      <c r="T112" s="32" t="n">
        <f>150</f>
        <v>150.0</v>
      </c>
      <c r="U112" s="32" t="str">
        <f>"－"</f>
        <v>－</v>
      </c>
      <c r="V112" s="32" t="n">
        <f>184480</f>
        <v>184480.0</v>
      </c>
      <c r="W112" s="32" t="str">
        <f>"－"</f>
        <v>－</v>
      </c>
      <c r="X112" s="36" t="n">
        <f>3</f>
        <v>3.0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19520</f>
        <v>19520.0</v>
      </c>
      <c r="L113" s="34" t="s">
        <v>48</v>
      </c>
      <c r="M113" s="33" t="n">
        <f>20830</f>
        <v>20830.0</v>
      </c>
      <c r="N113" s="34" t="s">
        <v>49</v>
      </c>
      <c r="O113" s="33" t="n">
        <f>19270</f>
        <v>19270.0</v>
      </c>
      <c r="P113" s="34" t="s">
        <v>50</v>
      </c>
      <c r="Q113" s="33" t="n">
        <f>20480</f>
        <v>20480.0</v>
      </c>
      <c r="R113" s="34" t="s">
        <v>51</v>
      </c>
      <c r="S113" s="35" t="n">
        <f>19906.82</f>
        <v>19906.82</v>
      </c>
      <c r="T113" s="32" t="n">
        <f>1893870</f>
        <v>1893870.0</v>
      </c>
      <c r="U113" s="32" t="n">
        <f>3090</f>
        <v>3090.0</v>
      </c>
      <c r="V113" s="32" t="n">
        <f>37748526725</f>
        <v>3.7748526725E10</v>
      </c>
      <c r="W113" s="32" t="n">
        <f>62210125</f>
        <v>6.2210125E7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2542</f>
        <v>2542.0</v>
      </c>
      <c r="L114" s="34" t="s">
        <v>48</v>
      </c>
      <c r="M114" s="33" t="n">
        <f>2557</f>
        <v>2557.0</v>
      </c>
      <c r="N114" s="34" t="s">
        <v>50</v>
      </c>
      <c r="O114" s="33" t="n">
        <f>2454</f>
        <v>2454.0</v>
      </c>
      <c r="P114" s="34" t="s">
        <v>49</v>
      </c>
      <c r="Q114" s="33" t="n">
        <f>2472</f>
        <v>2472.0</v>
      </c>
      <c r="R114" s="34" t="s">
        <v>51</v>
      </c>
      <c r="S114" s="35" t="n">
        <f>2514.14</f>
        <v>2514.14</v>
      </c>
      <c r="T114" s="32" t="n">
        <f>547710</f>
        <v>547710.0</v>
      </c>
      <c r="U114" s="32" t="n">
        <f>15800</f>
        <v>15800.0</v>
      </c>
      <c r="V114" s="32" t="n">
        <f>1378056951</f>
        <v>1.378056951E9</v>
      </c>
      <c r="W114" s="32" t="n">
        <f>39662501</f>
        <v>3.9662501E7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27140</f>
        <v>27140.0</v>
      </c>
      <c r="L115" s="34" t="s">
        <v>48</v>
      </c>
      <c r="M115" s="33" t="n">
        <f>29210</f>
        <v>29210.0</v>
      </c>
      <c r="N115" s="34" t="s">
        <v>49</v>
      </c>
      <c r="O115" s="33" t="n">
        <f>26510</f>
        <v>26510.0</v>
      </c>
      <c r="P115" s="34" t="s">
        <v>50</v>
      </c>
      <c r="Q115" s="33" t="n">
        <f>28900</f>
        <v>28900.0</v>
      </c>
      <c r="R115" s="34" t="s">
        <v>51</v>
      </c>
      <c r="S115" s="35" t="n">
        <f>27435.91</f>
        <v>27435.91</v>
      </c>
      <c r="T115" s="32" t="n">
        <f>103883201</f>
        <v>1.03883201E8</v>
      </c>
      <c r="U115" s="32" t="n">
        <f>32210</f>
        <v>32210.0</v>
      </c>
      <c r="V115" s="32" t="n">
        <f>2851200162022</f>
        <v>2.851200162022E12</v>
      </c>
      <c r="W115" s="32" t="n">
        <f>874662122</f>
        <v>8.74662122E8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1135</f>
        <v>1135.0</v>
      </c>
      <c r="L116" s="34" t="s">
        <v>48</v>
      </c>
      <c r="M116" s="33" t="n">
        <f>1147</f>
        <v>1147.0</v>
      </c>
      <c r="N116" s="34" t="s">
        <v>50</v>
      </c>
      <c r="O116" s="33" t="n">
        <f>1089</f>
        <v>1089.0</v>
      </c>
      <c r="P116" s="34" t="s">
        <v>49</v>
      </c>
      <c r="Q116" s="33" t="n">
        <f>1094</f>
        <v>1094.0</v>
      </c>
      <c r="R116" s="34" t="s">
        <v>51</v>
      </c>
      <c r="S116" s="35" t="n">
        <f>1126.45</f>
        <v>1126.45</v>
      </c>
      <c r="T116" s="32" t="n">
        <f>10998619</f>
        <v>1.0998619E7</v>
      </c>
      <c r="U116" s="32" t="n">
        <f>49971</f>
        <v>49971.0</v>
      </c>
      <c r="V116" s="32" t="n">
        <f>12369931625</f>
        <v>1.2369931625E10</v>
      </c>
      <c r="W116" s="32" t="n">
        <f>55601929</f>
        <v>5.5601929E7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10650</f>
        <v>10650.0</v>
      </c>
      <c r="L117" s="34" t="s">
        <v>48</v>
      </c>
      <c r="M117" s="33" t="n">
        <f>10900</f>
        <v>10900.0</v>
      </c>
      <c r="N117" s="34" t="s">
        <v>172</v>
      </c>
      <c r="O117" s="33" t="n">
        <f>9970</f>
        <v>9970.0</v>
      </c>
      <c r="P117" s="34" t="s">
        <v>196</v>
      </c>
      <c r="Q117" s="33" t="n">
        <f>10460</f>
        <v>10460.0</v>
      </c>
      <c r="R117" s="34" t="s">
        <v>51</v>
      </c>
      <c r="S117" s="35" t="n">
        <f>10353.18</f>
        <v>10353.18</v>
      </c>
      <c r="T117" s="32" t="n">
        <f>8720</f>
        <v>8720.0</v>
      </c>
      <c r="U117" s="32" t="n">
        <f>10</f>
        <v>10.0</v>
      </c>
      <c r="V117" s="32" t="n">
        <f>89955600</f>
        <v>8.99556E7</v>
      </c>
      <c r="W117" s="32" t="n">
        <f>105000</f>
        <v>105000.0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6590</f>
        <v>6590.0</v>
      </c>
      <c r="L118" s="34" t="s">
        <v>48</v>
      </c>
      <c r="M118" s="33" t="n">
        <f>6810</f>
        <v>6810.0</v>
      </c>
      <c r="N118" s="34" t="s">
        <v>183</v>
      </c>
      <c r="O118" s="33" t="n">
        <f>6530</f>
        <v>6530.0</v>
      </c>
      <c r="P118" s="34" t="s">
        <v>51</v>
      </c>
      <c r="Q118" s="33" t="n">
        <f>6580</f>
        <v>6580.0</v>
      </c>
      <c r="R118" s="34" t="s">
        <v>51</v>
      </c>
      <c r="S118" s="35" t="n">
        <f>6682.86</f>
        <v>6682.86</v>
      </c>
      <c r="T118" s="32" t="n">
        <f>5780</f>
        <v>5780.0</v>
      </c>
      <c r="U118" s="32" t="str">
        <f>"－"</f>
        <v>－</v>
      </c>
      <c r="V118" s="32" t="n">
        <f>38634700</f>
        <v>3.86347E7</v>
      </c>
      <c r="W118" s="32" t="str">
        <f>"－"</f>
        <v>－</v>
      </c>
      <c r="X118" s="36" t="n">
        <f>21</f>
        <v>21.0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1584</f>
        <v>1584.0</v>
      </c>
      <c r="L119" s="34" t="s">
        <v>183</v>
      </c>
      <c r="M119" s="33" t="n">
        <f>1625</f>
        <v>1625.0</v>
      </c>
      <c r="N119" s="34" t="s">
        <v>304</v>
      </c>
      <c r="O119" s="33" t="n">
        <f>1584</f>
        <v>1584.0</v>
      </c>
      <c r="P119" s="34" t="s">
        <v>183</v>
      </c>
      <c r="Q119" s="33" t="n">
        <f>1619</f>
        <v>1619.0</v>
      </c>
      <c r="R119" s="34" t="s">
        <v>49</v>
      </c>
      <c r="S119" s="35" t="n">
        <f>1608</f>
        <v>1608.0</v>
      </c>
      <c r="T119" s="32" t="n">
        <f>540</f>
        <v>540.0</v>
      </c>
      <c r="U119" s="32" t="str">
        <f>"－"</f>
        <v>－</v>
      </c>
      <c r="V119" s="32" t="n">
        <f>861680</f>
        <v>861680.0</v>
      </c>
      <c r="W119" s="32" t="str">
        <f>"－"</f>
        <v>－</v>
      </c>
      <c r="X119" s="36" t="n">
        <f>4</f>
        <v>4.0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800</f>
        <v>800.0</v>
      </c>
      <c r="L120" s="34" t="s">
        <v>48</v>
      </c>
      <c r="M120" s="33" t="n">
        <f>848</f>
        <v>848.0</v>
      </c>
      <c r="N120" s="34" t="s">
        <v>172</v>
      </c>
      <c r="O120" s="33" t="n">
        <f>744</f>
        <v>744.0</v>
      </c>
      <c r="P120" s="34" t="s">
        <v>345</v>
      </c>
      <c r="Q120" s="33" t="n">
        <f>800</f>
        <v>800.0</v>
      </c>
      <c r="R120" s="34" t="s">
        <v>51</v>
      </c>
      <c r="S120" s="35" t="n">
        <f>779.73</f>
        <v>779.73</v>
      </c>
      <c r="T120" s="32" t="n">
        <f>16000</f>
        <v>16000.0</v>
      </c>
      <c r="U120" s="32" t="str">
        <f>"－"</f>
        <v>－</v>
      </c>
      <c r="V120" s="32" t="n">
        <f>12645700</f>
        <v>1.26457E7</v>
      </c>
      <c r="W120" s="32" t="str">
        <f>"－"</f>
        <v>－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766</f>
        <v>766.0</v>
      </c>
      <c r="L121" s="34" t="s">
        <v>172</v>
      </c>
      <c r="M121" s="33" t="n">
        <f>817</f>
        <v>817.0</v>
      </c>
      <c r="N121" s="34" t="s">
        <v>97</v>
      </c>
      <c r="O121" s="33" t="n">
        <f>739</f>
        <v>739.0</v>
      </c>
      <c r="P121" s="34" t="s">
        <v>62</v>
      </c>
      <c r="Q121" s="33" t="n">
        <f>772</f>
        <v>772.0</v>
      </c>
      <c r="R121" s="34" t="s">
        <v>51</v>
      </c>
      <c r="S121" s="35" t="n">
        <f>764.45</f>
        <v>764.45</v>
      </c>
      <c r="T121" s="32" t="n">
        <f>11280</f>
        <v>11280.0</v>
      </c>
      <c r="U121" s="32" t="str">
        <f>"－"</f>
        <v>－</v>
      </c>
      <c r="V121" s="32" t="n">
        <f>8599580</f>
        <v>8599580.0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19130</f>
        <v>19130.0</v>
      </c>
      <c r="L122" s="34" t="s">
        <v>48</v>
      </c>
      <c r="M122" s="33" t="n">
        <f>19930</f>
        <v>19930.0</v>
      </c>
      <c r="N122" s="34" t="s">
        <v>183</v>
      </c>
      <c r="O122" s="33" t="n">
        <f>19120</f>
        <v>19120.0</v>
      </c>
      <c r="P122" s="34" t="s">
        <v>48</v>
      </c>
      <c r="Q122" s="33" t="n">
        <f>19670</f>
        <v>19670.0</v>
      </c>
      <c r="R122" s="34" t="s">
        <v>51</v>
      </c>
      <c r="S122" s="35" t="n">
        <f>19579.09</f>
        <v>19579.09</v>
      </c>
      <c r="T122" s="32" t="n">
        <f>91300</f>
        <v>91300.0</v>
      </c>
      <c r="U122" s="32" t="n">
        <f>17</f>
        <v>17.0</v>
      </c>
      <c r="V122" s="32" t="n">
        <f>1791093590</f>
        <v>1.79109359E9</v>
      </c>
      <c r="W122" s="32" t="n">
        <f>332470</f>
        <v>332470.0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2130</f>
        <v>2130.0</v>
      </c>
      <c r="L123" s="34" t="s">
        <v>48</v>
      </c>
      <c r="M123" s="33" t="n">
        <f>2214</f>
        <v>2214.0</v>
      </c>
      <c r="N123" s="34" t="s">
        <v>49</v>
      </c>
      <c r="O123" s="33" t="n">
        <f>2107</f>
        <v>2107.0</v>
      </c>
      <c r="P123" s="34" t="s">
        <v>50</v>
      </c>
      <c r="Q123" s="33" t="n">
        <f>2200</f>
        <v>2200.0</v>
      </c>
      <c r="R123" s="34" t="s">
        <v>51</v>
      </c>
      <c r="S123" s="35" t="n">
        <f>2144.41</f>
        <v>2144.41</v>
      </c>
      <c r="T123" s="32" t="n">
        <f>24974</f>
        <v>24974.0</v>
      </c>
      <c r="U123" s="32" t="str">
        <f>"－"</f>
        <v>－</v>
      </c>
      <c r="V123" s="32" t="n">
        <f>53805629</f>
        <v>5.3805629E7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418</v>
      </c>
      <c r="C124" s="27" t="s">
        <v>419</v>
      </c>
      <c r="D124" s="27" t="s">
        <v>420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28910</f>
        <v>28910.0</v>
      </c>
      <c r="L124" s="34" t="s">
        <v>48</v>
      </c>
      <c r="M124" s="33" t="n">
        <f>31100</f>
        <v>31100.0</v>
      </c>
      <c r="N124" s="34" t="s">
        <v>49</v>
      </c>
      <c r="O124" s="33" t="n">
        <f>28230</f>
        <v>28230.0</v>
      </c>
      <c r="P124" s="34" t="s">
        <v>50</v>
      </c>
      <c r="Q124" s="33" t="n">
        <f>30800</f>
        <v>30800.0</v>
      </c>
      <c r="R124" s="34" t="s">
        <v>51</v>
      </c>
      <c r="S124" s="35" t="n">
        <f>29205.45</f>
        <v>29205.45</v>
      </c>
      <c r="T124" s="32" t="n">
        <f>8043000</f>
        <v>8043000.0</v>
      </c>
      <c r="U124" s="32" t="n">
        <f>210</f>
        <v>210.0</v>
      </c>
      <c r="V124" s="32" t="n">
        <f>234364985370</f>
        <v>2.3436498537E11</v>
      </c>
      <c r="W124" s="32" t="n">
        <f>6385370</f>
        <v>6385370.0</v>
      </c>
      <c r="X124" s="36" t="n">
        <f>22</f>
        <v>22.0</v>
      </c>
    </row>
    <row r="125">
      <c r="A125" s="27" t="s">
        <v>42</v>
      </c>
      <c r="B125" s="27" t="s">
        <v>421</v>
      </c>
      <c r="C125" s="27" t="s">
        <v>422</v>
      </c>
      <c r="D125" s="27" t="s">
        <v>423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3020</f>
        <v>3020.0</v>
      </c>
      <c r="L125" s="34" t="s">
        <v>48</v>
      </c>
      <c r="M125" s="33" t="n">
        <f>3055</f>
        <v>3055.0</v>
      </c>
      <c r="N125" s="34" t="s">
        <v>50</v>
      </c>
      <c r="O125" s="33" t="n">
        <f>2904</f>
        <v>2904.0</v>
      </c>
      <c r="P125" s="34" t="s">
        <v>49</v>
      </c>
      <c r="Q125" s="33" t="n">
        <f>2918</f>
        <v>2918.0</v>
      </c>
      <c r="R125" s="34" t="s">
        <v>51</v>
      </c>
      <c r="S125" s="35" t="n">
        <f>3001.59</f>
        <v>3001.59</v>
      </c>
      <c r="T125" s="32" t="n">
        <f>1901660</f>
        <v>1901660.0</v>
      </c>
      <c r="U125" s="32" t="n">
        <f>147090</f>
        <v>147090.0</v>
      </c>
      <c r="V125" s="32" t="n">
        <f>5699127978</f>
        <v>5.699127978E9</v>
      </c>
      <c r="W125" s="32" t="n">
        <f>444516798</f>
        <v>4.44516798E8</v>
      </c>
      <c r="X125" s="36" t="n">
        <f>22</f>
        <v>22.0</v>
      </c>
    </row>
    <row r="126">
      <c r="A126" s="27" t="s">
        <v>42</v>
      </c>
      <c r="B126" s="27" t="s">
        <v>424</v>
      </c>
      <c r="C126" s="27" t="s">
        <v>425</v>
      </c>
      <c r="D126" s="27" t="s">
        <v>426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810</f>
        <v>810.0</v>
      </c>
      <c r="L126" s="34" t="s">
        <v>48</v>
      </c>
      <c r="M126" s="33" t="n">
        <f>930</f>
        <v>930.0</v>
      </c>
      <c r="N126" s="34" t="s">
        <v>221</v>
      </c>
      <c r="O126" s="33" t="n">
        <f>810</f>
        <v>810.0</v>
      </c>
      <c r="P126" s="34" t="s">
        <v>48</v>
      </c>
      <c r="Q126" s="33" t="n">
        <f>930</f>
        <v>930.0</v>
      </c>
      <c r="R126" s="34" t="s">
        <v>51</v>
      </c>
      <c r="S126" s="35" t="n">
        <f>874.95</f>
        <v>874.95</v>
      </c>
      <c r="T126" s="32" t="n">
        <f>5190</f>
        <v>5190.0</v>
      </c>
      <c r="U126" s="32" t="n">
        <f>70</f>
        <v>70.0</v>
      </c>
      <c r="V126" s="32" t="n">
        <f>4518570</f>
        <v>4518570.0</v>
      </c>
      <c r="W126" s="32" t="n">
        <f>60270</f>
        <v>60270.0</v>
      </c>
      <c r="X126" s="36" t="n">
        <f>20</f>
        <v>20.0</v>
      </c>
    </row>
    <row r="127">
      <c r="A127" s="27" t="s">
        <v>42</v>
      </c>
      <c r="B127" s="27" t="s">
        <v>427</v>
      </c>
      <c r="C127" s="27" t="s">
        <v>428</v>
      </c>
      <c r="D127" s="27" t="s">
        <v>429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1413</f>
        <v>1413.0</v>
      </c>
      <c r="L127" s="34" t="s">
        <v>48</v>
      </c>
      <c r="M127" s="33" t="n">
        <f>1446</f>
        <v>1446.0</v>
      </c>
      <c r="N127" s="34" t="s">
        <v>49</v>
      </c>
      <c r="O127" s="33" t="n">
        <f>1394</f>
        <v>1394.0</v>
      </c>
      <c r="P127" s="34" t="s">
        <v>62</v>
      </c>
      <c r="Q127" s="33" t="n">
        <f>1446</f>
        <v>1446.0</v>
      </c>
      <c r="R127" s="34" t="s">
        <v>49</v>
      </c>
      <c r="S127" s="35" t="n">
        <f>1421.3</f>
        <v>1421.3</v>
      </c>
      <c r="T127" s="32" t="n">
        <f>77510</f>
        <v>77510.0</v>
      </c>
      <c r="U127" s="32" t="n">
        <f>69840</f>
        <v>69840.0</v>
      </c>
      <c r="V127" s="32" t="n">
        <f>111053706</f>
        <v>1.11053706E8</v>
      </c>
      <c r="W127" s="32" t="n">
        <f>100128456</f>
        <v>1.00128456E8</v>
      </c>
      <c r="X127" s="36" t="n">
        <f>10</f>
        <v>10.0</v>
      </c>
    </row>
    <row r="128">
      <c r="A128" s="27" t="s">
        <v>42</v>
      </c>
      <c r="B128" s="27" t="s">
        <v>430</v>
      </c>
      <c r="C128" s="27" t="s">
        <v>431</v>
      </c>
      <c r="D128" s="27" t="s">
        <v>432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1598</f>
        <v>1598.0</v>
      </c>
      <c r="L128" s="34" t="s">
        <v>48</v>
      </c>
      <c r="M128" s="33" t="n">
        <f>1621</f>
        <v>1621.0</v>
      </c>
      <c r="N128" s="34" t="s">
        <v>49</v>
      </c>
      <c r="O128" s="33" t="n">
        <f>1547</f>
        <v>1547.0</v>
      </c>
      <c r="P128" s="34" t="s">
        <v>62</v>
      </c>
      <c r="Q128" s="33" t="n">
        <f>1617</f>
        <v>1617.0</v>
      </c>
      <c r="R128" s="34" t="s">
        <v>51</v>
      </c>
      <c r="S128" s="35" t="n">
        <f>1593.33</f>
        <v>1593.33</v>
      </c>
      <c r="T128" s="32" t="n">
        <f>902</f>
        <v>902.0</v>
      </c>
      <c r="U128" s="32" t="str">
        <f>"－"</f>
        <v>－</v>
      </c>
      <c r="V128" s="32" t="n">
        <f>1419756</f>
        <v>1419756.0</v>
      </c>
      <c r="W128" s="32" t="str">
        <f>"－"</f>
        <v>－</v>
      </c>
      <c r="X128" s="36" t="n">
        <f>18</f>
        <v>18.0</v>
      </c>
    </row>
    <row r="129">
      <c r="A129" s="27" t="s">
        <v>42</v>
      </c>
      <c r="B129" s="27" t="s">
        <v>433</v>
      </c>
      <c r="C129" s="27" t="s">
        <v>434</v>
      </c>
      <c r="D129" s="27" t="s">
        <v>435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16050</f>
        <v>16050.0</v>
      </c>
      <c r="L129" s="34" t="s">
        <v>48</v>
      </c>
      <c r="M129" s="33" t="n">
        <f>16560</f>
        <v>16560.0</v>
      </c>
      <c r="N129" s="34" t="s">
        <v>49</v>
      </c>
      <c r="O129" s="33" t="n">
        <f>15910</f>
        <v>15910.0</v>
      </c>
      <c r="P129" s="34" t="s">
        <v>86</v>
      </c>
      <c r="Q129" s="33" t="n">
        <f>16390</f>
        <v>16390.0</v>
      </c>
      <c r="R129" s="34" t="s">
        <v>51</v>
      </c>
      <c r="S129" s="35" t="n">
        <f>16164.09</f>
        <v>16164.09</v>
      </c>
      <c r="T129" s="32" t="n">
        <f>167891</f>
        <v>167891.0</v>
      </c>
      <c r="U129" s="32" t="n">
        <f>88011</f>
        <v>88011.0</v>
      </c>
      <c r="V129" s="32" t="n">
        <f>2716015420</f>
        <v>2.71601542E9</v>
      </c>
      <c r="W129" s="32" t="n">
        <f>1419280440</f>
        <v>1.41928044E9</v>
      </c>
      <c r="X129" s="36" t="n">
        <f>22</f>
        <v>22.0</v>
      </c>
    </row>
    <row r="130">
      <c r="A130" s="27" t="s">
        <v>42</v>
      </c>
      <c r="B130" s="27" t="s">
        <v>436</v>
      </c>
      <c r="C130" s="27" t="s">
        <v>437</v>
      </c>
      <c r="D130" s="27" t="s">
        <v>438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1478</f>
        <v>1478.0</v>
      </c>
      <c r="L130" s="34" t="s">
        <v>48</v>
      </c>
      <c r="M130" s="33" t="n">
        <f>1521</f>
        <v>1521.0</v>
      </c>
      <c r="N130" s="34" t="s">
        <v>49</v>
      </c>
      <c r="O130" s="33" t="n">
        <f>1465</f>
        <v>1465.0</v>
      </c>
      <c r="P130" s="34" t="s">
        <v>86</v>
      </c>
      <c r="Q130" s="33" t="n">
        <f>1508</f>
        <v>1508.0</v>
      </c>
      <c r="R130" s="34" t="s">
        <v>51</v>
      </c>
      <c r="S130" s="35" t="n">
        <f>1486.77</f>
        <v>1486.77</v>
      </c>
      <c r="T130" s="32" t="n">
        <f>372152</f>
        <v>372152.0</v>
      </c>
      <c r="U130" s="32" t="n">
        <f>245000</f>
        <v>245000.0</v>
      </c>
      <c r="V130" s="32" t="n">
        <f>554646964</f>
        <v>5.54646964E8</v>
      </c>
      <c r="W130" s="32" t="n">
        <f>365069500</f>
        <v>3.650695E8</v>
      </c>
      <c r="X130" s="36" t="n">
        <f>22</f>
        <v>22.0</v>
      </c>
    </row>
    <row r="131">
      <c r="A131" s="27" t="s">
        <v>42</v>
      </c>
      <c r="B131" s="27" t="s">
        <v>439</v>
      </c>
      <c r="C131" s="27" t="s">
        <v>440</v>
      </c>
      <c r="D131" s="27" t="s">
        <v>441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16500</f>
        <v>16500.0</v>
      </c>
      <c r="L131" s="34" t="s">
        <v>48</v>
      </c>
      <c r="M131" s="33" t="n">
        <f>16990</f>
        <v>16990.0</v>
      </c>
      <c r="N131" s="34" t="s">
        <v>49</v>
      </c>
      <c r="O131" s="33" t="n">
        <f>16330</f>
        <v>16330.0</v>
      </c>
      <c r="P131" s="34" t="s">
        <v>86</v>
      </c>
      <c r="Q131" s="33" t="n">
        <f>16830</f>
        <v>16830.0</v>
      </c>
      <c r="R131" s="34" t="s">
        <v>51</v>
      </c>
      <c r="S131" s="35" t="n">
        <f>16598.18</f>
        <v>16598.18</v>
      </c>
      <c r="T131" s="32" t="n">
        <f>61917</f>
        <v>61917.0</v>
      </c>
      <c r="U131" s="32" t="n">
        <f>33512</f>
        <v>33512.0</v>
      </c>
      <c r="V131" s="32" t="n">
        <f>1026819550</f>
        <v>1.02681955E9</v>
      </c>
      <c r="W131" s="32" t="n">
        <f>555159430</f>
        <v>5.5515943E8</v>
      </c>
      <c r="X131" s="36" t="n">
        <f>22</f>
        <v>22.0</v>
      </c>
    </row>
    <row r="132">
      <c r="A132" s="27" t="s">
        <v>42</v>
      </c>
      <c r="B132" s="27" t="s">
        <v>442</v>
      </c>
      <c r="C132" s="27" t="s">
        <v>443</v>
      </c>
      <c r="D132" s="27" t="s">
        <v>444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1718</f>
        <v>1718.0</v>
      </c>
      <c r="L132" s="34" t="s">
        <v>48</v>
      </c>
      <c r="M132" s="33" t="n">
        <f>1840</f>
        <v>1840.0</v>
      </c>
      <c r="N132" s="34" t="s">
        <v>323</v>
      </c>
      <c r="O132" s="33" t="n">
        <f>1712</f>
        <v>1712.0</v>
      </c>
      <c r="P132" s="34" t="s">
        <v>69</v>
      </c>
      <c r="Q132" s="33" t="n">
        <f>1818</f>
        <v>1818.0</v>
      </c>
      <c r="R132" s="34" t="s">
        <v>51</v>
      </c>
      <c r="S132" s="35" t="n">
        <f>1748.45</f>
        <v>1748.45</v>
      </c>
      <c r="T132" s="32" t="n">
        <f>1796820</f>
        <v>1796820.0</v>
      </c>
      <c r="U132" s="32" t="n">
        <f>590040</f>
        <v>590040.0</v>
      </c>
      <c r="V132" s="32" t="n">
        <f>3154473530</f>
        <v>3.15447353E9</v>
      </c>
      <c r="W132" s="32" t="n">
        <f>1029497890</f>
        <v>1.02949789E9</v>
      </c>
      <c r="X132" s="36" t="n">
        <f>22</f>
        <v>22.0</v>
      </c>
    </row>
    <row r="133">
      <c r="A133" s="27" t="s">
        <v>42</v>
      </c>
      <c r="B133" s="27" t="s">
        <v>445</v>
      </c>
      <c r="C133" s="27" t="s">
        <v>446</v>
      </c>
      <c r="D133" s="27" t="s">
        <v>447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1566</f>
        <v>1566.0</v>
      </c>
      <c r="L133" s="34" t="s">
        <v>50</v>
      </c>
      <c r="M133" s="33" t="n">
        <f>1605</f>
        <v>1605.0</v>
      </c>
      <c r="N133" s="34" t="s">
        <v>93</v>
      </c>
      <c r="O133" s="33" t="n">
        <f>1566</f>
        <v>1566.0</v>
      </c>
      <c r="P133" s="34" t="s">
        <v>50</v>
      </c>
      <c r="Q133" s="33" t="n">
        <f>1602</f>
        <v>1602.0</v>
      </c>
      <c r="R133" s="34" t="s">
        <v>196</v>
      </c>
      <c r="S133" s="35" t="n">
        <f>1590.67</f>
        <v>1590.67</v>
      </c>
      <c r="T133" s="32" t="n">
        <f>180</f>
        <v>180.0</v>
      </c>
      <c r="U133" s="32" t="str">
        <f>"－"</f>
        <v>－</v>
      </c>
      <c r="V133" s="32" t="n">
        <f>286280</f>
        <v>286280.0</v>
      </c>
      <c r="W133" s="32" t="str">
        <f>"－"</f>
        <v>－</v>
      </c>
      <c r="X133" s="36" t="n">
        <f>6</f>
        <v>6.0</v>
      </c>
    </row>
    <row r="134">
      <c r="A134" s="27" t="s">
        <v>42</v>
      </c>
      <c r="B134" s="27" t="s">
        <v>448</v>
      </c>
      <c r="C134" s="27" t="s">
        <v>449</v>
      </c>
      <c r="D134" s="27" t="s">
        <v>450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1733</f>
        <v>1733.0</v>
      </c>
      <c r="L134" s="34" t="s">
        <v>48</v>
      </c>
      <c r="M134" s="33" t="n">
        <f>1819</f>
        <v>1819.0</v>
      </c>
      <c r="N134" s="34" t="s">
        <v>51</v>
      </c>
      <c r="O134" s="33" t="n">
        <f>1718</f>
        <v>1718.0</v>
      </c>
      <c r="P134" s="34" t="s">
        <v>50</v>
      </c>
      <c r="Q134" s="33" t="n">
        <f>1819</f>
        <v>1819.0</v>
      </c>
      <c r="R134" s="34" t="s">
        <v>51</v>
      </c>
      <c r="S134" s="35" t="n">
        <f>1752.77</f>
        <v>1752.77</v>
      </c>
      <c r="T134" s="32" t="n">
        <f>1088800</f>
        <v>1088800.0</v>
      </c>
      <c r="U134" s="32" t="n">
        <f>179040</f>
        <v>179040.0</v>
      </c>
      <c r="V134" s="32" t="n">
        <f>1894382910</f>
        <v>1.89438291E9</v>
      </c>
      <c r="W134" s="32" t="n">
        <f>310328870</f>
        <v>3.1032887E8</v>
      </c>
      <c r="X134" s="36" t="n">
        <f>22</f>
        <v>22.0</v>
      </c>
    </row>
    <row r="135">
      <c r="A135" s="27" t="s">
        <v>42</v>
      </c>
      <c r="B135" s="27" t="s">
        <v>451</v>
      </c>
      <c r="C135" s="27" t="s">
        <v>452</v>
      </c>
      <c r="D135" s="27" t="s">
        <v>453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17120</f>
        <v>17120.0</v>
      </c>
      <c r="L135" s="34" t="s">
        <v>172</v>
      </c>
      <c r="M135" s="33" t="n">
        <f>17440</f>
        <v>17440.0</v>
      </c>
      <c r="N135" s="34" t="s">
        <v>97</v>
      </c>
      <c r="O135" s="33" t="n">
        <f>17120</f>
        <v>17120.0</v>
      </c>
      <c r="P135" s="34" t="s">
        <v>172</v>
      </c>
      <c r="Q135" s="33" t="n">
        <f>17260</f>
        <v>17260.0</v>
      </c>
      <c r="R135" s="34" t="s">
        <v>196</v>
      </c>
      <c r="S135" s="35" t="n">
        <f>17255</f>
        <v>17255.0</v>
      </c>
      <c r="T135" s="32" t="n">
        <f>10</f>
        <v>10.0</v>
      </c>
      <c r="U135" s="32" t="str">
        <f>"－"</f>
        <v>－</v>
      </c>
      <c r="V135" s="32" t="n">
        <f>172740</f>
        <v>172740.0</v>
      </c>
      <c r="W135" s="32" t="str">
        <f>"－"</f>
        <v>－</v>
      </c>
      <c r="X135" s="36" t="n">
        <f>6</f>
        <v>6.0</v>
      </c>
    </row>
    <row r="136">
      <c r="A136" s="27" t="s">
        <v>42</v>
      </c>
      <c r="B136" s="27" t="s">
        <v>454</v>
      </c>
      <c r="C136" s="27" t="s">
        <v>455</v>
      </c>
      <c r="D136" s="27" t="s">
        <v>456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16240</f>
        <v>16240.0</v>
      </c>
      <c r="L136" s="34" t="s">
        <v>48</v>
      </c>
      <c r="M136" s="33" t="n">
        <f>16800</f>
        <v>16800.0</v>
      </c>
      <c r="N136" s="34" t="s">
        <v>49</v>
      </c>
      <c r="O136" s="33" t="n">
        <f>16040</f>
        <v>16040.0</v>
      </c>
      <c r="P136" s="34" t="s">
        <v>255</v>
      </c>
      <c r="Q136" s="33" t="n">
        <f>16670</f>
        <v>16670.0</v>
      </c>
      <c r="R136" s="34" t="s">
        <v>51</v>
      </c>
      <c r="S136" s="35" t="n">
        <f>16438.64</f>
        <v>16438.64</v>
      </c>
      <c r="T136" s="32" t="n">
        <f>17160</f>
        <v>17160.0</v>
      </c>
      <c r="U136" s="32" t="n">
        <f>14008</f>
        <v>14008.0</v>
      </c>
      <c r="V136" s="32" t="n">
        <f>281925400</f>
        <v>2.819254E8</v>
      </c>
      <c r="W136" s="32" t="n">
        <f>230003850</f>
        <v>2.3000385E8</v>
      </c>
      <c r="X136" s="36" t="n">
        <f>22</f>
        <v>22.0</v>
      </c>
    </row>
    <row r="137">
      <c r="A137" s="27" t="s">
        <v>42</v>
      </c>
      <c r="B137" s="27" t="s">
        <v>457</v>
      </c>
      <c r="C137" s="27" t="s">
        <v>458</v>
      </c>
      <c r="D137" s="27" t="s">
        <v>459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125</f>
        <v>125.0</v>
      </c>
      <c r="L137" s="34" t="s">
        <v>48</v>
      </c>
      <c r="M137" s="33" t="n">
        <f>128</f>
        <v>128.0</v>
      </c>
      <c r="N137" s="34" t="s">
        <v>172</v>
      </c>
      <c r="O137" s="33" t="n">
        <f>119</f>
        <v>119.0</v>
      </c>
      <c r="P137" s="34" t="s">
        <v>62</v>
      </c>
      <c r="Q137" s="33" t="n">
        <f>124</f>
        <v>124.0</v>
      </c>
      <c r="R137" s="34" t="s">
        <v>51</v>
      </c>
      <c r="S137" s="35" t="n">
        <f>123.73</f>
        <v>123.73</v>
      </c>
      <c r="T137" s="32" t="n">
        <f>56868200</f>
        <v>5.68682E7</v>
      </c>
      <c r="U137" s="32" t="n">
        <f>11700</f>
        <v>11700.0</v>
      </c>
      <c r="V137" s="32" t="n">
        <f>7031538000</f>
        <v>7.031538E9</v>
      </c>
      <c r="W137" s="32" t="n">
        <f>1450300</f>
        <v>1450300.0</v>
      </c>
      <c r="X137" s="36" t="n">
        <f>22</f>
        <v>22.0</v>
      </c>
    </row>
    <row r="138">
      <c r="A138" s="27" t="s">
        <v>42</v>
      </c>
      <c r="B138" s="27" t="s">
        <v>460</v>
      </c>
      <c r="C138" s="27" t="s">
        <v>461</v>
      </c>
      <c r="D138" s="27" t="s">
        <v>462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26810</f>
        <v>26810.0</v>
      </c>
      <c r="L138" s="34" t="s">
        <v>48</v>
      </c>
      <c r="M138" s="33" t="n">
        <f>27580</f>
        <v>27580.0</v>
      </c>
      <c r="N138" s="34" t="s">
        <v>183</v>
      </c>
      <c r="O138" s="33" t="n">
        <f>26500</f>
        <v>26500.0</v>
      </c>
      <c r="P138" s="34" t="s">
        <v>97</v>
      </c>
      <c r="Q138" s="33" t="n">
        <f>27080</f>
        <v>27080.0</v>
      </c>
      <c r="R138" s="34" t="s">
        <v>51</v>
      </c>
      <c r="S138" s="35" t="n">
        <f>27090.5</f>
        <v>27090.5</v>
      </c>
      <c r="T138" s="32" t="n">
        <f>4117</f>
        <v>4117.0</v>
      </c>
      <c r="U138" s="32" t="str">
        <f>"－"</f>
        <v>－</v>
      </c>
      <c r="V138" s="32" t="n">
        <f>111285630</f>
        <v>1.1128563E8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463</v>
      </c>
      <c r="C139" s="27" t="s">
        <v>464</v>
      </c>
      <c r="D139" s="27" t="s">
        <v>465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7680</f>
        <v>7680.0</v>
      </c>
      <c r="L139" s="34" t="s">
        <v>48</v>
      </c>
      <c r="M139" s="33" t="n">
        <f>7990</f>
        <v>7990.0</v>
      </c>
      <c r="N139" s="34" t="s">
        <v>97</v>
      </c>
      <c r="O139" s="33" t="n">
        <f>7490</f>
        <v>7490.0</v>
      </c>
      <c r="P139" s="34" t="s">
        <v>69</v>
      </c>
      <c r="Q139" s="33" t="n">
        <f>7900</f>
        <v>7900.0</v>
      </c>
      <c r="R139" s="34" t="s">
        <v>51</v>
      </c>
      <c r="S139" s="35" t="n">
        <f>7735.45</f>
        <v>7735.45</v>
      </c>
      <c r="T139" s="32" t="n">
        <f>14937</f>
        <v>14937.0</v>
      </c>
      <c r="U139" s="32" t="str">
        <f>"－"</f>
        <v>－</v>
      </c>
      <c r="V139" s="32" t="n">
        <f>115537200</f>
        <v>1.155372E8</v>
      </c>
      <c r="W139" s="32" t="str">
        <f>"－"</f>
        <v>－</v>
      </c>
      <c r="X139" s="36" t="n">
        <f>22</f>
        <v>22.0</v>
      </c>
    </row>
    <row r="140">
      <c r="A140" s="27" t="s">
        <v>42</v>
      </c>
      <c r="B140" s="27" t="s">
        <v>466</v>
      </c>
      <c r="C140" s="27" t="s">
        <v>467</v>
      </c>
      <c r="D140" s="27" t="s">
        <v>468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19510</f>
        <v>19510.0</v>
      </c>
      <c r="L140" s="34" t="s">
        <v>48</v>
      </c>
      <c r="M140" s="33" t="n">
        <f>20300</f>
        <v>20300.0</v>
      </c>
      <c r="N140" s="34" t="s">
        <v>172</v>
      </c>
      <c r="O140" s="33" t="n">
        <f>19510</f>
        <v>19510.0</v>
      </c>
      <c r="P140" s="34" t="s">
        <v>48</v>
      </c>
      <c r="Q140" s="33" t="n">
        <f>20100</f>
        <v>20100.0</v>
      </c>
      <c r="R140" s="34" t="s">
        <v>51</v>
      </c>
      <c r="S140" s="35" t="n">
        <f>19974.76</f>
        <v>19974.76</v>
      </c>
      <c r="T140" s="32" t="n">
        <f>1836</f>
        <v>1836.0</v>
      </c>
      <c r="U140" s="32" t="str">
        <f>"－"</f>
        <v>－</v>
      </c>
      <c r="V140" s="32" t="n">
        <f>36660340</f>
        <v>3.666034E7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469</v>
      </c>
      <c r="C141" s="27" t="s">
        <v>470</v>
      </c>
      <c r="D141" s="27" t="s">
        <v>471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25700</f>
        <v>25700.0</v>
      </c>
      <c r="L141" s="34" t="s">
        <v>48</v>
      </c>
      <c r="M141" s="33" t="n">
        <f>26950</f>
        <v>26950.0</v>
      </c>
      <c r="N141" s="34" t="s">
        <v>49</v>
      </c>
      <c r="O141" s="33" t="n">
        <f>25700</f>
        <v>25700.0</v>
      </c>
      <c r="P141" s="34" t="s">
        <v>48</v>
      </c>
      <c r="Q141" s="33" t="n">
        <f>26760</f>
        <v>26760.0</v>
      </c>
      <c r="R141" s="34" t="s">
        <v>51</v>
      </c>
      <c r="S141" s="35" t="n">
        <f>26315.91</f>
        <v>26315.91</v>
      </c>
      <c r="T141" s="32" t="n">
        <f>1447</f>
        <v>1447.0</v>
      </c>
      <c r="U141" s="32" t="str">
        <f>"－"</f>
        <v>－</v>
      </c>
      <c r="V141" s="32" t="n">
        <f>38243720</f>
        <v>3.824372E7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472</v>
      </c>
      <c r="C142" s="27" t="s">
        <v>473</v>
      </c>
      <c r="D142" s="27" t="s">
        <v>474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25000</f>
        <v>25000.0</v>
      </c>
      <c r="L142" s="34" t="s">
        <v>48</v>
      </c>
      <c r="M142" s="33" t="n">
        <f>25170</f>
        <v>25170.0</v>
      </c>
      <c r="N142" s="34" t="s">
        <v>49</v>
      </c>
      <c r="O142" s="33" t="n">
        <f>24090</f>
        <v>24090.0</v>
      </c>
      <c r="P142" s="34" t="s">
        <v>86</v>
      </c>
      <c r="Q142" s="33" t="n">
        <f>24870</f>
        <v>24870.0</v>
      </c>
      <c r="R142" s="34" t="s">
        <v>51</v>
      </c>
      <c r="S142" s="35" t="n">
        <f>24530.91</f>
        <v>24530.91</v>
      </c>
      <c r="T142" s="32" t="n">
        <f>5438</f>
        <v>5438.0</v>
      </c>
      <c r="U142" s="32" t="str">
        <f>"－"</f>
        <v>－</v>
      </c>
      <c r="V142" s="32" t="n">
        <f>133230580</f>
        <v>1.3323058E8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18480</f>
        <v>18480.0</v>
      </c>
      <c r="L143" s="34" t="s">
        <v>48</v>
      </c>
      <c r="M143" s="33" t="n">
        <f>20230</f>
        <v>20230.0</v>
      </c>
      <c r="N143" s="34" t="s">
        <v>221</v>
      </c>
      <c r="O143" s="33" t="n">
        <f>18480</f>
        <v>18480.0</v>
      </c>
      <c r="P143" s="34" t="s">
        <v>48</v>
      </c>
      <c r="Q143" s="33" t="n">
        <f>19830</f>
        <v>19830.0</v>
      </c>
      <c r="R143" s="34" t="s">
        <v>51</v>
      </c>
      <c r="S143" s="35" t="n">
        <f>19527.27</f>
        <v>19527.27</v>
      </c>
      <c r="T143" s="32" t="n">
        <f>2496</f>
        <v>2496.0</v>
      </c>
      <c r="U143" s="32" t="str">
        <f>"－"</f>
        <v>－</v>
      </c>
      <c r="V143" s="32" t="n">
        <f>49042830</f>
        <v>4.904283E7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12100</f>
        <v>12100.0</v>
      </c>
      <c r="L144" s="34" t="s">
        <v>48</v>
      </c>
      <c r="M144" s="33" t="n">
        <f>14490</f>
        <v>14490.0</v>
      </c>
      <c r="N144" s="34" t="s">
        <v>69</v>
      </c>
      <c r="O144" s="33" t="n">
        <f>12060</f>
        <v>12060.0</v>
      </c>
      <c r="P144" s="34" t="s">
        <v>69</v>
      </c>
      <c r="Q144" s="33" t="n">
        <f>13120</f>
        <v>13120.0</v>
      </c>
      <c r="R144" s="34" t="s">
        <v>51</v>
      </c>
      <c r="S144" s="35" t="n">
        <f>12941.36</f>
        <v>12941.36</v>
      </c>
      <c r="T144" s="32" t="n">
        <f>9863</f>
        <v>9863.0</v>
      </c>
      <c r="U144" s="32" t="str">
        <f>"－"</f>
        <v>－</v>
      </c>
      <c r="V144" s="32" t="n">
        <f>128392350</f>
        <v>1.2839235E8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38150</f>
        <v>38150.0</v>
      </c>
      <c r="L145" s="34" t="s">
        <v>48</v>
      </c>
      <c r="M145" s="33" t="n">
        <f>39250</f>
        <v>39250.0</v>
      </c>
      <c r="N145" s="34" t="s">
        <v>51</v>
      </c>
      <c r="O145" s="33" t="n">
        <f>37600</f>
        <v>37600.0</v>
      </c>
      <c r="P145" s="34" t="s">
        <v>50</v>
      </c>
      <c r="Q145" s="33" t="n">
        <f>38900</f>
        <v>38900.0</v>
      </c>
      <c r="R145" s="34" t="s">
        <v>51</v>
      </c>
      <c r="S145" s="35" t="n">
        <f>38377.27</f>
        <v>38377.27</v>
      </c>
      <c r="T145" s="32" t="n">
        <f>1411</f>
        <v>1411.0</v>
      </c>
      <c r="U145" s="32" t="str">
        <f>"－"</f>
        <v>－</v>
      </c>
      <c r="V145" s="32" t="n">
        <f>54225200</f>
        <v>5.42252E7</v>
      </c>
      <c r="W145" s="32" t="str">
        <f>"－"</f>
        <v>－</v>
      </c>
      <c r="X145" s="36" t="n">
        <f>22</f>
        <v>22.0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25260</f>
        <v>25260.0</v>
      </c>
      <c r="L146" s="34" t="s">
        <v>48</v>
      </c>
      <c r="M146" s="33" t="n">
        <f>26440</f>
        <v>26440.0</v>
      </c>
      <c r="N146" s="34" t="s">
        <v>49</v>
      </c>
      <c r="O146" s="33" t="n">
        <f>24860</f>
        <v>24860.0</v>
      </c>
      <c r="P146" s="34" t="s">
        <v>131</v>
      </c>
      <c r="Q146" s="33" t="n">
        <f>26320</f>
        <v>26320.0</v>
      </c>
      <c r="R146" s="34" t="s">
        <v>51</v>
      </c>
      <c r="S146" s="35" t="n">
        <f>25478.18</f>
        <v>25478.18</v>
      </c>
      <c r="T146" s="32" t="n">
        <f>2156</f>
        <v>2156.0</v>
      </c>
      <c r="U146" s="32" t="str">
        <f>"－"</f>
        <v>－</v>
      </c>
      <c r="V146" s="32" t="n">
        <f>54951540</f>
        <v>5.495154E7</v>
      </c>
      <c r="W146" s="32" t="str">
        <f>"－"</f>
        <v>－</v>
      </c>
      <c r="X146" s="36" t="n">
        <f>22</f>
        <v>22.0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28360</f>
        <v>28360.0</v>
      </c>
      <c r="L147" s="34" t="s">
        <v>48</v>
      </c>
      <c r="M147" s="33" t="n">
        <f>29090</f>
        <v>29090.0</v>
      </c>
      <c r="N147" s="34" t="s">
        <v>93</v>
      </c>
      <c r="O147" s="33" t="n">
        <f>27340</f>
        <v>27340.0</v>
      </c>
      <c r="P147" s="34" t="s">
        <v>50</v>
      </c>
      <c r="Q147" s="33" t="n">
        <f>28860</f>
        <v>28860.0</v>
      </c>
      <c r="R147" s="34" t="s">
        <v>51</v>
      </c>
      <c r="S147" s="35" t="n">
        <f>28293.64</f>
        <v>28293.64</v>
      </c>
      <c r="T147" s="32" t="n">
        <f>6219</f>
        <v>6219.0</v>
      </c>
      <c r="U147" s="32" t="str">
        <f>"－"</f>
        <v>－</v>
      </c>
      <c r="V147" s="32" t="n">
        <f>176287570</f>
        <v>1.7628757E8</v>
      </c>
      <c r="W147" s="32" t="str">
        <f>"－"</f>
        <v>－</v>
      </c>
      <c r="X147" s="36" t="n">
        <f>22</f>
        <v>22.0</v>
      </c>
    </row>
    <row r="148">
      <c r="A148" s="27" t="s">
        <v>42</v>
      </c>
      <c r="B148" s="27" t="s">
        <v>490</v>
      </c>
      <c r="C148" s="27" t="s">
        <v>491</v>
      </c>
      <c r="D148" s="27" t="s">
        <v>492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6060</f>
        <v>6060.0</v>
      </c>
      <c r="L148" s="34" t="s">
        <v>48</v>
      </c>
      <c r="M148" s="33" t="n">
        <f>6450</f>
        <v>6450.0</v>
      </c>
      <c r="N148" s="34" t="s">
        <v>69</v>
      </c>
      <c r="O148" s="33" t="n">
        <f>5820</f>
        <v>5820.0</v>
      </c>
      <c r="P148" s="34" t="s">
        <v>86</v>
      </c>
      <c r="Q148" s="33" t="n">
        <f>6110</f>
        <v>6110.0</v>
      </c>
      <c r="R148" s="34" t="s">
        <v>51</v>
      </c>
      <c r="S148" s="35" t="n">
        <f>5953.64</f>
        <v>5953.64</v>
      </c>
      <c r="T148" s="32" t="n">
        <f>16708</f>
        <v>16708.0</v>
      </c>
      <c r="U148" s="32" t="str">
        <f>"－"</f>
        <v>－</v>
      </c>
      <c r="V148" s="32" t="n">
        <f>99562970</f>
        <v>9.956297E7</v>
      </c>
      <c r="W148" s="32" t="str">
        <f>"－"</f>
        <v>－</v>
      </c>
      <c r="X148" s="36" t="n">
        <f>22</f>
        <v>22.0</v>
      </c>
    </row>
    <row r="149">
      <c r="A149" s="27" t="s">
        <v>42</v>
      </c>
      <c r="B149" s="27" t="s">
        <v>493</v>
      </c>
      <c r="C149" s="27" t="s">
        <v>494</v>
      </c>
      <c r="D149" s="27" t="s">
        <v>495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13990</f>
        <v>13990.0</v>
      </c>
      <c r="L149" s="34" t="s">
        <v>48</v>
      </c>
      <c r="M149" s="33" t="n">
        <f>14480</f>
        <v>14480.0</v>
      </c>
      <c r="N149" s="34" t="s">
        <v>69</v>
      </c>
      <c r="O149" s="33" t="n">
        <f>13360</f>
        <v>13360.0</v>
      </c>
      <c r="P149" s="34" t="s">
        <v>86</v>
      </c>
      <c r="Q149" s="33" t="n">
        <f>14100</f>
        <v>14100.0</v>
      </c>
      <c r="R149" s="34" t="s">
        <v>51</v>
      </c>
      <c r="S149" s="35" t="n">
        <f>13957.27</f>
        <v>13957.27</v>
      </c>
      <c r="T149" s="32" t="n">
        <f>15273</f>
        <v>15273.0</v>
      </c>
      <c r="U149" s="32" t="str">
        <f>"－"</f>
        <v>－</v>
      </c>
      <c r="V149" s="32" t="n">
        <f>212505300</f>
        <v>2.125053E8</v>
      </c>
      <c r="W149" s="32" t="str">
        <f>"－"</f>
        <v>－</v>
      </c>
      <c r="X149" s="36" t="n">
        <f>22</f>
        <v>22.0</v>
      </c>
    </row>
    <row r="150">
      <c r="A150" s="27" t="s">
        <v>42</v>
      </c>
      <c r="B150" s="27" t="s">
        <v>496</v>
      </c>
      <c r="C150" s="27" t="s">
        <v>497</v>
      </c>
      <c r="D150" s="27" t="s">
        <v>498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33050</f>
        <v>33050.0</v>
      </c>
      <c r="L150" s="34" t="s">
        <v>48</v>
      </c>
      <c r="M150" s="33" t="n">
        <f>34500</f>
        <v>34500.0</v>
      </c>
      <c r="N150" s="34" t="s">
        <v>183</v>
      </c>
      <c r="O150" s="33" t="n">
        <f>32550</f>
        <v>32550.0</v>
      </c>
      <c r="P150" s="34" t="s">
        <v>48</v>
      </c>
      <c r="Q150" s="33" t="n">
        <f>34250</f>
        <v>34250.0</v>
      </c>
      <c r="R150" s="34" t="s">
        <v>51</v>
      </c>
      <c r="S150" s="35" t="n">
        <f>33734.09</f>
        <v>33734.09</v>
      </c>
      <c r="T150" s="32" t="n">
        <f>6372</f>
        <v>6372.0</v>
      </c>
      <c r="U150" s="32" t="str">
        <f>"－"</f>
        <v>－</v>
      </c>
      <c r="V150" s="32" t="n">
        <f>215549950</f>
        <v>2.1554995E8</v>
      </c>
      <c r="W150" s="32" t="str">
        <f>"－"</f>
        <v>－</v>
      </c>
      <c r="X150" s="36" t="n">
        <f>22</f>
        <v>22.0</v>
      </c>
    </row>
    <row r="151">
      <c r="A151" s="27" t="s">
        <v>42</v>
      </c>
      <c r="B151" s="27" t="s">
        <v>499</v>
      </c>
      <c r="C151" s="27" t="s">
        <v>500</v>
      </c>
      <c r="D151" s="27" t="s">
        <v>501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22120</f>
        <v>22120.0</v>
      </c>
      <c r="L151" s="34" t="s">
        <v>48</v>
      </c>
      <c r="M151" s="33" t="n">
        <f>22580</f>
        <v>22580.0</v>
      </c>
      <c r="N151" s="34" t="s">
        <v>51</v>
      </c>
      <c r="O151" s="33" t="n">
        <f>21830</f>
        <v>21830.0</v>
      </c>
      <c r="P151" s="34" t="s">
        <v>50</v>
      </c>
      <c r="Q151" s="33" t="n">
        <f>22580</f>
        <v>22580.0</v>
      </c>
      <c r="R151" s="34" t="s">
        <v>51</v>
      </c>
      <c r="S151" s="35" t="n">
        <f>22153.57</f>
        <v>22153.57</v>
      </c>
      <c r="T151" s="32" t="n">
        <f>49</f>
        <v>49.0</v>
      </c>
      <c r="U151" s="32" t="n">
        <f>1</f>
        <v>1.0</v>
      </c>
      <c r="V151" s="32" t="n">
        <f>1088050</f>
        <v>1088050.0</v>
      </c>
      <c r="W151" s="32" t="n">
        <f>22580</f>
        <v>22580.0</v>
      </c>
      <c r="X151" s="36" t="n">
        <f>14</f>
        <v>14.0</v>
      </c>
    </row>
    <row r="152">
      <c r="A152" s="27" t="s">
        <v>42</v>
      </c>
      <c r="B152" s="27" t="s">
        <v>502</v>
      </c>
      <c r="C152" s="27" t="s">
        <v>503</v>
      </c>
      <c r="D152" s="27" t="s">
        <v>504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6400</f>
        <v>6400.0</v>
      </c>
      <c r="L152" s="34" t="s">
        <v>48</v>
      </c>
      <c r="M152" s="33" t="n">
        <f>6620</f>
        <v>6620.0</v>
      </c>
      <c r="N152" s="34" t="s">
        <v>69</v>
      </c>
      <c r="O152" s="33" t="n">
        <f>6240</f>
        <v>6240.0</v>
      </c>
      <c r="P152" s="34" t="s">
        <v>62</v>
      </c>
      <c r="Q152" s="33" t="n">
        <f>6430</f>
        <v>6430.0</v>
      </c>
      <c r="R152" s="34" t="s">
        <v>51</v>
      </c>
      <c r="S152" s="35" t="n">
        <f>6417.27</f>
        <v>6417.27</v>
      </c>
      <c r="T152" s="32" t="n">
        <f>37092</f>
        <v>37092.0</v>
      </c>
      <c r="U152" s="32" t="str">
        <f>"－"</f>
        <v>－</v>
      </c>
      <c r="V152" s="32" t="n">
        <f>237963050</f>
        <v>2.3796305E8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505</v>
      </c>
      <c r="C153" s="27" t="s">
        <v>506</v>
      </c>
      <c r="D153" s="27" t="s">
        <v>507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11790</f>
        <v>11790.0</v>
      </c>
      <c r="L153" s="34" t="s">
        <v>48</v>
      </c>
      <c r="M153" s="33" t="n">
        <f>12070</f>
        <v>12070.0</v>
      </c>
      <c r="N153" s="34" t="s">
        <v>61</v>
      </c>
      <c r="O153" s="33" t="n">
        <f>11480</f>
        <v>11480.0</v>
      </c>
      <c r="P153" s="34" t="s">
        <v>62</v>
      </c>
      <c r="Q153" s="33" t="n">
        <f>11870</f>
        <v>11870.0</v>
      </c>
      <c r="R153" s="34" t="s">
        <v>51</v>
      </c>
      <c r="S153" s="35" t="n">
        <f>11780</f>
        <v>11780.0</v>
      </c>
      <c r="T153" s="32" t="n">
        <f>1577</f>
        <v>1577.0</v>
      </c>
      <c r="U153" s="32" t="str">
        <f>"－"</f>
        <v>－</v>
      </c>
      <c r="V153" s="32" t="n">
        <f>18633190</f>
        <v>1.863319E7</v>
      </c>
      <c r="W153" s="32" t="str">
        <f>"－"</f>
        <v>－</v>
      </c>
      <c r="X153" s="36" t="n">
        <f>21</f>
        <v>21.0</v>
      </c>
    </row>
    <row r="154">
      <c r="A154" s="27" t="s">
        <v>42</v>
      </c>
      <c r="B154" s="27" t="s">
        <v>508</v>
      </c>
      <c r="C154" s="27" t="s">
        <v>509</v>
      </c>
      <c r="D154" s="27" t="s">
        <v>510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27190</f>
        <v>27190.0</v>
      </c>
      <c r="L154" s="34" t="s">
        <v>48</v>
      </c>
      <c r="M154" s="33" t="n">
        <f>27800</f>
        <v>27800.0</v>
      </c>
      <c r="N154" s="34" t="s">
        <v>69</v>
      </c>
      <c r="O154" s="33" t="n">
        <f>25350</f>
        <v>25350.0</v>
      </c>
      <c r="P154" s="34" t="s">
        <v>62</v>
      </c>
      <c r="Q154" s="33" t="n">
        <f>26200</f>
        <v>26200.0</v>
      </c>
      <c r="R154" s="34" t="s">
        <v>51</v>
      </c>
      <c r="S154" s="35" t="n">
        <f>26676.36</f>
        <v>26676.36</v>
      </c>
      <c r="T154" s="32" t="n">
        <f>2363</f>
        <v>2363.0</v>
      </c>
      <c r="U154" s="32" t="str">
        <f>"－"</f>
        <v>－</v>
      </c>
      <c r="V154" s="32" t="n">
        <f>63139190</f>
        <v>6.313919E7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511</v>
      </c>
      <c r="C155" s="27" t="s">
        <v>512</v>
      </c>
      <c r="D155" s="27" t="s">
        <v>513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882</f>
        <v>882.0</v>
      </c>
      <c r="L155" s="34" t="s">
        <v>48</v>
      </c>
      <c r="M155" s="33" t="n">
        <f>920</f>
        <v>920.0</v>
      </c>
      <c r="N155" s="34" t="s">
        <v>183</v>
      </c>
      <c r="O155" s="33" t="n">
        <f>877</f>
        <v>877.0</v>
      </c>
      <c r="P155" s="34" t="s">
        <v>48</v>
      </c>
      <c r="Q155" s="33" t="n">
        <f>913</f>
        <v>913.0</v>
      </c>
      <c r="R155" s="34" t="s">
        <v>51</v>
      </c>
      <c r="S155" s="35" t="n">
        <f>904.27</f>
        <v>904.27</v>
      </c>
      <c r="T155" s="32" t="n">
        <f>54880</f>
        <v>54880.0</v>
      </c>
      <c r="U155" s="32" t="str">
        <f>"－"</f>
        <v>－</v>
      </c>
      <c r="V155" s="32" t="n">
        <f>49506030</f>
        <v>4.950603E7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514</v>
      </c>
      <c r="C156" s="27" t="s">
        <v>515</v>
      </c>
      <c r="D156" s="27" t="s">
        <v>516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2246</f>
        <v>2246.0</v>
      </c>
      <c r="L156" s="34" t="s">
        <v>48</v>
      </c>
      <c r="M156" s="33" t="n">
        <f>2283</f>
        <v>2283.0</v>
      </c>
      <c r="N156" s="34" t="s">
        <v>51</v>
      </c>
      <c r="O156" s="33" t="n">
        <f>2201</f>
        <v>2201.0</v>
      </c>
      <c r="P156" s="34" t="s">
        <v>86</v>
      </c>
      <c r="Q156" s="33" t="n">
        <f>2272</f>
        <v>2272.0</v>
      </c>
      <c r="R156" s="34" t="s">
        <v>51</v>
      </c>
      <c r="S156" s="35" t="n">
        <f>2234.1</f>
        <v>2234.1</v>
      </c>
      <c r="T156" s="32" t="n">
        <f>2150</f>
        <v>2150.0</v>
      </c>
      <c r="U156" s="32" t="str">
        <f>"－"</f>
        <v>－</v>
      </c>
      <c r="V156" s="32" t="n">
        <f>4887490</f>
        <v>4887490.0</v>
      </c>
      <c r="W156" s="32" t="str">
        <f>"－"</f>
        <v>－</v>
      </c>
      <c r="X156" s="36" t="n">
        <f>10</f>
        <v>10.0</v>
      </c>
    </row>
    <row r="157">
      <c r="A157" s="27" t="s">
        <v>42</v>
      </c>
      <c r="B157" s="27" t="s">
        <v>517</v>
      </c>
      <c r="C157" s="27" t="s">
        <v>518</v>
      </c>
      <c r="D157" s="27" t="s">
        <v>519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2261</f>
        <v>2261.0</v>
      </c>
      <c r="L157" s="34" t="s">
        <v>48</v>
      </c>
      <c r="M157" s="33" t="n">
        <f>2358</f>
        <v>2358.0</v>
      </c>
      <c r="N157" s="34" t="s">
        <v>49</v>
      </c>
      <c r="O157" s="33" t="n">
        <f>2252</f>
        <v>2252.0</v>
      </c>
      <c r="P157" s="34" t="s">
        <v>50</v>
      </c>
      <c r="Q157" s="33" t="n">
        <f>2342</f>
        <v>2342.0</v>
      </c>
      <c r="R157" s="34" t="s">
        <v>51</v>
      </c>
      <c r="S157" s="35" t="n">
        <f>2279.81</f>
        <v>2279.81</v>
      </c>
      <c r="T157" s="32" t="n">
        <f>65630</f>
        <v>65630.0</v>
      </c>
      <c r="U157" s="32" t="str">
        <f>"－"</f>
        <v>－</v>
      </c>
      <c r="V157" s="32" t="n">
        <f>152532760</f>
        <v>1.5253276E8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520</v>
      </c>
      <c r="C158" s="27" t="s">
        <v>521</v>
      </c>
      <c r="D158" s="27" t="s">
        <v>522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1331</f>
        <v>1331.0</v>
      </c>
      <c r="L158" s="34" t="s">
        <v>48</v>
      </c>
      <c r="M158" s="33" t="n">
        <f>1356</f>
        <v>1356.0</v>
      </c>
      <c r="N158" s="34" t="s">
        <v>61</v>
      </c>
      <c r="O158" s="33" t="n">
        <f>1330</f>
        <v>1330.0</v>
      </c>
      <c r="P158" s="34" t="s">
        <v>86</v>
      </c>
      <c r="Q158" s="33" t="n">
        <f>1334</f>
        <v>1334.0</v>
      </c>
      <c r="R158" s="34" t="s">
        <v>62</v>
      </c>
      <c r="S158" s="35" t="n">
        <f>1338.63</f>
        <v>1338.63</v>
      </c>
      <c r="T158" s="32" t="n">
        <f>510</f>
        <v>510.0</v>
      </c>
      <c r="U158" s="32" t="str">
        <f>"－"</f>
        <v>－</v>
      </c>
      <c r="V158" s="32" t="n">
        <f>686820</f>
        <v>686820.0</v>
      </c>
      <c r="W158" s="32" t="str">
        <f>"－"</f>
        <v>－</v>
      </c>
      <c r="X158" s="36" t="n">
        <f>8</f>
        <v>8.0</v>
      </c>
    </row>
    <row r="159">
      <c r="A159" s="27" t="s">
        <v>42</v>
      </c>
      <c r="B159" s="27" t="s">
        <v>523</v>
      </c>
      <c r="C159" s="27" t="s">
        <v>524</v>
      </c>
      <c r="D159" s="27" t="s">
        <v>525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2719</f>
        <v>2719.0</v>
      </c>
      <c r="L159" s="34" t="s">
        <v>48</v>
      </c>
      <c r="M159" s="33" t="n">
        <f>2790</f>
        <v>2790.0</v>
      </c>
      <c r="N159" s="34" t="s">
        <v>49</v>
      </c>
      <c r="O159" s="33" t="n">
        <f>2717</f>
        <v>2717.0</v>
      </c>
      <c r="P159" s="34" t="s">
        <v>62</v>
      </c>
      <c r="Q159" s="33" t="n">
        <f>2769</f>
        <v>2769.0</v>
      </c>
      <c r="R159" s="34" t="s">
        <v>51</v>
      </c>
      <c r="S159" s="35" t="n">
        <f>2745.27</f>
        <v>2745.27</v>
      </c>
      <c r="T159" s="32" t="n">
        <f>3415122</f>
        <v>3415122.0</v>
      </c>
      <c r="U159" s="32" t="n">
        <f>147011</f>
        <v>147011.0</v>
      </c>
      <c r="V159" s="32" t="n">
        <f>9380953423</f>
        <v>9.380953423E9</v>
      </c>
      <c r="W159" s="32" t="n">
        <f>404311900</f>
        <v>4.043119E8</v>
      </c>
      <c r="X159" s="36" t="n">
        <f>22</f>
        <v>22.0</v>
      </c>
    </row>
    <row r="160">
      <c r="A160" s="27" t="s">
        <v>42</v>
      </c>
      <c r="B160" s="27" t="s">
        <v>526</v>
      </c>
      <c r="C160" s="27" t="s">
        <v>527</v>
      </c>
      <c r="D160" s="27" t="s">
        <v>528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2603</f>
        <v>2603.0</v>
      </c>
      <c r="L160" s="34" t="s">
        <v>48</v>
      </c>
      <c r="M160" s="33" t="n">
        <f>2606</f>
        <v>2606.0</v>
      </c>
      <c r="N160" s="34" t="s">
        <v>48</v>
      </c>
      <c r="O160" s="33" t="n">
        <f>2562</f>
        <v>2562.0</v>
      </c>
      <c r="P160" s="34" t="s">
        <v>93</v>
      </c>
      <c r="Q160" s="33" t="n">
        <f>2568</f>
        <v>2568.0</v>
      </c>
      <c r="R160" s="34" t="s">
        <v>51</v>
      </c>
      <c r="S160" s="35" t="n">
        <f>2579.95</f>
        <v>2579.95</v>
      </c>
      <c r="T160" s="32" t="n">
        <f>671369</f>
        <v>671369.0</v>
      </c>
      <c r="U160" s="32" t="n">
        <f>194000</f>
        <v>194000.0</v>
      </c>
      <c r="V160" s="32" t="n">
        <f>1732544963</f>
        <v>1.732544963E9</v>
      </c>
      <c r="W160" s="32" t="n">
        <f>501606400</f>
        <v>5.016064E8</v>
      </c>
      <c r="X160" s="36" t="n">
        <f>22</f>
        <v>22.0</v>
      </c>
    </row>
    <row r="161">
      <c r="A161" s="27" t="s">
        <v>42</v>
      </c>
      <c r="B161" s="27" t="s">
        <v>529</v>
      </c>
      <c r="C161" s="27" t="s">
        <v>530</v>
      </c>
      <c r="D161" s="27" t="s">
        <v>531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2432</f>
        <v>2432.0</v>
      </c>
      <c r="L161" s="34" t="s">
        <v>48</v>
      </c>
      <c r="M161" s="33" t="n">
        <f>2517</f>
        <v>2517.0</v>
      </c>
      <c r="N161" s="34" t="s">
        <v>49</v>
      </c>
      <c r="O161" s="33" t="n">
        <f>2432</f>
        <v>2432.0</v>
      </c>
      <c r="P161" s="34" t="s">
        <v>48</v>
      </c>
      <c r="Q161" s="33" t="n">
        <f>2505</f>
        <v>2505.0</v>
      </c>
      <c r="R161" s="34" t="s">
        <v>51</v>
      </c>
      <c r="S161" s="35" t="n">
        <f>2474.55</f>
        <v>2474.55</v>
      </c>
      <c r="T161" s="32" t="n">
        <f>158715</f>
        <v>158715.0</v>
      </c>
      <c r="U161" s="32" t="n">
        <f>82000</f>
        <v>82000.0</v>
      </c>
      <c r="V161" s="32" t="n">
        <f>392684519</f>
        <v>3.92684519E8</v>
      </c>
      <c r="W161" s="32" t="n">
        <f>202353860</f>
        <v>2.0235386E8</v>
      </c>
      <c r="X161" s="36" t="n">
        <f>22</f>
        <v>22.0</v>
      </c>
    </row>
    <row r="162">
      <c r="A162" s="27" t="s">
        <v>42</v>
      </c>
      <c r="B162" s="27" t="s">
        <v>532</v>
      </c>
      <c r="C162" s="27" t="s">
        <v>533</v>
      </c>
      <c r="D162" s="27" t="s">
        <v>534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2037</f>
        <v>2037.0</v>
      </c>
      <c r="L162" s="34" t="s">
        <v>48</v>
      </c>
      <c r="M162" s="33" t="n">
        <f>2164</f>
        <v>2164.0</v>
      </c>
      <c r="N162" s="34" t="s">
        <v>51</v>
      </c>
      <c r="O162" s="33" t="n">
        <f>2037</f>
        <v>2037.0</v>
      </c>
      <c r="P162" s="34" t="s">
        <v>48</v>
      </c>
      <c r="Q162" s="33" t="n">
        <f>2164</f>
        <v>2164.0</v>
      </c>
      <c r="R162" s="34" t="s">
        <v>51</v>
      </c>
      <c r="S162" s="35" t="n">
        <f>2113</f>
        <v>2113.0</v>
      </c>
      <c r="T162" s="32" t="n">
        <f>184861</f>
        <v>184861.0</v>
      </c>
      <c r="U162" s="32" t="n">
        <f>17</f>
        <v>17.0</v>
      </c>
      <c r="V162" s="32" t="n">
        <f>390281212</f>
        <v>3.90281212E8</v>
      </c>
      <c r="W162" s="32" t="n">
        <f>35837</f>
        <v>35837.0</v>
      </c>
      <c r="X162" s="36" t="n">
        <f>22</f>
        <v>22.0</v>
      </c>
    </row>
    <row r="163">
      <c r="A163" s="27" t="s">
        <v>42</v>
      </c>
      <c r="B163" s="27" t="s">
        <v>535</v>
      </c>
      <c r="C163" s="27" t="s">
        <v>536</v>
      </c>
      <c r="D163" s="27" t="s">
        <v>537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1849</f>
        <v>1849.0</v>
      </c>
      <c r="L163" s="34" t="s">
        <v>48</v>
      </c>
      <c r="M163" s="33" t="n">
        <f>1901</f>
        <v>1901.0</v>
      </c>
      <c r="N163" s="34" t="s">
        <v>61</v>
      </c>
      <c r="O163" s="33" t="n">
        <f>1820</f>
        <v>1820.0</v>
      </c>
      <c r="P163" s="34" t="s">
        <v>86</v>
      </c>
      <c r="Q163" s="33" t="n">
        <f>1853</f>
        <v>1853.0</v>
      </c>
      <c r="R163" s="34" t="s">
        <v>51</v>
      </c>
      <c r="S163" s="35" t="n">
        <f>1861.14</f>
        <v>1861.14</v>
      </c>
      <c r="T163" s="32" t="n">
        <f>672846</f>
        <v>672846.0</v>
      </c>
      <c r="U163" s="32" t="str">
        <f>"－"</f>
        <v>－</v>
      </c>
      <c r="V163" s="32" t="n">
        <f>1248251396</f>
        <v>1.248251396E9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538</v>
      </c>
      <c r="C164" s="27" t="s">
        <v>539</v>
      </c>
      <c r="D164" s="27" t="s">
        <v>540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9360</f>
        <v>9360.0</v>
      </c>
      <c r="L164" s="34" t="s">
        <v>48</v>
      </c>
      <c r="M164" s="33" t="n">
        <f>10030</f>
        <v>10030.0</v>
      </c>
      <c r="N164" s="34" t="s">
        <v>51</v>
      </c>
      <c r="O164" s="33" t="n">
        <f>9350</f>
        <v>9350.0</v>
      </c>
      <c r="P164" s="34" t="s">
        <v>48</v>
      </c>
      <c r="Q164" s="33" t="n">
        <f>10030</f>
        <v>10030.0</v>
      </c>
      <c r="R164" s="34" t="s">
        <v>51</v>
      </c>
      <c r="S164" s="35" t="n">
        <f>9610.45</f>
        <v>9610.45</v>
      </c>
      <c r="T164" s="32" t="n">
        <f>34063</f>
        <v>34063.0</v>
      </c>
      <c r="U164" s="32" t="n">
        <f>9</f>
        <v>9.0</v>
      </c>
      <c r="V164" s="32" t="n">
        <f>330681940</f>
        <v>3.3068194E8</v>
      </c>
      <c r="W164" s="32" t="n">
        <f>86630</f>
        <v>86630.0</v>
      </c>
      <c r="X164" s="36" t="n">
        <f>22</f>
        <v>22.0</v>
      </c>
    </row>
    <row r="165">
      <c r="A165" s="27" t="s">
        <v>42</v>
      </c>
      <c r="B165" s="27" t="s">
        <v>541</v>
      </c>
      <c r="C165" s="27" t="s">
        <v>542</v>
      </c>
      <c r="D165" s="27" t="s">
        <v>543</v>
      </c>
      <c r="E165" s="28" t="s">
        <v>46</v>
      </c>
      <c r="F165" s="29" t="s">
        <v>46</v>
      </c>
      <c r="G165" s="30" t="s">
        <v>46</v>
      </c>
      <c r="H165" s="31" t="s">
        <v>544</v>
      </c>
      <c r="I165" s="31" t="s">
        <v>47</v>
      </c>
      <c r="J165" s="32" t="n">
        <v>100.0</v>
      </c>
      <c r="K165" s="33" t="n">
        <f>119</f>
        <v>119.0</v>
      </c>
      <c r="L165" s="34" t="s">
        <v>48</v>
      </c>
      <c r="M165" s="33" t="n">
        <f>157</f>
        <v>157.0</v>
      </c>
      <c r="N165" s="34" t="s">
        <v>304</v>
      </c>
      <c r="O165" s="33" t="n">
        <f>115</f>
        <v>115.0</v>
      </c>
      <c r="P165" s="34" t="s">
        <v>48</v>
      </c>
      <c r="Q165" s="33" t="n">
        <f>123</f>
        <v>123.0</v>
      </c>
      <c r="R165" s="34" t="s">
        <v>51</v>
      </c>
      <c r="S165" s="35" t="n">
        <f>120.05</f>
        <v>120.05</v>
      </c>
      <c r="T165" s="32" t="n">
        <f>1018800</f>
        <v>1018800.0</v>
      </c>
      <c r="U165" s="32" t="str">
        <f>"－"</f>
        <v>－</v>
      </c>
      <c r="V165" s="32" t="n">
        <f>135310300</f>
        <v>1.353103E8</v>
      </c>
      <c r="W165" s="32" t="str">
        <f>"－"</f>
        <v>－</v>
      </c>
      <c r="X165" s="36" t="n">
        <f>22</f>
        <v>22.0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910</f>
        <v>910.0</v>
      </c>
      <c r="L166" s="34" t="s">
        <v>48</v>
      </c>
      <c r="M166" s="33" t="n">
        <f>967</f>
        <v>967.0</v>
      </c>
      <c r="N166" s="34" t="s">
        <v>97</v>
      </c>
      <c r="O166" s="33" t="n">
        <f>887</f>
        <v>887.0</v>
      </c>
      <c r="P166" s="34" t="s">
        <v>172</v>
      </c>
      <c r="Q166" s="33" t="n">
        <f>956</f>
        <v>956.0</v>
      </c>
      <c r="R166" s="34" t="s">
        <v>51</v>
      </c>
      <c r="S166" s="35" t="n">
        <f>936.95</f>
        <v>936.95</v>
      </c>
      <c r="T166" s="32" t="n">
        <f>43184026</f>
        <v>4.3184026E7</v>
      </c>
      <c r="U166" s="32" t="n">
        <f>39310</f>
        <v>39310.0</v>
      </c>
      <c r="V166" s="32" t="n">
        <f>40334999110</f>
        <v>4.033499911E10</v>
      </c>
      <c r="W166" s="32" t="n">
        <f>37443125</f>
        <v>3.7443125E7</v>
      </c>
      <c r="X166" s="36" t="n">
        <f>22</f>
        <v>22.0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17510</f>
        <v>17510.0</v>
      </c>
      <c r="L167" s="34" t="s">
        <v>48</v>
      </c>
      <c r="M167" s="33" t="n">
        <f>18980</f>
        <v>18980.0</v>
      </c>
      <c r="N167" s="34" t="s">
        <v>196</v>
      </c>
      <c r="O167" s="33" t="n">
        <f>17510</f>
        <v>17510.0</v>
      </c>
      <c r="P167" s="34" t="s">
        <v>48</v>
      </c>
      <c r="Q167" s="33" t="n">
        <f>18470</f>
        <v>18470.0</v>
      </c>
      <c r="R167" s="34" t="s">
        <v>51</v>
      </c>
      <c r="S167" s="35" t="n">
        <f>18297.27</f>
        <v>18297.27</v>
      </c>
      <c r="T167" s="32" t="n">
        <f>7103</f>
        <v>7103.0</v>
      </c>
      <c r="U167" s="32" t="str">
        <f>"－"</f>
        <v>－</v>
      </c>
      <c r="V167" s="32" t="n">
        <f>129799610</f>
        <v>1.2979961E8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551</v>
      </c>
      <c r="C168" s="27" t="s">
        <v>552</v>
      </c>
      <c r="D168" s="27" t="s">
        <v>553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2194</f>
        <v>2194.0</v>
      </c>
      <c r="L168" s="34" t="s">
        <v>48</v>
      </c>
      <c r="M168" s="33" t="n">
        <f>3180</f>
        <v>3180.0</v>
      </c>
      <c r="N168" s="34" t="s">
        <v>97</v>
      </c>
      <c r="O168" s="33" t="n">
        <f>2194</f>
        <v>2194.0</v>
      </c>
      <c r="P168" s="34" t="s">
        <v>48</v>
      </c>
      <c r="Q168" s="33" t="n">
        <f>2566</f>
        <v>2566.0</v>
      </c>
      <c r="R168" s="34" t="s">
        <v>51</v>
      </c>
      <c r="S168" s="35" t="n">
        <f>2477</f>
        <v>2477.0</v>
      </c>
      <c r="T168" s="32" t="n">
        <f>91370</f>
        <v>91370.0</v>
      </c>
      <c r="U168" s="32" t="str">
        <f>"－"</f>
        <v>－</v>
      </c>
      <c r="V168" s="32" t="n">
        <f>240580690</f>
        <v>2.4058069E8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554</v>
      </c>
      <c r="C169" s="27" t="s">
        <v>555</v>
      </c>
      <c r="D169" s="27" t="s">
        <v>556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9410</f>
        <v>9410.0</v>
      </c>
      <c r="L169" s="34" t="s">
        <v>48</v>
      </c>
      <c r="M169" s="33" t="n">
        <f>10280</f>
        <v>10280.0</v>
      </c>
      <c r="N169" s="34" t="s">
        <v>61</v>
      </c>
      <c r="O169" s="33" t="n">
        <f>9360</f>
        <v>9360.0</v>
      </c>
      <c r="P169" s="34" t="s">
        <v>48</v>
      </c>
      <c r="Q169" s="33" t="n">
        <f>10250</f>
        <v>10250.0</v>
      </c>
      <c r="R169" s="34" t="s">
        <v>51</v>
      </c>
      <c r="S169" s="35" t="n">
        <f>9925.45</f>
        <v>9925.45</v>
      </c>
      <c r="T169" s="32" t="n">
        <f>17206</f>
        <v>17206.0</v>
      </c>
      <c r="U169" s="32" t="str">
        <f>"－"</f>
        <v>－</v>
      </c>
      <c r="V169" s="32" t="n">
        <f>170780950</f>
        <v>1.7078095E8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557</v>
      </c>
      <c r="C170" s="27" t="s">
        <v>558</v>
      </c>
      <c r="D170" s="27" t="s">
        <v>559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23560</f>
        <v>23560.0</v>
      </c>
      <c r="L170" s="34" t="s">
        <v>172</v>
      </c>
      <c r="M170" s="33" t="n">
        <f>24780</f>
        <v>24780.0</v>
      </c>
      <c r="N170" s="34" t="s">
        <v>132</v>
      </c>
      <c r="O170" s="33" t="n">
        <f>22280</f>
        <v>22280.0</v>
      </c>
      <c r="P170" s="34" t="s">
        <v>62</v>
      </c>
      <c r="Q170" s="33" t="n">
        <f>22780</f>
        <v>22780.0</v>
      </c>
      <c r="R170" s="34" t="s">
        <v>51</v>
      </c>
      <c r="S170" s="35" t="n">
        <f>23085.24</f>
        <v>23085.24</v>
      </c>
      <c r="T170" s="32" t="n">
        <f>623</f>
        <v>623.0</v>
      </c>
      <c r="U170" s="32" t="str">
        <f>"－"</f>
        <v>－</v>
      </c>
      <c r="V170" s="32" t="n">
        <f>14316060</f>
        <v>1.431606E7</v>
      </c>
      <c r="W170" s="32" t="str">
        <f>"－"</f>
        <v>－</v>
      </c>
      <c r="X170" s="36" t="n">
        <f>21</f>
        <v>21.0</v>
      </c>
    </row>
    <row r="171">
      <c r="A171" s="27" t="s">
        <v>42</v>
      </c>
      <c r="B171" s="27" t="s">
        <v>560</v>
      </c>
      <c r="C171" s="27" t="s">
        <v>561</v>
      </c>
      <c r="D171" s="27" t="s">
        <v>562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16760</f>
        <v>16760.0</v>
      </c>
      <c r="L171" s="34" t="s">
        <v>172</v>
      </c>
      <c r="M171" s="33" t="n">
        <f>17200</f>
        <v>17200.0</v>
      </c>
      <c r="N171" s="34" t="s">
        <v>323</v>
      </c>
      <c r="O171" s="33" t="n">
        <f>15320</f>
        <v>15320.0</v>
      </c>
      <c r="P171" s="34" t="s">
        <v>131</v>
      </c>
      <c r="Q171" s="33" t="n">
        <f>17200</f>
        <v>17200.0</v>
      </c>
      <c r="R171" s="34" t="s">
        <v>323</v>
      </c>
      <c r="S171" s="35" t="n">
        <f>16088.75</f>
        <v>16088.75</v>
      </c>
      <c r="T171" s="32" t="n">
        <f>44</f>
        <v>44.0</v>
      </c>
      <c r="U171" s="32" t="str">
        <f>"－"</f>
        <v>－</v>
      </c>
      <c r="V171" s="32" t="n">
        <f>703970</f>
        <v>703970.0</v>
      </c>
      <c r="W171" s="32" t="str">
        <f>"－"</f>
        <v>－</v>
      </c>
      <c r="X171" s="36" t="n">
        <f>8</f>
        <v>8.0</v>
      </c>
    </row>
    <row r="172">
      <c r="A172" s="27" t="s">
        <v>42</v>
      </c>
      <c r="B172" s="27" t="s">
        <v>563</v>
      </c>
      <c r="C172" s="27" t="s">
        <v>564</v>
      </c>
      <c r="D172" s="27" t="s">
        <v>565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51300</f>
        <v>51300.0</v>
      </c>
      <c r="L172" s="34" t="s">
        <v>48</v>
      </c>
      <c r="M172" s="33" t="n">
        <f>51500</f>
        <v>51500.0</v>
      </c>
      <c r="N172" s="34" t="s">
        <v>69</v>
      </c>
      <c r="O172" s="33" t="n">
        <f>51100</f>
        <v>51100.0</v>
      </c>
      <c r="P172" s="34" t="s">
        <v>48</v>
      </c>
      <c r="Q172" s="33" t="n">
        <f>51300</f>
        <v>51300.0</v>
      </c>
      <c r="R172" s="34" t="s">
        <v>51</v>
      </c>
      <c r="S172" s="35" t="n">
        <f>51250</f>
        <v>51250.0</v>
      </c>
      <c r="T172" s="32" t="n">
        <f>5380</f>
        <v>5380.0</v>
      </c>
      <c r="U172" s="32" t="str">
        <f>"－"</f>
        <v>－</v>
      </c>
      <c r="V172" s="32" t="n">
        <f>275793000</f>
        <v>2.75793E8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566</v>
      </c>
      <c r="C173" s="27" t="s">
        <v>567</v>
      </c>
      <c r="D173" s="27" t="s">
        <v>568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162</f>
        <v>162.0</v>
      </c>
      <c r="L173" s="34" t="s">
        <v>48</v>
      </c>
      <c r="M173" s="33" t="n">
        <f>178</f>
        <v>178.0</v>
      </c>
      <c r="N173" s="34" t="s">
        <v>49</v>
      </c>
      <c r="O173" s="33" t="n">
        <f>162</f>
        <v>162.0</v>
      </c>
      <c r="P173" s="34" t="s">
        <v>48</v>
      </c>
      <c r="Q173" s="33" t="n">
        <f>178</f>
        <v>178.0</v>
      </c>
      <c r="R173" s="34" t="s">
        <v>51</v>
      </c>
      <c r="S173" s="35" t="n">
        <f>171.32</f>
        <v>171.32</v>
      </c>
      <c r="T173" s="32" t="n">
        <f>8223500</f>
        <v>8223500.0</v>
      </c>
      <c r="U173" s="32" t="n">
        <f>25500</f>
        <v>25500.0</v>
      </c>
      <c r="V173" s="32" t="n">
        <f>1402068100</f>
        <v>1.4020681E9</v>
      </c>
      <c r="W173" s="32" t="n">
        <f>4371100</f>
        <v>4371100.0</v>
      </c>
      <c r="X173" s="36" t="n">
        <f>22</f>
        <v>22.0</v>
      </c>
    </row>
    <row r="174">
      <c r="A174" s="27" t="s">
        <v>42</v>
      </c>
      <c r="B174" s="27" t="s">
        <v>569</v>
      </c>
      <c r="C174" s="27" t="s">
        <v>570</v>
      </c>
      <c r="D174" s="27" t="s">
        <v>571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27690</f>
        <v>27690.0</v>
      </c>
      <c r="L174" s="34" t="s">
        <v>48</v>
      </c>
      <c r="M174" s="33" t="n">
        <f>27920</f>
        <v>27920.0</v>
      </c>
      <c r="N174" s="34" t="s">
        <v>49</v>
      </c>
      <c r="O174" s="33" t="n">
        <f>27290</f>
        <v>27290.0</v>
      </c>
      <c r="P174" s="34" t="s">
        <v>62</v>
      </c>
      <c r="Q174" s="33" t="n">
        <f>27660</f>
        <v>27660.0</v>
      </c>
      <c r="R174" s="34" t="s">
        <v>51</v>
      </c>
      <c r="S174" s="35" t="n">
        <f>27575.45</f>
        <v>27575.45</v>
      </c>
      <c r="T174" s="32" t="n">
        <f>5770</f>
        <v>5770.0</v>
      </c>
      <c r="U174" s="32" t="str">
        <f>"－"</f>
        <v>－</v>
      </c>
      <c r="V174" s="32" t="n">
        <f>159002000</f>
        <v>1.59002E8</v>
      </c>
      <c r="W174" s="32" t="str">
        <f>"－"</f>
        <v>－</v>
      </c>
      <c r="X174" s="36" t="n">
        <f>22</f>
        <v>22.0</v>
      </c>
    </row>
    <row r="175">
      <c r="A175" s="27" t="s">
        <v>42</v>
      </c>
      <c r="B175" s="27" t="s">
        <v>572</v>
      </c>
      <c r="C175" s="27" t="s">
        <v>573</v>
      </c>
      <c r="D175" s="27" t="s">
        <v>574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2815</f>
        <v>2815.0</v>
      </c>
      <c r="L175" s="34" t="s">
        <v>48</v>
      </c>
      <c r="M175" s="33" t="n">
        <f>2929</f>
        <v>2929.0</v>
      </c>
      <c r="N175" s="34" t="s">
        <v>49</v>
      </c>
      <c r="O175" s="33" t="n">
        <f>2791</f>
        <v>2791.0</v>
      </c>
      <c r="P175" s="34" t="s">
        <v>86</v>
      </c>
      <c r="Q175" s="33" t="n">
        <f>2915</f>
        <v>2915.0</v>
      </c>
      <c r="R175" s="34" t="s">
        <v>51</v>
      </c>
      <c r="S175" s="35" t="n">
        <f>2860.14</f>
        <v>2860.14</v>
      </c>
      <c r="T175" s="32" t="n">
        <f>115090</f>
        <v>115090.0</v>
      </c>
      <c r="U175" s="32" t="str">
        <f>"－"</f>
        <v>－</v>
      </c>
      <c r="V175" s="32" t="n">
        <f>329817090</f>
        <v>3.2981709E8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575</v>
      </c>
      <c r="C176" s="27" t="s">
        <v>576</v>
      </c>
      <c r="D176" s="27" t="s">
        <v>577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1590</f>
        <v>1590.0</v>
      </c>
      <c r="L176" s="34" t="s">
        <v>48</v>
      </c>
      <c r="M176" s="33" t="n">
        <f>1686</f>
        <v>1686.0</v>
      </c>
      <c r="N176" s="34" t="s">
        <v>51</v>
      </c>
      <c r="O176" s="33" t="n">
        <f>1590</f>
        <v>1590.0</v>
      </c>
      <c r="P176" s="34" t="s">
        <v>48</v>
      </c>
      <c r="Q176" s="33" t="n">
        <f>1682</f>
        <v>1682.0</v>
      </c>
      <c r="R176" s="34" t="s">
        <v>51</v>
      </c>
      <c r="S176" s="35" t="n">
        <f>1644.18</f>
        <v>1644.18</v>
      </c>
      <c r="T176" s="32" t="n">
        <f>170660</f>
        <v>170660.0</v>
      </c>
      <c r="U176" s="32" t="n">
        <f>160</f>
        <v>160.0</v>
      </c>
      <c r="V176" s="32" t="n">
        <f>280637240</f>
        <v>2.8063724E8</v>
      </c>
      <c r="W176" s="32" t="n">
        <f>263380</f>
        <v>263380.0</v>
      </c>
      <c r="X176" s="36" t="n">
        <f>22</f>
        <v>22.0</v>
      </c>
    </row>
    <row r="177">
      <c r="A177" s="27" t="s">
        <v>42</v>
      </c>
      <c r="B177" s="27" t="s">
        <v>578</v>
      </c>
      <c r="C177" s="27" t="s">
        <v>579</v>
      </c>
      <c r="D177" s="27" t="s">
        <v>580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172</f>
        <v>172.0</v>
      </c>
      <c r="L177" s="34" t="s">
        <v>48</v>
      </c>
      <c r="M177" s="33" t="n">
        <f>188</f>
        <v>188.0</v>
      </c>
      <c r="N177" s="34" t="s">
        <v>61</v>
      </c>
      <c r="O177" s="33" t="n">
        <f>172</f>
        <v>172.0</v>
      </c>
      <c r="P177" s="34" t="s">
        <v>48</v>
      </c>
      <c r="Q177" s="33" t="n">
        <f>186</f>
        <v>186.0</v>
      </c>
      <c r="R177" s="34" t="s">
        <v>51</v>
      </c>
      <c r="S177" s="35" t="n">
        <f>181.86</f>
        <v>181.86</v>
      </c>
      <c r="T177" s="32" t="n">
        <f>827800</f>
        <v>827800.0</v>
      </c>
      <c r="U177" s="32" t="str">
        <f>"－"</f>
        <v>－</v>
      </c>
      <c r="V177" s="32" t="n">
        <f>150942800</f>
        <v>1.509428E8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581</v>
      </c>
      <c r="C178" s="27" t="s">
        <v>582</v>
      </c>
      <c r="D178" s="27" t="s">
        <v>583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808</f>
        <v>808.0</v>
      </c>
      <c r="L178" s="34" t="s">
        <v>196</v>
      </c>
      <c r="M178" s="33" t="n">
        <f>808</f>
        <v>808.0</v>
      </c>
      <c r="N178" s="34" t="s">
        <v>196</v>
      </c>
      <c r="O178" s="33" t="n">
        <f>808</f>
        <v>808.0</v>
      </c>
      <c r="P178" s="34" t="s">
        <v>196</v>
      </c>
      <c r="Q178" s="33" t="n">
        <f>808</f>
        <v>808.0</v>
      </c>
      <c r="R178" s="34" t="s">
        <v>196</v>
      </c>
      <c r="S178" s="35" t="n">
        <f>808</f>
        <v>808.0</v>
      </c>
      <c r="T178" s="32" t="n">
        <f>40</f>
        <v>40.0</v>
      </c>
      <c r="U178" s="32" t="str">
        <f>"－"</f>
        <v>－</v>
      </c>
      <c r="V178" s="32" t="n">
        <f>32320</f>
        <v>32320.0</v>
      </c>
      <c r="W178" s="32" t="str">
        <f>"－"</f>
        <v>－</v>
      </c>
      <c r="X178" s="36" t="n">
        <f>1</f>
        <v>1.0</v>
      </c>
    </row>
    <row r="179">
      <c r="A179" s="27" t="s">
        <v>42</v>
      </c>
      <c r="B179" s="27" t="s">
        <v>584</v>
      </c>
      <c r="C179" s="27" t="s">
        <v>585</v>
      </c>
      <c r="D179" s="27" t="s">
        <v>586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218</f>
        <v>218.0</v>
      </c>
      <c r="L179" s="34" t="s">
        <v>48</v>
      </c>
      <c r="M179" s="33" t="n">
        <f>307</f>
        <v>307.0</v>
      </c>
      <c r="N179" s="34" t="s">
        <v>304</v>
      </c>
      <c r="O179" s="33" t="n">
        <f>209</f>
        <v>209.0</v>
      </c>
      <c r="P179" s="34" t="s">
        <v>132</v>
      </c>
      <c r="Q179" s="33" t="n">
        <f>224</f>
        <v>224.0</v>
      </c>
      <c r="R179" s="34" t="s">
        <v>51</v>
      </c>
      <c r="S179" s="35" t="n">
        <f>223.59</f>
        <v>223.59</v>
      </c>
      <c r="T179" s="32" t="n">
        <f>218010</f>
        <v>218010.0</v>
      </c>
      <c r="U179" s="32" t="str">
        <f>"－"</f>
        <v>－</v>
      </c>
      <c r="V179" s="32" t="n">
        <f>56301960</f>
        <v>5.630196E7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1400</f>
        <v>1400.0</v>
      </c>
      <c r="L180" s="34" t="s">
        <v>132</v>
      </c>
      <c r="M180" s="33" t="n">
        <f>1567</f>
        <v>1567.0</v>
      </c>
      <c r="N180" s="34" t="s">
        <v>304</v>
      </c>
      <c r="O180" s="33" t="n">
        <f>1335</f>
        <v>1335.0</v>
      </c>
      <c r="P180" s="34" t="s">
        <v>62</v>
      </c>
      <c r="Q180" s="33" t="n">
        <f>1443</f>
        <v>1443.0</v>
      </c>
      <c r="R180" s="34" t="s">
        <v>51</v>
      </c>
      <c r="S180" s="35" t="n">
        <f>1433.44</f>
        <v>1433.44</v>
      </c>
      <c r="T180" s="32" t="n">
        <f>570</f>
        <v>570.0</v>
      </c>
      <c r="U180" s="32" t="str">
        <f>"－"</f>
        <v>－</v>
      </c>
      <c r="V180" s="32" t="n">
        <f>829250</f>
        <v>829250.0</v>
      </c>
      <c r="W180" s="32" t="str">
        <f>"－"</f>
        <v>－</v>
      </c>
      <c r="X180" s="36" t="n">
        <f>9</f>
        <v>9.0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450</f>
        <v>450.0</v>
      </c>
      <c r="L181" s="34" t="s">
        <v>48</v>
      </c>
      <c r="M181" s="33" t="n">
        <f>479</f>
        <v>479.0</v>
      </c>
      <c r="N181" s="34" t="s">
        <v>323</v>
      </c>
      <c r="O181" s="33" t="n">
        <f>436</f>
        <v>436.0</v>
      </c>
      <c r="P181" s="34" t="s">
        <v>179</v>
      </c>
      <c r="Q181" s="33" t="n">
        <f>475</f>
        <v>475.0</v>
      </c>
      <c r="R181" s="34" t="s">
        <v>51</v>
      </c>
      <c r="S181" s="35" t="n">
        <f>456.41</f>
        <v>456.41</v>
      </c>
      <c r="T181" s="32" t="n">
        <f>36820</f>
        <v>36820.0</v>
      </c>
      <c r="U181" s="32" t="str">
        <f>"－"</f>
        <v>－</v>
      </c>
      <c r="V181" s="32" t="n">
        <f>16802890</f>
        <v>1.680289E7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335</f>
        <v>335.0</v>
      </c>
      <c r="L182" s="34" t="s">
        <v>48</v>
      </c>
      <c r="M182" s="33" t="n">
        <f>356</f>
        <v>356.0</v>
      </c>
      <c r="N182" s="34" t="s">
        <v>51</v>
      </c>
      <c r="O182" s="33" t="n">
        <f>318</f>
        <v>318.0</v>
      </c>
      <c r="P182" s="34" t="s">
        <v>172</v>
      </c>
      <c r="Q182" s="33" t="n">
        <f>353</f>
        <v>353.0</v>
      </c>
      <c r="R182" s="34" t="s">
        <v>51</v>
      </c>
      <c r="S182" s="35" t="n">
        <f>334.23</f>
        <v>334.23</v>
      </c>
      <c r="T182" s="32" t="n">
        <f>369200</f>
        <v>369200.0</v>
      </c>
      <c r="U182" s="32" t="str">
        <f>"－"</f>
        <v>－</v>
      </c>
      <c r="V182" s="32" t="n">
        <f>124844290</f>
        <v>1.2484429E8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2</f>
        <v>2.0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1</f>
        <v>1.0</v>
      </c>
      <c r="R183" s="34" t="s">
        <v>51</v>
      </c>
      <c r="S183" s="35" t="n">
        <f>1.41</f>
        <v>1.41</v>
      </c>
      <c r="T183" s="32" t="n">
        <f>322873600</f>
        <v>3.228736E8</v>
      </c>
      <c r="U183" s="32" t="str">
        <f>"－"</f>
        <v>－</v>
      </c>
      <c r="V183" s="32" t="n">
        <f>499684800</f>
        <v>4.996848E8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422</f>
        <v>422.0</v>
      </c>
      <c r="L184" s="34" t="s">
        <v>48</v>
      </c>
      <c r="M184" s="33" t="n">
        <f>449</f>
        <v>449.0</v>
      </c>
      <c r="N184" s="34" t="s">
        <v>304</v>
      </c>
      <c r="O184" s="33" t="n">
        <f>411</f>
        <v>411.0</v>
      </c>
      <c r="P184" s="34" t="s">
        <v>172</v>
      </c>
      <c r="Q184" s="33" t="n">
        <f>442</f>
        <v>442.0</v>
      </c>
      <c r="R184" s="34" t="s">
        <v>51</v>
      </c>
      <c r="S184" s="35" t="n">
        <f>433.95</f>
        <v>433.95</v>
      </c>
      <c r="T184" s="32" t="n">
        <f>731960</f>
        <v>731960.0</v>
      </c>
      <c r="U184" s="32" t="str">
        <f>"－"</f>
        <v>－</v>
      </c>
      <c r="V184" s="32" t="n">
        <f>318222040</f>
        <v>3.1822204E8</v>
      </c>
      <c r="W184" s="32" t="str">
        <f>"－"</f>
        <v>－</v>
      </c>
      <c r="X184" s="36" t="n">
        <f>22</f>
        <v>22.0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1733</f>
        <v>1733.0</v>
      </c>
      <c r="L185" s="34" t="s">
        <v>48</v>
      </c>
      <c r="M185" s="33" t="n">
        <f>1937</f>
        <v>1937.0</v>
      </c>
      <c r="N185" s="34" t="s">
        <v>196</v>
      </c>
      <c r="O185" s="33" t="n">
        <f>1669</f>
        <v>1669.0</v>
      </c>
      <c r="P185" s="34" t="s">
        <v>172</v>
      </c>
      <c r="Q185" s="33" t="n">
        <f>1857</f>
        <v>1857.0</v>
      </c>
      <c r="R185" s="34" t="s">
        <v>196</v>
      </c>
      <c r="S185" s="35" t="n">
        <f>1805.72</f>
        <v>1805.72</v>
      </c>
      <c r="T185" s="32" t="n">
        <f>4175</f>
        <v>4175.0</v>
      </c>
      <c r="U185" s="32" t="str">
        <f>"－"</f>
        <v>－</v>
      </c>
      <c r="V185" s="32" t="n">
        <f>7591161</f>
        <v>7591161.0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308</f>
        <v>308.0</v>
      </c>
      <c r="L186" s="34" t="s">
        <v>172</v>
      </c>
      <c r="M186" s="33" t="n">
        <f>375</f>
        <v>375.0</v>
      </c>
      <c r="N186" s="34" t="s">
        <v>323</v>
      </c>
      <c r="O186" s="33" t="n">
        <f>301</f>
        <v>301.0</v>
      </c>
      <c r="P186" s="34" t="s">
        <v>50</v>
      </c>
      <c r="Q186" s="33" t="n">
        <f>306</f>
        <v>306.0</v>
      </c>
      <c r="R186" s="34" t="s">
        <v>49</v>
      </c>
      <c r="S186" s="35" t="n">
        <f>314.64</f>
        <v>314.64</v>
      </c>
      <c r="T186" s="32" t="n">
        <f>5500</f>
        <v>5500.0</v>
      </c>
      <c r="U186" s="32" t="str">
        <f>"－"</f>
        <v>－</v>
      </c>
      <c r="V186" s="32" t="n">
        <f>1791200</f>
        <v>1791200.0</v>
      </c>
      <c r="W186" s="32" t="str">
        <f>"－"</f>
        <v>－</v>
      </c>
      <c r="X186" s="36" t="n">
        <f>11</f>
        <v>11.0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3445</f>
        <v>3445.0</v>
      </c>
      <c r="L187" s="34" t="s">
        <v>48</v>
      </c>
      <c r="M187" s="33" t="n">
        <f>3600</f>
        <v>3600.0</v>
      </c>
      <c r="N187" s="34" t="s">
        <v>97</v>
      </c>
      <c r="O187" s="33" t="n">
        <f>3230</f>
        <v>3230.0</v>
      </c>
      <c r="P187" s="34" t="s">
        <v>48</v>
      </c>
      <c r="Q187" s="33" t="n">
        <f>3350</f>
        <v>3350.0</v>
      </c>
      <c r="R187" s="34" t="s">
        <v>51</v>
      </c>
      <c r="S187" s="35" t="n">
        <f>3337.27</f>
        <v>3337.27</v>
      </c>
      <c r="T187" s="32" t="n">
        <f>33440</f>
        <v>33440.0</v>
      </c>
      <c r="U187" s="32" t="str">
        <f>"－"</f>
        <v>－</v>
      </c>
      <c r="V187" s="32" t="n">
        <f>112909500</f>
        <v>1.129095E8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1709</f>
        <v>1709.0</v>
      </c>
      <c r="L188" s="34" t="s">
        <v>48</v>
      </c>
      <c r="M188" s="33" t="n">
        <f>2815</f>
        <v>2815.0</v>
      </c>
      <c r="N188" s="34" t="s">
        <v>196</v>
      </c>
      <c r="O188" s="33" t="n">
        <f>1557</f>
        <v>1557.0</v>
      </c>
      <c r="P188" s="34" t="s">
        <v>69</v>
      </c>
      <c r="Q188" s="33" t="n">
        <f>2584</f>
        <v>2584.0</v>
      </c>
      <c r="R188" s="34" t="s">
        <v>51</v>
      </c>
      <c r="S188" s="35" t="n">
        <f>1858.22</f>
        <v>1858.22</v>
      </c>
      <c r="T188" s="32" t="n">
        <f>4780</f>
        <v>4780.0</v>
      </c>
      <c r="U188" s="32" t="n">
        <f>20</f>
        <v>20.0</v>
      </c>
      <c r="V188" s="32" t="n">
        <f>9493930</f>
        <v>9493930.0</v>
      </c>
      <c r="W188" s="32" t="n">
        <f>31420</f>
        <v>31420.0</v>
      </c>
      <c r="X188" s="36" t="n">
        <f>18</f>
        <v>18.0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69</f>
        <v>69.0</v>
      </c>
      <c r="L189" s="34" t="s">
        <v>48</v>
      </c>
      <c r="M189" s="33" t="n">
        <f>74</f>
        <v>74.0</v>
      </c>
      <c r="N189" s="34" t="s">
        <v>76</v>
      </c>
      <c r="O189" s="33" t="n">
        <f>66</f>
        <v>66.0</v>
      </c>
      <c r="P189" s="34" t="s">
        <v>179</v>
      </c>
      <c r="Q189" s="33" t="n">
        <f>71</f>
        <v>71.0</v>
      </c>
      <c r="R189" s="34" t="s">
        <v>51</v>
      </c>
      <c r="S189" s="35" t="n">
        <f>69.95</f>
        <v>69.95</v>
      </c>
      <c r="T189" s="32" t="n">
        <f>4811900</f>
        <v>4811900.0</v>
      </c>
      <c r="U189" s="32" t="str">
        <f>"－"</f>
        <v>－</v>
      </c>
      <c r="V189" s="32" t="n">
        <f>341674500</f>
        <v>3.416745E8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77</f>
        <v>77.0</v>
      </c>
      <c r="L190" s="34" t="s">
        <v>48</v>
      </c>
      <c r="M190" s="33" t="n">
        <f>84</f>
        <v>84.0</v>
      </c>
      <c r="N190" s="34" t="s">
        <v>51</v>
      </c>
      <c r="O190" s="33" t="n">
        <f>74</f>
        <v>74.0</v>
      </c>
      <c r="P190" s="34" t="s">
        <v>61</v>
      </c>
      <c r="Q190" s="33" t="n">
        <f>83</f>
        <v>83.0</v>
      </c>
      <c r="R190" s="34" t="s">
        <v>51</v>
      </c>
      <c r="S190" s="35" t="n">
        <f>77.45</f>
        <v>77.45</v>
      </c>
      <c r="T190" s="32" t="n">
        <f>1367300</f>
        <v>1367300.0</v>
      </c>
      <c r="U190" s="32" t="n">
        <f>4200</f>
        <v>4200.0</v>
      </c>
      <c r="V190" s="32" t="n">
        <f>107821100</f>
        <v>1.078211E8</v>
      </c>
      <c r="W190" s="32" t="n">
        <f>327600</f>
        <v>327600.0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2110</f>
        <v>2110.0</v>
      </c>
      <c r="L191" s="34" t="s">
        <v>48</v>
      </c>
      <c r="M191" s="33" t="n">
        <f>2344</f>
        <v>2344.0</v>
      </c>
      <c r="N191" s="34" t="s">
        <v>51</v>
      </c>
      <c r="O191" s="33" t="n">
        <f>2069</f>
        <v>2069.0</v>
      </c>
      <c r="P191" s="34" t="s">
        <v>179</v>
      </c>
      <c r="Q191" s="33" t="n">
        <f>2310</f>
        <v>2310.0</v>
      </c>
      <c r="R191" s="34" t="s">
        <v>51</v>
      </c>
      <c r="S191" s="35" t="n">
        <f>2171.36</f>
        <v>2171.36</v>
      </c>
      <c r="T191" s="32" t="n">
        <f>26050</f>
        <v>26050.0</v>
      </c>
      <c r="U191" s="32" t="str">
        <f>"－"</f>
        <v>－</v>
      </c>
      <c r="V191" s="32" t="n">
        <f>57120660</f>
        <v>5.712066E7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1523</f>
        <v>1523.0</v>
      </c>
      <c r="L192" s="34" t="s">
        <v>48</v>
      </c>
      <c r="M192" s="33" t="n">
        <f>1588</f>
        <v>1588.0</v>
      </c>
      <c r="N192" s="34" t="s">
        <v>183</v>
      </c>
      <c r="O192" s="33" t="n">
        <f>1523</f>
        <v>1523.0</v>
      </c>
      <c r="P192" s="34" t="s">
        <v>48</v>
      </c>
      <c r="Q192" s="33" t="n">
        <f>1566</f>
        <v>1566.0</v>
      </c>
      <c r="R192" s="34" t="s">
        <v>51</v>
      </c>
      <c r="S192" s="35" t="n">
        <f>1564.14</f>
        <v>1564.14</v>
      </c>
      <c r="T192" s="32" t="n">
        <f>30790</f>
        <v>30790.0</v>
      </c>
      <c r="U192" s="32" t="str">
        <f>"－"</f>
        <v>－</v>
      </c>
      <c r="V192" s="32" t="n">
        <f>48135290</f>
        <v>4.813529E7</v>
      </c>
      <c r="W192" s="32" t="str">
        <f>"－"</f>
        <v>－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111</f>
        <v>111.0</v>
      </c>
      <c r="L193" s="34" t="s">
        <v>48</v>
      </c>
      <c r="M193" s="33" t="n">
        <f>119</f>
        <v>119.0</v>
      </c>
      <c r="N193" s="34" t="s">
        <v>304</v>
      </c>
      <c r="O193" s="33" t="n">
        <f>109</f>
        <v>109.0</v>
      </c>
      <c r="P193" s="34" t="s">
        <v>172</v>
      </c>
      <c r="Q193" s="33" t="n">
        <f>117</f>
        <v>117.0</v>
      </c>
      <c r="R193" s="34" t="s">
        <v>51</v>
      </c>
      <c r="S193" s="35" t="n">
        <f>114.73</f>
        <v>114.73</v>
      </c>
      <c r="T193" s="32" t="n">
        <f>212588540</f>
        <v>2.1258854E8</v>
      </c>
      <c r="U193" s="32" t="n">
        <f>4361370</f>
        <v>4361370.0</v>
      </c>
      <c r="V193" s="32" t="n">
        <f>24330642788</f>
        <v>2.4330642788E10</v>
      </c>
      <c r="W193" s="32" t="n">
        <f>505951408</f>
        <v>5.05951408E8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632</v>
      </c>
      <c r="J194" s="32" t="n">
        <v>1.0</v>
      </c>
      <c r="K194" s="33" t="n">
        <f>9800</f>
        <v>9800.0</v>
      </c>
      <c r="L194" s="34" t="s">
        <v>48</v>
      </c>
      <c r="M194" s="33" t="n">
        <f>10220</f>
        <v>10220.0</v>
      </c>
      <c r="N194" s="34" t="s">
        <v>51</v>
      </c>
      <c r="O194" s="33" t="n">
        <f>9400</f>
        <v>9400.0</v>
      </c>
      <c r="P194" s="34" t="s">
        <v>50</v>
      </c>
      <c r="Q194" s="33" t="n">
        <f>10030</f>
        <v>10030.0</v>
      </c>
      <c r="R194" s="34" t="s">
        <v>51</v>
      </c>
      <c r="S194" s="35" t="n">
        <f>9745.45</f>
        <v>9745.45</v>
      </c>
      <c r="T194" s="32" t="n">
        <f>4181</f>
        <v>4181.0</v>
      </c>
      <c r="U194" s="32" t="n">
        <f>3</f>
        <v>3.0</v>
      </c>
      <c r="V194" s="32" t="n">
        <f>40879070</f>
        <v>4.087907E7</v>
      </c>
      <c r="W194" s="32" t="n">
        <f>29290</f>
        <v>29290.0</v>
      </c>
      <c r="X194" s="36" t="n">
        <f>22</f>
        <v>22.0</v>
      </c>
    </row>
    <row r="195">
      <c r="A195" s="27" t="s">
        <v>42</v>
      </c>
      <c r="B195" s="27" t="s">
        <v>633</v>
      </c>
      <c r="C195" s="27" t="s">
        <v>634</v>
      </c>
      <c r="D195" s="27" t="s">
        <v>635</v>
      </c>
      <c r="E195" s="28" t="s">
        <v>46</v>
      </c>
      <c r="F195" s="29" t="s">
        <v>46</v>
      </c>
      <c r="G195" s="30" t="s">
        <v>46</v>
      </c>
      <c r="H195" s="31"/>
      <c r="I195" s="31" t="s">
        <v>632</v>
      </c>
      <c r="J195" s="32" t="n">
        <v>1.0</v>
      </c>
      <c r="K195" s="33" t="n">
        <f>5570</f>
        <v>5570.0</v>
      </c>
      <c r="L195" s="34" t="s">
        <v>48</v>
      </c>
      <c r="M195" s="33" t="n">
        <f>5860</f>
        <v>5860.0</v>
      </c>
      <c r="N195" s="34" t="s">
        <v>183</v>
      </c>
      <c r="O195" s="33" t="n">
        <f>5390</f>
        <v>5390.0</v>
      </c>
      <c r="P195" s="34" t="s">
        <v>51</v>
      </c>
      <c r="Q195" s="33" t="n">
        <f>5390</f>
        <v>5390.0</v>
      </c>
      <c r="R195" s="34" t="s">
        <v>51</v>
      </c>
      <c r="S195" s="35" t="n">
        <f>5548.57</f>
        <v>5548.57</v>
      </c>
      <c r="T195" s="32" t="n">
        <f>2433</f>
        <v>2433.0</v>
      </c>
      <c r="U195" s="32" t="str">
        <f>"－"</f>
        <v>－</v>
      </c>
      <c r="V195" s="32" t="n">
        <f>13524230</f>
        <v>1.352423E7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636</v>
      </c>
      <c r="C196" s="27" t="s">
        <v>637</v>
      </c>
      <c r="D196" s="27" t="s">
        <v>638</v>
      </c>
      <c r="E196" s="28" t="s">
        <v>46</v>
      </c>
      <c r="F196" s="29" t="s">
        <v>46</v>
      </c>
      <c r="G196" s="30" t="s">
        <v>46</v>
      </c>
      <c r="H196" s="31"/>
      <c r="I196" s="31" t="s">
        <v>632</v>
      </c>
      <c r="J196" s="32" t="n">
        <v>1.0</v>
      </c>
      <c r="K196" s="33" t="n">
        <f>13370</f>
        <v>13370.0</v>
      </c>
      <c r="L196" s="34" t="s">
        <v>48</v>
      </c>
      <c r="M196" s="33" t="n">
        <f>15980</f>
        <v>15980.0</v>
      </c>
      <c r="N196" s="34" t="s">
        <v>51</v>
      </c>
      <c r="O196" s="33" t="n">
        <f>13370</f>
        <v>13370.0</v>
      </c>
      <c r="P196" s="34" t="s">
        <v>48</v>
      </c>
      <c r="Q196" s="33" t="n">
        <f>15980</f>
        <v>15980.0</v>
      </c>
      <c r="R196" s="34" t="s">
        <v>51</v>
      </c>
      <c r="S196" s="35" t="n">
        <f>14791.82</f>
        <v>14791.82</v>
      </c>
      <c r="T196" s="32" t="n">
        <f>4076</f>
        <v>4076.0</v>
      </c>
      <c r="U196" s="32" t="str">
        <f>"－"</f>
        <v>－</v>
      </c>
      <c r="V196" s="32" t="n">
        <f>60579550</f>
        <v>6.057955E7</v>
      </c>
      <c r="W196" s="32" t="str">
        <f>"－"</f>
        <v>－</v>
      </c>
      <c r="X196" s="36" t="n">
        <f>22</f>
        <v>22.0</v>
      </c>
    </row>
    <row r="197">
      <c r="A197" s="27" t="s">
        <v>42</v>
      </c>
      <c r="B197" s="27" t="s">
        <v>639</v>
      </c>
      <c r="C197" s="27" t="s">
        <v>640</v>
      </c>
      <c r="D197" s="27" t="s">
        <v>641</v>
      </c>
      <c r="E197" s="28" t="s">
        <v>46</v>
      </c>
      <c r="F197" s="29" t="s">
        <v>46</v>
      </c>
      <c r="G197" s="30" t="s">
        <v>46</v>
      </c>
      <c r="H197" s="31"/>
      <c r="I197" s="31" t="s">
        <v>632</v>
      </c>
      <c r="J197" s="32" t="n">
        <v>1.0</v>
      </c>
      <c r="K197" s="33" t="n">
        <f>7210</f>
        <v>7210.0</v>
      </c>
      <c r="L197" s="34" t="s">
        <v>48</v>
      </c>
      <c r="M197" s="33" t="n">
        <f>7260</f>
        <v>7260.0</v>
      </c>
      <c r="N197" s="34" t="s">
        <v>50</v>
      </c>
      <c r="O197" s="33" t="n">
        <f>6420</f>
        <v>6420.0</v>
      </c>
      <c r="P197" s="34" t="s">
        <v>51</v>
      </c>
      <c r="Q197" s="33" t="n">
        <f>6420</f>
        <v>6420.0</v>
      </c>
      <c r="R197" s="34" t="s">
        <v>51</v>
      </c>
      <c r="S197" s="35" t="n">
        <f>6832.27</f>
        <v>6832.27</v>
      </c>
      <c r="T197" s="32" t="n">
        <f>14328</f>
        <v>14328.0</v>
      </c>
      <c r="U197" s="32" t="n">
        <f>1</f>
        <v>1.0</v>
      </c>
      <c r="V197" s="32" t="n">
        <f>98645460</f>
        <v>9.864546E7</v>
      </c>
      <c r="W197" s="32" t="n">
        <f>7050</f>
        <v>7050.0</v>
      </c>
      <c r="X197" s="36" t="n">
        <f>22</f>
        <v>22.0</v>
      </c>
    </row>
    <row r="198">
      <c r="A198" s="27" t="s">
        <v>42</v>
      </c>
      <c r="B198" s="27" t="s">
        <v>642</v>
      </c>
      <c r="C198" s="27" t="s">
        <v>643</v>
      </c>
      <c r="D198" s="27" t="s">
        <v>644</v>
      </c>
      <c r="E198" s="28" t="s">
        <v>46</v>
      </c>
      <c r="F198" s="29" t="s">
        <v>46</v>
      </c>
      <c r="G198" s="30" t="s">
        <v>46</v>
      </c>
      <c r="H198" s="31"/>
      <c r="I198" s="31" t="s">
        <v>632</v>
      </c>
      <c r="J198" s="32" t="n">
        <v>1.0</v>
      </c>
      <c r="K198" s="33" t="n">
        <f>373</f>
        <v>373.0</v>
      </c>
      <c r="L198" s="34" t="s">
        <v>48</v>
      </c>
      <c r="M198" s="33" t="n">
        <f>383</f>
        <v>383.0</v>
      </c>
      <c r="N198" s="34" t="s">
        <v>132</v>
      </c>
      <c r="O198" s="33" t="n">
        <f>330</f>
        <v>330.0</v>
      </c>
      <c r="P198" s="34" t="s">
        <v>93</v>
      </c>
      <c r="Q198" s="33" t="n">
        <f>346</f>
        <v>346.0</v>
      </c>
      <c r="R198" s="34" t="s">
        <v>51</v>
      </c>
      <c r="S198" s="35" t="n">
        <f>353.86</f>
        <v>353.86</v>
      </c>
      <c r="T198" s="32" t="n">
        <f>17336466</f>
        <v>1.7336466E7</v>
      </c>
      <c r="U198" s="32" t="n">
        <f>3606</f>
        <v>3606.0</v>
      </c>
      <c r="V198" s="32" t="n">
        <f>6107256060</f>
        <v>6.10725606E9</v>
      </c>
      <c r="W198" s="32" t="n">
        <f>1289762</f>
        <v>1289762.0</v>
      </c>
      <c r="X198" s="36" t="n">
        <f>22</f>
        <v>22.0</v>
      </c>
    </row>
    <row r="199">
      <c r="A199" s="27" t="s">
        <v>42</v>
      </c>
      <c r="B199" s="27" t="s">
        <v>645</v>
      </c>
      <c r="C199" s="27" t="s">
        <v>646</v>
      </c>
      <c r="D199" s="27" t="s">
        <v>647</v>
      </c>
      <c r="E199" s="28" t="s">
        <v>46</v>
      </c>
      <c r="F199" s="29" t="s">
        <v>46</v>
      </c>
      <c r="G199" s="30" t="s">
        <v>46</v>
      </c>
      <c r="H199" s="31"/>
      <c r="I199" s="31" t="s">
        <v>632</v>
      </c>
      <c r="J199" s="32" t="n">
        <v>1.0</v>
      </c>
      <c r="K199" s="33" t="n">
        <f>15860</f>
        <v>15860.0</v>
      </c>
      <c r="L199" s="34" t="s">
        <v>48</v>
      </c>
      <c r="M199" s="33" t="n">
        <f>17860</f>
        <v>17860.0</v>
      </c>
      <c r="N199" s="34" t="s">
        <v>97</v>
      </c>
      <c r="O199" s="33" t="n">
        <f>15860</f>
        <v>15860.0</v>
      </c>
      <c r="P199" s="34" t="s">
        <v>48</v>
      </c>
      <c r="Q199" s="33" t="n">
        <f>17670</f>
        <v>17670.0</v>
      </c>
      <c r="R199" s="34" t="s">
        <v>51</v>
      </c>
      <c r="S199" s="35" t="n">
        <f>17225.91</f>
        <v>17225.91</v>
      </c>
      <c r="T199" s="32" t="n">
        <f>42174</f>
        <v>42174.0</v>
      </c>
      <c r="U199" s="32" t="str">
        <f>"－"</f>
        <v>－</v>
      </c>
      <c r="V199" s="32" t="n">
        <f>727934520</f>
        <v>7.2793452E8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648</v>
      </c>
      <c r="C200" s="27" t="s">
        <v>649</v>
      </c>
      <c r="D200" s="27" t="s">
        <v>650</v>
      </c>
      <c r="E200" s="28" t="s">
        <v>46</v>
      </c>
      <c r="F200" s="29" t="s">
        <v>46</v>
      </c>
      <c r="G200" s="30" t="s">
        <v>46</v>
      </c>
      <c r="H200" s="31"/>
      <c r="I200" s="31" t="s">
        <v>632</v>
      </c>
      <c r="J200" s="32" t="n">
        <v>1.0</v>
      </c>
      <c r="K200" s="33" t="n">
        <f>6050</f>
        <v>6050.0</v>
      </c>
      <c r="L200" s="34" t="s">
        <v>48</v>
      </c>
      <c r="M200" s="33" t="n">
        <f>6050</f>
        <v>6050.0</v>
      </c>
      <c r="N200" s="34" t="s">
        <v>48</v>
      </c>
      <c r="O200" s="33" t="n">
        <f>5580</f>
        <v>5580.0</v>
      </c>
      <c r="P200" s="34" t="s">
        <v>97</v>
      </c>
      <c r="Q200" s="33" t="n">
        <f>5650</f>
        <v>5650.0</v>
      </c>
      <c r="R200" s="34" t="s">
        <v>51</v>
      </c>
      <c r="S200" s="35" t="n">
        <f>5721.82</f>
        <v>5721.82</v>
      </c>
      <c r="T200" s="32" t="n">
        <f>11222</f>
        <v>11222.0</v>
      </c>
      <c r="U200" s="32" t="str">
        <f>"－"</f>
        <v>－</v>
      </c>
      <c r="V200" s="32" t="n">
        <f>64780840</f>
        <v>6.478084E7</v>
      </c>
      <c r="W200" s="32" t="str">
        <f>"－"</f>
        <v>－</v>
      </c>
      <c r="X200" s="36" t="n">
        <f>22</f>
        <v>22.0</v>
      </c>
    </row>
    <row r="201">
      <c r="A201" s="27" t="s">
        <v>42</v>
      </c>
      <c r="B201" s="27" t="s">
        <v>651</v>
      </c>
      <c r="C201" s="27" t="s">
        <v>652</v>
      </c>
      <c r="D201" s="27" t="s">
        <v>653</v>
      </c>
      <c r="E201" s="28" t="s">
        <v>46</v>
      </c>
      <c r="F201" s="29" t="s">
        <v>46</v>
      </c>
      <c r="G201" s="30" t="s">
        <v>46</v>
      </c>
      <c r="H201" s="31"/>
      <c r="I201" s="31" t="s">
        <v>632</v>
      </c>
      <c r="J201" s="32" t="n">
        <v>1.0</v>
      </c>
      <c r="K201" s="33" t="n">
        <f>257</f>
        <v>257.0</v>
      </c>
      <c r="L201" s="34" t="s">
        <v>48</v>
      </c>
      <c r="M201" s="33" t="n">
        <f>295</f>
        <v>295.0</v>
      </c>
      <c r="N201" s="34" t="s">
        <v>76</v>
      </c>
      <c r="O201" s="33" t="n">
        <f>246</f>
        <v>246.0</v>
      </c>
      <c r="P201" s="34" t="s">
        <v>172</v>
      </c>
      <c r="Q201" s="33" t="n">
        <f>287</f>
        <v>287.0</v>
      </c>
      <c r="R201" s="34" t="s">
        <v>51</v>
      </c>
      <c r="S201" s="35" t="n">
        <f>274.64</f>
        <v>274.64</v>
      </c>
      <c r="T201" s="32" t="n">
        <f>213119073</f>
        <v>2.13119073E8</v>
      </c>
      <c r="U201" s="32" t="n">
        <f>1535913</f>
        <v>1535913.0</v>
      </c>
      <c r="V201" s="32" t="n">
        <f>58955418142</f>
        <v>5.8955418142E10</v>
      </c>
      <c r="W201" s="32" t="n">
        <f>429155766</f>
        <v>4.29155766E8</v>
      </c>
      <c r="X201" s="36" t="n">
        <f>22</f>
        <v>22.0</v>
      </c>
    </row>
    <row r="202">
      <c r="A202" s="27" t="s">
        <v>42</v>
      </c>
      <c r="B202" s="27" t="s">
        <v>654</v>
      </c>
      <c r="C202" s="27" t="s">
        <v>655</v>
      </c>
      <c r="D202" s="27" t="s">
        <v>656</v>
      </c>
      <c r="E202" s="28" t="s">
        <v>46</v>
      </c>
      <c r="F202" s="29" t="s">
        <v>46</v>
      </c>
      <c r="G202" s="30" t="s">
        <v>46</v>
      </c>
      <c r="H202" s="31"/>
      <c r="I202" s="31" t="s">
        <v>632</v>
      </c>
      <c r="J202" s="32" t="n">
        <v>1.0</v>
      </c>
      <c r="K202" s="33" t="n">
        <f>5610</f>
        <v>5610.0</v>
      </c>
      <c r="L202" s="34" t="s">
        <v>48</v>
      </c>
      <c r="M202" s="33" t="n">
        <f>5750</f>
        <v>5750.0</v>
      </c>
      <c r="N202" s="34" t="s">
        <v>172</v>
      </c>
      <c r="O202" s="33" t="n">
        <f>5210</f>
        <v>5210.0</v>
      </c>
      <c r="P202" s="34" t="s">
        <v>76</v>
      </c>
      <c r="Q202" s="33" t="n">
        <f>5240</f>
        <v>5240.0</v>
      </c>
      <c r="R202" s="34" t="s">
        <v>51</v>
      </c>
      <c r="S202" s="35" t="n">
        <f>5430</f>
        <v>5430.0</v>
      </c>
      <c r="T202" s="32" t="n">
        <f>179165</f>
        <v>179165.0</v>
      </c>
      <c r="U202" s="32" t="str">
        <f>"－"</f>
        <v>－</v>
      </c>
      <c r="V202" s="32" t="n">
        <f>973898150</f>
        <v>9.7389815E8</v>
      </c>
      <c r="W202" s="32" t="str">
        <f>"－"</f>
        <v>－</v>
      </c>
      <c r="X202" s="36" t="n">
        <f>22</f>
        <v>22.0</v>
      </c>
    </row>
    <row r="203">
      <c r="A203" s="27" t="s">
        <v>42</v>
      </c>
      <c r="B203" s="27" t="s">
        <v>657</v>
      </c>
      <c r="C203" s="27" t="s">
        <v>658</v>
      </c>
      <c r="D203" s="27" t="s">
        <v>659</v>
      </c>
      <c r="E203" s="28" t="s">
        <v>46</v>
      </c>
      <c r="F203" s="29" t="s">
        <v>46</v>
      </c>
      <c r="G203" s="30" t="s">
        <v>46</v>
      </c>
      <c r="H203" s="31"/>
      <c r="I203" s="31" t="s">
        <v>632</v>
      </c>
      <c r="J203" s="32" t="n">
        <v>1.0</v>
      </c>
      <c r="K203" s="33" t="n">
        <f>23230</f>
        <v>23230.0</v>
      </c>
      <c r="L203" s="34" t="s">
        <v>48</v>
      </c>
      <c r="M203" s="33" t="n">
        <f>24490</f>
        <v>24490.0</v>
      </c>
      <c r="N203" s="34" t="s">
        <v>49</v>
      </c>
      <c r="O203" s="33" t="n">
        <f>23060</f>
        <v>23060.0</v>
      </c>
      <c r="P203" s="34" t="s">
        <v>172</v>
      </c>
      <c r="Q203" s="33" t="n">
        <f>24210</f>
        <v>24210.0</v>
      </c>
      <c r="R203" s="34" t="s">
        <v>51</v>
      </c>
      <c r="S203" s="35" t="n">
        <f>23707.73</f>
        <v>23707.73</v>
      </c>
      <c r="T203" s="32" t="n">
        <f>210591</f>
        <v>210591.0</v>
      </c>
      <c r="U203" s="32" t="n">
        <f>4605</f>
        <v>4605.0</v>
      </c>
      <c r="V203" s="32" t="n">
        <f>4999984870</f>
        <v>4.99998487E9</v>
      </c>
      <c r="W203" s="32" t="n">
        <f>109003150</f>
        <v>1.0900315E8</v>
      </c>
      <c r="X203" s="36" t="n">
        <f>22</f>
        <v>22.0</v>
      </c>
    </row>
    <row r="204">
      <c r="A204" s="27" t="s">
        <v>42</v>
      </c>
      <c r="B204" s="27" t="s">
        <v>660</v>
      </c>
      <c r="C204" s="27" t="s">
        <v>661</v>
      </c>
      <c r="D204" s="27" t="s">
        <v>662</v>
      </c>
      <c r="E204" s="28" t="s">
        <v>46</v>
      </c>
      <c r="F204" s="29" t="s">
        <v>46</v>
      </c>
      <c r="G204" s="30" t="s">
        <v>46</v>
      </c>
      <c r="H204" s="31"/>
      <c r="I204" s="31" t="s">
        <v>632</v>
      </c>
      <c r="J204" s="32" t="n">
        <v>1.0</v>
      </c>
      <c r="K204" s="33" t="n">
        <f>3545</f>
        <v>3545.0</v>
      </c>
      <c r="L204" s="34" t="s">
        <v>48</v>
      </c>
      <c r="M204" s="33" t="n">
        <f>3560</f>
        <v>3560.0</v>
      </c>
      <c r="N204" s="34" t="s">
        <v>172</v>
      </c>
      <c r="O204" s="33" t="n">
        <f>3430</f>
        <v>3430.0</v>
      </c>
      <c r="P204" s="34" t="s">
        <v>49</v>
      </c>
      <c r="Q204" s="33" t="n">
        <f>3455</f>
        <v>3455.0</v>
      </c>
      <c r="R204" s="34" t="s">
        <v>51</v>
      </c>
      <c r="S204" s="35" t="n">
        <f>3507.95</f>
        <v>3507.95</v>
      </c>
      <c r="T204" s="32" t="n">
        <f>420696</f>
        <v>420696.0</v>
      </c>
      <c r="U204" s="32" t="n">
        <f>8</f>
        <v>8.0</v>
      </c>
      <c r="V204" s="32" t="n">
        <f>1473725315</f>
        <v>1.473725315E9</v>
      </c>
      <c r="W204" s="32" t="n">
        <f>28170</f>
        <v>28170.0</v>
      </c>
      <c r="X204" s="36" t="n">
        <f>22</f>
        <v>22.0</v>
      </c>
    </row>
    <row r="205">
      <c r="A205" s="27" t="s">
        <v>42</v>
      </c>
      <c r="B205" s="27" t="s">
        <v>663</v>
      </c>
      <c r="C205" s="27" t="s">
        <v>664</v>
      </c>
      <c r="D205" s="27" t="s">
        <v>665</v>
      </c>
      <c r="E205" s="28" t="s">
        <v>46</v>
      </c>
      <c r="F205" s="29" t="s">
        <v>46</v>
      </c>
      <c r="G205" s="30" t="s">
        <v>46</v>
      </c>
      <c r="H205" s="31"/>
      <c r="I205" s="31" t="s">
        <v>632</v>
      </c>
      <c r="J205" s="32" t="n">
        <v>1.0</v>
      </c>
      <c r="K205" s="33" t="n">
        <f>13420</f>
        <v>13420.0</v>
      </c>
      <c r="L205" s="34" t="s">
        <v>48</v>
      </c>
      <c r="M205" s="33" t="n">
        <f>13810</f>
        <v>13810.0</v>
      </c>
      <c r="N205" s="34" t="s">
        <v>172</v>
      </c>
      <c r="O205" s="33" t="n">
        <f>12150</f>
        <v>12150.0</v>
      </c>
      <c r="P205" s="34" t="s">
        <v>86</v>
      </c>
      <c r="Q205" s="33" t="n">
        <f>12980</f>
        <v>12980.0</v>
      </c>
      <c r="R205" s="34" t="s">
        <v>51</v>
      </c>
      <c r="S205" s="35" t="n">
        <f>12775</f>
        <v>12775.0</v>
      </c>
      <c r="T205" s="32" t="n">
        <f>140192</f>
        <v>140192.0</v>
      </c>
      <c r="U205" s="32" t="n">
        <f>7100</f>
        <v>7100.0</v>
      </c>
      <c r="V205" s="32" t="n">
        <f>1798690290</f>
        <v>1.79869029E9</v>
      </c>
      <c r="W205" s="32" t="n">
        <f>89738000</f>
        <v>8.9738E7</v>
      </c>
      <c r="X205" s="36" t="n">
        <f>22</f>
        <v>22.0</v>
      </c>
    </row>
    <row r="206">
      <c r="A206" s="27" t="s">
        <v>42</v>
      </c>
      <c r="B206" s="27" t="s">
        <v>666</v>
      </c>
      <c r="C206" s="27" t="s">
        <v>667</v>
      </c>
      <c r="D206" s="27" t="s">
        <v>668</v>
      </c>
      <c r="E206" s="28" t="s">
        <v>46</v>
      </c>
      <c r="F206" s="29" t="s">
        <v>46</v>
      </c>
      <c r="G206" s="30" t="s">
        <v>46</v>
      </c>
      <c r="H206" s="31"/>
      <c r="I206" s="31" t="s">
        <v>632</v>
      </c>
      <c r="J206" s="32" t="n">
        <v>1.0</v>
      </c>
      <c r="K206" s="33" t="n">
        <f>11460</f>
        <v>11460.0</v>
      </c>
      <c r="L206" s="34" t="s">
        <v>48</v>
      </c>
      <c r="M206" s="33" t="n">
        <f>12070</f>
        <v>12070.0</v>
      </c>
      <c r="N206" s="34" t="s">
        <v>61</v>
      </c>
      <c r="O206" s="33" t="n">
        <f>11420</f>
        <v>11420.0</v>
      </c>
      <c r="P206" s="34" t="s">
        <v>48</v>
      </c>
      <c r="Q206" s="33" t="n">
        <f>11750</f>
        <v>11750.0</v>
      </c>
      <c r="R206" s="34" t="s">
        <v>51</v>
      </c>
      <c r="S206" s="35" t="n">
        <f>11818.33</f>
        <v>11818.33</v>
      </c>
      <c r="T206" s="32" t="n">
        <f>858</f>
        <v>858.0</v>
      </c>
      <c r="U206" s="32" t="n">
        <f>1</f>
        <v>1.0</v>
      </c>
      <c r="V206" s="32" t="n">
        <f>10206950</f>
        <v>1.020695E7</v>
      </c>
      <c r="W206" s="32" t="n">
        <f>11720</f>
        <v>11720.0</v>
      </c>
      <c r="X206" s="36" t="n">
        <f>18</f>
        <v>18.0</v>
      </c>
    </row>
    <row r="207">
      <c r="A207" s="27" t="s">
        <v>42</v>
      </c>
      <c r="B207" s="27" t="s">
        <v>669</v>
      </c>
      <c r="C207" s="27" t="s">
        <v>670</v>
      </c>
      <c r="D207" s="27" t="s">
        <v>671</v>
      </c>
      <c r="E207" s="28" t="s">
        <v>46</v>
      </c>
      <c r="F207" s="29" t="s">
        <v>46</v>
      </c>
      <c r="G207" s="30" t="s">
        <v>46</v>
      </c>
      <c r="H207" s="31"/>
      <c r="I207" s="31" t="s">
        <v>632</v>
      </c>
      <c r="J207" s="32" t="n">
        <v>1.0</v>
      </c>
      <c r="K207" s="33" t="n">
        <f>15320</f>
        <v>15320.0</v>
      </c>
      <c r="L207" s="34" t="s">
        <v>48</v>
      </c>
      <c r="M207" s="33" t="n">
        <f>15440</f>
        <v>15440.0</v>
      </c>
      <c r="N207" s="34" t="s">
        <v>61</v>
      </c>
      <c r="O207" s="33" t="n">
        <f>14910</f>
        <v>14910.0</v>
      </c>
      <c r="P207" s="34" t="s">
        <v>62</v>
      </c>
      <c r="Q207" s="33" t="n">
        <f>15240</f>
        <v>15240.0</v>
      </c>
      <c r="R207" s="34" t="s">
        <v>51</v>
      </c>
      <c r="S207" s="35" t="n">
        <f>15226.36</f>
        <v>15226.36</v>
      </c>
      <c r="T207" s="32" t="n">
        <f>20870</f>
        <v>20870.0</v>
      </c>
      <c r="U207" s="32" t="str">
        <f>"－"</f>
        <v>－</v>
      </c>
      <c r="V207" s="32" t="n">
        <f>317357290</f>
        <v>3.1735729E8</v>
      </c>
      <c r="W207" s="32" t="str">
        <f>"－"</f>
        <v>－</v>
      </c>
      <c r="X207" s="36" t="n">
        <f>22</f>
        <v>22.0</v>
      </c>
    </row>
    <row r="208">
      <c r="A208" s="27" t="s">
        <v>42</v>
      </c>
      <c r="B208" s="27" t="s">
        <v>672</v>
      </c>
      <c r="C208" s="27" t="s">
        <v>673</v>
      </c>
      <c r="D208" s="27" t="s">
        <v>674</v>
      </c>
      <c r="E208" s="28" t="s">
        <v>46</v>
      </c>
      <c r="F208" s="29" t="s">
        <v>46</v>
      </c>
      <c r="G208" s="30" t="s">
        <v>46</v>
      </c>
      <c r="H208" s="31"/>
      <c r="I208" s="31" t="s">
        <v>632</v>
      </c>
      <c r="J208" s="32" t="n">
        <v>1.0</v>
      </c>
      <c r="K208" s="33" t="n">
        <f>12380</f>
        <v>12380.0</v>
      </c>
      <c r="L208" s="34" t="s">
        <v>48</v>
      </c>
      <c r="M208" s="33" t="n">
        <f>12700</f>
        <v>12700.0</v>
      </c>
      <c r="N208" s="34" t="s">
        <v>51</v>
      </c>
      <c r="O208" s="33" t="n">
        <f>12100</f>
        <v>12100.0</v>
      </c>
      <c r="P208" s="34" t="s">
        <v>50</v>
      </c>
      <c r="Q208" s="33" t="n">
        <f>12450</f>
        <v>12450.0</v>
      </c>
      <c r="R208" s="34" t="s">
        <v>51</v>
      </c>
      <c r="S208" s="35" t="n">
        <f>12355.88</f>
        <v>12355.88</v>
      </c>
      <c r="T208" s="32" t="n">
        <f>1054</f>
        <v>1054.0</v>
      </c>
      <c r="U208" s="32" t="str">
        <f>"－"</f>
        <v>－</v>
      </c>
      <c r="V208" s="32" t="n">
        <f>13132140</f>
        <v>1.313214E7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675</v>
      </c>
      <c r="C209" s="27" t="s">
        <v>676</v>
      </c>
      <c r="D209" s="27" t="s">
        <v>677</v>
      </c>
      <c r="E209" s="28" t="s">
        <v>46</v>
      </c>
      <c r="F209" s="29" t="s">
        <v>46</v>
      </c>
      <c r="G209" s="30" t="s">
        <v>46</v>
      </c>
      <c r="H209" s="31"/>
      <c r="I209" s="31" t="s">
        <v>632</v>
      </c>
      <c r="J209" s="32" t="n">
        <v>1.0</v>
      </c>
      <c r="K209" s="33" t="n">
        <f>9670</f>
        <v>9670.0</v>
      </c>
      <c r="L209" s="34" t="s">
        <v>48</v>
      </c>
      <c r="M209" s="33" t="n">
        <f>11300</f>
        <v>11300.0</v>
      </c>
      <c r="N209" s="34" t="s">
        <v>51</v>
      </c>
      <c r="O209" s="33" t="n">
        <f>9560</f>
        <v>9560.0</v>
      </c>
      <c r="P209" s="34" t="s">
        <v>48</v>
      </c>
      <c r="Q209" s="33" t="n">
        <f>11250</f>
        <v>11250.0</v>
      </c>
      <c r="R209" s="34" t="s">
        <v>51</v>
      </c>
      <c r="S209" s="35" t="n">
        <f>10576.36</f>
        <v>10576.36</v>
      </c>
      <c r="T209" s="32" t="n">
        <f>78203</f>
        <v>78203.0</v>
      </c>
      <c r="U209" s="32" t="str">
        <f>"－"</f>
        <v>－</v>
      </c>
      <c r="V209" s="32" t="n">
        <f>831747340</f>
        <v>8.3174734E8</v>
      </c>
      <c r="W209" s="32" t="str">
        <f>"－"</f>
        <v>－</v>
      </c>
      <c r="X209" s="36" t="n">
        <f>22</f>
        <v>22.0</v>
      </c>
    </row>
    <row r="210">
      <c r="A210" s="27" t="s">
        <v>42</v>
      </c>
      <c r="B210" s="27" t="s">
        <v>678</v>
      </c>
      <c r="C210" s="27" t="s">
        <v>679</v>
      </c>
      <c r="D210" s="27" t="s">
        <v>680</v>
      </c>
      <c r="E210" s="28" t="s">
        <v>46</v>
      </c>
      <c r="F210" s="29" t="s">
        <v>46</v>
      </c>
      <c r="G210" s="30" t="s">
        <v>46</v>
      </c>
      <c r="H210" s="31"/>
      <c r="I210" s="31" t="s">
        <v>632</v>
      </c>
      <c r="J210" s="32" t="n">
        <v>1.0</v>
      </c>
      <c r="K210" s="33" t="n">
        <f>5120</f>
        <v>5120.0</v>
      </c>
      <c r="L210" s="34" t="s">
        <v>48</v>
      </c>
      <c r="M210" s="33" t="n">
        <f>5120</f>
        <v>5120.0</v>
      </c>
      <c r="N210" s="34" t="s">
        <v>48</v>
      </c>
      <c r="O210" s="33" t="n">
        <f>4640</f>
        <v>4640.0</v>
      </c>
      <c r="P210" s="34" t="s">
        <v>51</v>
      </c>
      <c r="Q210" s="33" t="n">
        <f>4640</f>
        <v>4640.0</v>
      </c>
      <c r="R210" s="34" t="s">
        <v>51</v>
      </c>
      <c r="S210" s="35" t="n">
        <f>4846.14</f>
        <v>4846.14</v>
      </c>
      <c r="T210" s="32" t="n">
        <f>4184</f>
        <v>4184.0</v>
      </c>
      <c r="U210" s="32" t="str">
        <f>"－"</f>
        <v>－</v>
      </c>
      <c r="V210" s="32" t="n">
        <f>20216005</f>
        <v>2.0216005E7</v>
      </c>
      <c r="W210" s="32" t="str">
        <f>"－"</f>
        <v>－</v>
      </c>
      <c r="X210" s="36" t="n">
        <f>22</f>
        <v>22.0</v>
      </c>
    </row>
    <row r="211">
      <c r="A211" s="27" t="s">
        <v>42</v>
      </c>
      <c r="B211" s="27" t="s">
        <v>681</v>
      </c>
      <c r="C211" s="27" t="s">
        <v>682</v>
      </c>
      <c r="D211" s="27" t="s">
        <v>683</v>
      </c>
      <c r="E211" s="28" t="s">
        <v>46</v>
      </c>
      <c r="F211" s="29" t="s">
        <v>46</v>
      </c>
      <c r="G211" s="30" t="s">
        <v>46</v>
      </c>
      <c r="H211" s="31"/>
      <c r="I211" s="31" t="s">
        <v>632</v>
      </c>
      <c r="J211" s="32" t="n">
        <v>1.0</v>
      </c>
      <c r="K211" s="33" t="n">
        <f>8900</f>
        <v>8900.0</v>
      </c>
      <c r="L211" s="34" t="s">
        <v>172</v>
      </c>
      <c r="M211" s="33" t="n">
        <f>8970</f>
        <v>8970.0</v>
      </c>
      <c r="N211" s="34" t="s">
        <v>49</v>
      </c>
      <c r="O211" s="33" t="n">
        <f>8610</f>
        <v>8610.0</v>
      </c>
      <c r="P211" s="34" t="s">
        <v>62</v>
      </c>
      <c r="Q211" s="33" t="n">
        <f>8940</f>
        <v>8940.0</v>
      </c>
      <c r="R211" s="34" t="s">
        <v>51</v>
      </c>
      <c r="S211" s="35" t="n">
        <f>8832.11</f>
        <v>8832.11</v>
      </c>
      <c r="T211" s="32" t="n">
        <f>9056</f>
        <v>9056.0</v>
      </c>
      <c r="U211" s="32" t="str">
        <f>"－"</f>
        <v>－</v>
      </c>
      <c r="V211" s="32" t="n">
        <f>79788700</f>
        <v>7.97887E7</v>
      </c>
      <c r="W211" s="32" t="str">
        <f>"－"</f>
        <v>－</v>
      </c>
      <c r="X211" s="36" t="n">
        <f>19</f>
        <v>19.0</v>
      </c>
    </row>
    <row r="212">
      <c r="A212" s="27" t="s">
        <v>42</v>
      </c>
      <c r="B212" s="27" t="s">
        <v>684</v>
      </c>
      <c r="C212" s="27" t="s">
        <v>685</v>
      </c>
      <c r="D212" s="27" t="s">
        <v>686</v>
      </c>
      <c r="E212" s="28" t="s">
        <v>46</v>
      </c>
      <c r="F212" s="29" t="s">
        <v>46</v>
      </c>
      <c r="G212" s="30" t="s">
        <v>46</v>
      </c>
      <c r="H212" s="31"/>
      <c r="I212" s="31" t="s">
        <v>632</v>
      </c>
      <c r="J212" s="32" t="n">
        <v>1.0</v>
      </c>
      <c r="K212" s="33" t="n">
        <f>10500</f>
        <v>10500.0</v>
      </c>
      <c r="L212" s="34" t="s">
        <v>48</v>
      </c>
      <c r="M212" s="33" t="n">
        <f>11000</f>
        <v>11000.0</v>
      </c>
      <c r="N212" s="34" t="s">
        <v>97</v>
      </c>
      <c r="O212" s="33" t="n">
        <f>10500</f>
        <v>10500.0</v>
      </c>
      <c r="P212" s="34" t="s">
        <v>48</v>
      </c>
      <c r="Q212" s="33" t="n">
        <f>11000</f>
        <v>11000.0</v>
      </c>
      <c r="R212" s="34" t="s">
        <v>49</v>
      </c>
      <c r="S212" s="35" t="n">
        <f>10761.67</f>
        <v>10761.67</v>
      </c>
      <c r="T212" s="32" t="n">
        <f>367</f>
        <v>367.0</v>
      </c>
      <c r="U212" s="32" t="str">
        <f>"－"</f>
        <v>－</v>
      </c>
      <c r="V212" s="32" t="n">
        <f>3955060</f>
        <v>3955060.0</v>
      </c>
      <c r="W212" s="32" t="str">
        <f>"－"</f>
        <v>－</v>
      </c>
      <c r="X212" s="36" t="n">
        <f>6</f>
        <v>6.0</v>
      </c>
    </row>
    <row r="213">
      <c r="A213" s="27" t="s">
        <v>42</v>
      </c>
      <c r="B213" s="27" t="s">
        <v>687</v>
      </c>
      <c r="C213" s="27" t="s">
        <v>688</v>
      </c>
      <c r="D213" s="27" t="s">
        <v>689</v>
      </c>
      <c r="E213" s="28" t="s">
        <v>46</v>
      </c>
      <c r="F213" s="29" t="s">
        <v>46</v>
      </c>
      <c r="G213" s="30" t="s">
        <v>46</v>
      </c>
      <c r="H213" s="31"/>
      <c r="I213" s="31" t="s">
        <v>632</v>
      </c>
      <c r="J213" s="32" t="n">
        <v>1.0</v>
      </c>
      <c r="K213" s="33" t="n">
        <f>10770</f>
        <v>10770.0</v>
      </c>
      <c r="L213" s="34" t="s">
        <v>132</v>
      </c>
      <c r="M213" s="33" t="n">
        <f>10780</f>
        <v>10780.0</v>
      </c>
      <c r="N213" s="34" t="s">
        <v>221</v>
      </c>
      <c r="O213" s="33" t="n">
        <f>10720</f>
        <v>10720.0</v>
      </c>
      <c r="P213" s="34" t="s">
        <v>93</v>
      </c>
      <c r="Q213" s="33" t="n">
        <f>10730</f>
        <v>10730.0</v>
      </c>
      <c r="R213" s="34" t="s">
        <v>97</v>
      </c>
      <c r="S213" s="35" t="n">
        <f>10750</f>
        <v>10750.0</v>
      </c>
      <c r="T213" s="32" t="n">
        <f>2505</f>
        <v>2505.0</v>
      </c>
      <c r="U213" s="32" t="str">
        <f>"－"</f>
        <v>－</v>
      </c>
      <c r="V213" s="32" t="n">
        <f>26993700</f>
        <v>2.69937E7</v>
      </c>
      <c r="W213" s="32" t="str">
        <f>"－"</f>
        <v>－</v>
      </c>
      <c r="X213" s="36" t="n">
        <f>4</f>
        <v>4.0</v>
      </c>
    </row>
    <row r="214">
      <c r="A214" s="27" t="s">
        <v>42</v>
      </c>
      <c r="B214" s="27" t="s">
        <v>690</v>
      </c>
      <c r="C214" s="27" t="s">
        <v>691</v>
      </c>
      <c r="D214" s="27" t="s">
        <v>692</v>
      </c>
      <c r="E214" s="28" t="s">
        <v>46</v>
      </c>
      <c r="F214" s="29" t="s">
        <v>46</v>
      </c>
      <c r="G214" s="30" t="s">
        <v>46</v>
      </c>
      <c r="H214" s="31"/>
      <c r="I214" s="31" t="s">
        <v>632</v>
      </c>
      <c r="J214" s="32" t="n">
        <v>1.0</v>
      </c>
      <c r="K214" s="33" t="n">
        <f>10540</f>
        <v>10540.0</v>
      </c>
      <c r="L214" s="34" t="s">
        <v>48</v>
      </c>
      <c r="M214" s="33" t="n">
        <f>11080</f>
        <v>11080.0</v>
      </c>
      <c r="N214" s="34" t="s">
        <v>51</v>
      </c>
      <c r="O214" s="33" t="n">
        <f>10510</f>
        <v>10510.0</v>
      </c>
      <c r="P214" s="34" t="s">
        <v>172</v>
      </c>
      <c r="Q214" s="33" t="n">
        <f>11080</f>
        <v>11080.0</v>
      </c>
      <c r="R214" s="34" t="s">
        <v>51</v>
      </c>
      <c r="S214" s="35" t="n">
        <f>10671.25</f>
        <v>10671.25</v>
      </c>
      <c r="T214" s="32" t="n">
        <f>132</f>
        <v>132.0</v>
      </c>
      <c r="U214" s="32" t="str">
        <f>"－"</f>
        <v>－</v>
      </c>
      <c r="V214" s="32" t="n">
        <f>1402470</f>
        <v>1402470.0</v>
      </c>
      <c r="W214" s="32" t="str">
        <f>"－"</f>
        <v>－</v>
      </c>
      <c r="X214" s="36" t="n">
        <f>8</f>
        <v>8.0</v>
      </c>
    </row>
    <row r="215">
      <c r="A215" s="27" t="s">
        <v>42</v>
      </c>
      <c r="B215" s="27" t="s">
        <v>693</v>
      </c>
      <c r="C215" s="27" t="s">
        <v>694</v>
      </c>
      <c r="D215" s="27" t="s">
        <v>695</v>
      </c>
      <c r="E215" s="28" t="s">
        <v>46</v>
      </c>
      <c r="F215" s="29" t="s">
        <v>46</v>
      </c>
      <c r="G215" s="30" t="s">
        <v>46</v>
      </c>
      <c r="H215" s="31"/>
      <c r="I215" s="31" t="s">
        <v>632</v>
      </c>
      <c r="J215" s="32" t="n">
        <v>1.0</v>
      </c>
      <c r="K215" s="33" t="n">
        <f>10520</f>
        <v>10520.0</v>
      </c>
      <c r="L215" s="34" t="s">
        <v>48</v>
      </c>
      <c r="M215" s="33" t="n">
        <f>10970</f>
        <v>10970.0</v>
      </c>
      <c r="N215" s="34" t="s">
        <v>51</v>
      </c>
      <c r="O215" s="33" t="n">
        <f>10510</f>
        <v>10510.0</v>
      </c>
      <c r="P215" s="34" t="s">
        <v>48</v>
      </c>
      <c r="Q215" s="33" t="n">
        <f>10970</f>
        <v>10970.0</v>
      </c>
      <c r="R215" s="34" t="s">
        <v>51</v>
      </c>
      <c r="S215" s="35" t="n">
        <f>10743.33</f>
        <v>10743.33</v>
      </c>
      <c r="T215" s="32" t="n">
        <f>11187</f>
        <v>11187.0</v>
      </c>
      <c r="U215" s="32" t="str">
        <f>"－"</f>
        <v>－</v>
      </c>
      <c r="V215" s="32" t="n">
        <f>119883020</f>
        <v>1.1988302E8</v>
      </c>
      <c r="W215" s="32" t="str">
        <f>"－"</f>
        <v>－</v>
      </c>
      <c r="X215" s="36" t="n">
        <f>21</f>
        <v>21.0</v>
      </c>
    </row>
    <row r="216">
      <c r="A216" s="27" t="s">
        <v>42</v>
      </c>
      <c r="B216" s="27" t="s">
        <v>696</v>
      </c>
      <c r="C216" s="27" t="s">
        <v>697</v>
      </c>
      <c r="D216" s="27" t="s">
        <v>698</v>
      </c>
      <c r="E216" s="28" t="s">
        <v>46</v>
      </c>
      <c r="F216" s="29" t="s">
        <v>46</v>
      </c>
      <c r="G216" s="30" t="s">
        <v>46</v>
      </c>
      <c r="H216" s="31"/>
      <c r="I216" s="31" t="s">
        <v>632</v>
      </c>
      <c r="J216" s="32" t="n">
        <v>1.0</v>
      </c>
      <c r="K216" s="33" t="n">
        <f>11880</f>
        <v>11880.0</v>
      </c>
      <c r="L216" s="34" t="s">
        <v>48</v>
      </c>
      <c r="M216" s="33" t="n">
        <f>12000</f>
        <v>12000.0</v>
      </c>
      <c r="N216" s="34" t="s">
        <v>51</v>
      </c>
      <c r="O216" s="33" t="n">
        <f>11750</f>
        <v>11750.0</v>
      </c>
      <c r="P216" s="34" t="s">
        <v>131</v>
      </c>
      <c r="Q216" s="33" t="n">
        <f>12000</f>
        <v>12000.0</v>
      </c>
      <c r="R216" s="34" t="s">
        <v>51</v>
      </c>
      <c r="S216" s="35" t="n">
        <f>11881.67</f>
        <v>11881.67</v>
      </c>
      <c r="T216" s="32" t="n">
        <f>1116</f>
        <v>1116.0</v>
      </c>
      <c r="U216" s="32" t="str">
        <f>"－"</f>
        <v>－</v>
      </c>
      <c r="V216" s="32" t="n">
        <f>13313080</f>
        <v>1.331308E7</v>
      </c>
      <c r="W216" s="32" t="str">
        <f>"－"</f>
        <v>－</v>
      </c>
      <c r="X216" s="36" t="n">
        <f>6</f>
        <v>6.0</v>
      </c>
    </row>
    <row r="217">
      <c r="A217" s="27" t="s">
        <v>42</v>
      </c>
      <c r="B217" s="27" t="s">
        <v>699</v>
      </c>
      <c r="C217" s="27" t="s">
        <v>700</v>
      </c>
      <c r="D217" s="27" t="s">
        <v>701</v>
      </c>
      <c r="E217" s="28" t="s">
        <v>46</v>
      </c>
      <c r="F217" s="29" t="s">
        <v>46</v>
      </c>
      <c r="G217" s="30" t="s">
        <v>46</v>
      </c>
      <c r="H217" s="31"/>
      <c r="I217" s="31" t="s">
        <v>632</v>
      </c>
      <c r="J217" s="32" t="n">
        <v>1.0</v>
      </c>
      <c r="K217" s="33" t="n">
        <f>11490</f>
        <v>11490.0</v>
      </c>
      <c r="L217" s="34" t="s">
        <v>69</v>
      </c>
      <c r="M217" s="33" t="n">
        <f>11490</f>
        <v>11490.0</v>
      </c>
      <c r="N217" s="34" t="s">
        <v>69</v>
      </c>
      <c r="O217" s="33" t="n">
        <f>11460</f>
        <v>11460.0</v>
      </c>
      <c r="P217" s="34" t="s">
        <v>196</v>
      </c>
      <c r="Q217" s="33" t="n">
        <f>11460</f>
        <v>11460.0</v>
      </c>
      <c r="R217" s="34" t="s">
        <v>196</v>
      </c>
      <c r="S217" s="35" t="n">
        <f>11475</f>
        <v>11475.0</v>
      </c>
      <c r="T217" s="32" t="n">
        <f>10</f>
        <v>10.0</v>
      </c>
      <c r="U217" s="32" t="str">
        <f>"－"</f>
        <v>－</v>
      </c>
      <c r="V217" s="32" t="n">
        <f>114750</f>
        <v>114750.0</v>
      </c>
      <c r="W217" s="32" t="str">
        <f>"－"</f>
        <v>－</v>
      </c>
      <c r="X217" s="36" t="n">
        <f>2</f>
        <v>2.0</v>
      </c>
    </row>
    <row r="218">
      <c r="A218" s="27" t="s">
        <v>42</v>
      </c>
      <c r="B218" s="27" t="s">
        <v>702</v>
      </c>
      <c r="C218" s="27" t="s">
        <v>703</v>
      </c>
      <c r="D218" s="27" t="s">
        <v>704</v>
      </c>
      <c r="E218" s="28" t="s">
        <v>46</v>
      </c>
      <c r="F218" s="29" t="s">
        <v>46</v>
      </c>
      <c r="G218" s="30" t="s">
        <v>46</v>
      </c>
      <c r="H218" s="31"/>
      <c r="I218" s="31" t="s">
        <v>632</v>
      </c>
      <c r="J218" s="32" t="n">
        <v>1.0</v>
      </c>
      <c r="K218" s="33" t="n">
        <f>9990</f>
        <v>9990.0</v>
      </c>
      <c r="L218" s="34" t="s">
        <v>48</v>
      </c>
      <c r="M218" s="33" t="n">
        <f>10370</f>
        <v>10370.0</v>
      </c>
      <c r="N218" s="34" t="s">
        <v>51</v>
      </c>
      <c r="O218" s="33" t="n">
        <f>9900</f>
        <v>9900.0</v>
      </c>
      <c r="P218" s="34" t="s">
        <v>50</v>
      </c>
      <c r="Q218" s="33" t="n">
        <f>10300</f>
        <v>10300.0</v>
      </c>
      <c r="R218" s="34" t="s">
        <v>51</v>
      </c>
      <c r="S218" s="35" t="n">
        <f>10066.36</f>
        <v>10066.36</v>
      </c>
      <c r="T218" s="32" t="n">
        <f>33157</f>
        <v>33157.0</v>
      </c>
      <c r="U218" s="32" t="str">
        <f>"－"</f>
        <v>－</v>
      </c>
      <c r="V218" s="32" t="n">
        <f>334238010</f>
        <v>3.3423801E8</v>
      </c>
      <c r="W218" s="32" t="str">
        <f>"－"</f>
        <v>－</v>
      </c>
      <c r="X218" s="36" t="n">
        <f>22</f>
        <v>22.0</v>
      </c>
    </row>
    <row r="219">
      <c r="A219" s="27" t="s">
        <v>42</v>
      </c>
      <c r="B219" s="27" t="s">
        <v>705</v>
      </c>
      <c r="C219" s="27" t="s">
        <v>706</v>
      </c>
      <c r="D219" s="27" t="s">
        <v>707</v>
      </c>
      <c r="E219" s="28" t="s">
        <v>46</v>
      </c>
      <c r="F219" s="29" t="s">
        <v>46</v>
      </c>
      <c r="G219" s="30" t="s">
        <v>46</v>
      </c>
      <c r="H219" s="31"/>
      <c r="I219" s="31" t="s">
        <v>632</v>
      </c>
      <c r="J219" s="32" t="n">
        <v>1.0</v>
      </c>
      <c r="K219" s="33" t="n">
        <f>10180</f>
        <v>10180.0</v>
      </c>
      <c r="L219" s="34" t="s">
        <v>48</v>
      </c>
      <c r="M219" s="33" t="n">
        <f>10450</f>
        <v>10450.0</v>
      </c>
      <c r="N219" s="34" t="s">
        <v>49</v>
      </c>
      <c r="O219" s="33" t="n">
        <f>9920</f>
        <v>9920.0</v>
      </c>
      <c r="P219" s="34" t="s">
        <v>86</v>
      </c>
      <c r="Q219" s="33" t="n">
        <f>10390</f>
        <v>10390.0</v>
      </c>
      <c r="R219" s="34" t="s">
        <v>51</v>
      </c>
      <c r="S219" s="35" t="n">
        <f>10146.82</f>
        <v>10146.82</v>
      </c>
      <c r="T219" s="32" t="n">
        <f>218844</f>
        <v>218844.0</v>
      </c>
      <c r="U219" s="32" t="str">
        <f>"－"</f>
        <v>－</v>
      </c>
      <c r="V219" s="32" t="n">
        <f>2218149300</f>
        <v>2.2181493E9</v>
      </c>
      <c r="W219" s="32" t="str">
        <f>"－"</f>
        <v>－</v>
      </c>
      <c r="X219" s="36" t="n">
        <f>22</f>
        <v>22.0</v>
      </c>
    </row>
    <row r="220">
      <c r="A220" s="27" t="s">
        <v>42</v>
      </c>
      <c r="B220" s="27" t="s">
        <v>708</v>
      </c>
      <c r="C220" s="27" t="s">
        <v>709</v>
      </c>
      <c r="D220" s="27" t="s">
        <v>710</v>
      </c>
      <c r="E220" s="28" t="s">
        <v>46</v>
      </c>
      <c r="F220" s="29" t="s">
        <v>46</v>
      </c>
      <c r="G220" s="30" t="s">
        <v>46</v>
      </c>
      <c r="H220" s="31"/>
      <c r="I220" s="31" t="s">
        <v>632</v>
      </c>
      <c r="J220" s="32" t="n">
        <v>1.0</v>
      </c>
      <c r="K220" s="33" t="n">
        <f>10110</f>
        <v>10110.0</v>
      </c>
      <c r="L220" s="34" t="s">
        <v>48</v>
      </c>
      <c r="M220" s="33" t="n">
        <f>10190</f>
        <v>10190.0</v>
      </c>
      <c r="N220" s="34" t="s">
        <v>172</v>
      </c>
      <c r="O220" s="33" t="n">
        <f>9850</f>
        <v>9850.0</v>
      </c>
      <c r="P220" s="34" t="s">
        <v>86</v>
      </c>
      <c r="Q220" s="33" t="n">
        <f>10140</f>
        <v>10140.0</v>
      </c>
      <c r="R220" s="34" t="s">
        <v>51</v>
      </c>
      <c r="S220" s="35" t="n">
        <f>10025.45</f>
        <v>10025.45</v>
      </c>
      <c r="T220" s="32" t="n">
        <f>76377</f>
        <v>76377.0</v>
      </c>
      <c r="U220" s="32" t="str">
        <f>"－"</f>
        <v>－</v>
      </c>
      <c r="V220" s="32" t="n">
        <f>768486910</f>
        <v>7.6848691E8</v>
      </c>
      <c r="W220" s="32" t="str">
        <f>"－"</f>
        <v>－</v>
      </c>
      <c r="X220" s="36" t="n">
        <f>22</f>
        <v>22.0</v>
      </c>
    </row>
    <row r="221">
      <c r="A221" s="27" t="s">
        <v>42</v>
      </c>
      <c r="B221" s="27" t="s">
        <v>711</v>
      </c>
      <c r="C221" s="27" t="s">
        <v>712</v>
      </c>
      <c r="D221" s="27" t="s">
        <v>713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996</f>
        <v>996.0</v>
      </c>
      <c r="L221" s="34" t="s">
        <v>48</v>
      </c>
      <c r="M221" s="33" t="n">
        <f>1002</f>
        <v>1002.0</v>
      </c>
      <c r="N221" s="34" t="s">
        <v>345</v>
      </c>
      <c r="O221" s="33" t="n">
        <f>996</f>
        <v>996.0</v>
      </c>
      <c r="P221" s="34" t="s">
        <v>48</v>
      </c>
      <c r="Q221" s="33" t="n">
        <f>999</f>
        <v>999.0</v>
      </c>
      <c r="R221" s="34" t="s">
        <v>51</v>
      </c>
      <c r="S221" s="35" t="n">
        <f>999.32</f>
        <v>999.32</v>
      </c>
      <c r="T221" s="32" t="n">
        <f>537590</f>
        <v>537590.0</v>
      </c>
      <c r="U221" s="32" t="n">
        <f>18470</f>
        <v>18470.0</v>
      </c>
      <c r="V221" s="32" t="n">
        <f>537573010</f>
        <v>5.3757301E8</v>
      </c>
      <c r="W221" s="32" t="n">
        <f>18451530</f>
        <v>1.845153E7</v>
      </c>
      <c r="X221" s="36" t="n">
        <f>22</f>
        <v>22.0</v>
      </c>
    </row>
    <row r="222">
      <c r="A222" s="27" t="s">
        <v>42</v>
      </c>
      <c r="B222" s="27" t="s">
        <v>714</v>
      </c>
      <c r="C222" s="27" t="s">
        <v>715</v>
      </c>
      <c r="D222" s="27" t="s">
        <v>716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1001</f>
        <v>1001.0</v>
      </c>
      <c r="L222" s="34" t="s">
        <v>48</v>
      </c>
      <c r="M222" s="33" t="n">
        <f>1030</f>
        <v>1030.0</v>
      </c>
      <c r="N222" s="34" t="s">
        <v>51</v>
      </c>
      <c r="O222" s="33" t="n">
        <f>1000</f>
        <v>1000.0</v>
      </c>
      <c r="P222" s="34" t="s">
        <v>48</v>
      </c>
      <c r="Q222" s="33" t="n">
        <f>1020</f>
        <v>1020.0</v>
      </c>
      <c r="R222" s="34" t="s">
        <v>51</v>
      </c>
      <c r="S222" s="35" t="n">
        <f>1005.77</f>
        <v>1005.77</v>
      </c>
      <c r="T222" s="32" t="n">
        <f>901060</f>
        <v>901060.0</v>
      </c>
      <c r="U222" s="32" t="n">
        <f>99710</f>
        <v>99710.0</v>
      </c>
      <c r="V222" s="32" t="n">
        <f>905341874</f>
        <v>9.05341874E8</v>
      </c>
      <c r="W222" s="32" t="n">
        <f>99989314</f>
        <v>9.9989314E7</v>
      </c>
      <c r="X222" s="36" t="n">
        <f>22</f>
        <v>22.0</v>
      </c>
    </row>
    <row r="223">
      <c r="A223" s="27" t="s">
        <v>42</v>
      </c>
      <c r="B223" s="27" t="s">
        <v>717</v>
      </c>
      <c r="C223" s="27" t="s">
        <v>718</v>
      </c>
      <c r="D223" s="27" t="s">
        <v>719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1060</f>
        <v>1060.0</v>
      </c>
      <c r="L223" s="34" t="s">
        <v>48</v>
      </c>
      <c r="M223" s="33" t="n">
        <f>1085</f>
        <v>1085.0</v>
      </c>
      <c r="N223" s="34" t="s">
        <v>196</v>
      </c>
      <c r="O223" s="33" t="n">
        <f>1054</f>
        <v>1054.0</v>
      </c>
      <c r="P223" s="34" t="s">
        <v>172</v>
      </c>
      <c r="Q223" s="33" t="n">
        <f>1058</f>
        <v>1058.0</v>
      </c>
      <c r="R223" s="34" t="s">
        <v>51</v>
      </c>
      <c r="S223" s="35" t="n">
        <f>1057.77</f>
        <v>1057.77</v>
      </c>
      <c r="T223" s="32" t="n">
        <f>1377590</f>
        <v>1377590.0</v>
      </c>
      <c r="U223" s="32" t="n">
        <f>562770</f>
        <v>562770.0</v>
      </c>
      <c r="V223" s="32" t="n">
        <f>1458215828</f>
        <v>1.458215828E9</v>
      </c>
      <c r="W223" s="32" t="n">
        <f>595644628</f>
        <v>5.95644628E8</v>
      </c>
      <c r="X223" s="36" t="n">
        <f>22</f>
        <v>22.0</v>
      </c>
    </row>
    <row r="224">
      <c r="A224" s="27" t="s">
        <v>42</v>
      </c>
      <c r="B224" s="27" t="s">
        <v>720</v>
      </c>
      <c r="C224" s="27" t="s">
        <v>721</v>
      </c>
      <c r="D224" s="27" t="s">
        <v>722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1205</f>
        <v>1205.0</v>
      </c>
      <c r="L224" s="34" t="s">
        <v>48</v>
      </c>
      <c r="M224" s="33" t="n">
        <f>1247</f>
        <v>1247.0</v>
      </c>
      <c r="N224" s="34" t="s">
        <v>49</v>
      </c>
      <c r="O224" s="33" t="n">
        <f>1205</f>
        <v>1205.0</v>
      </c>
      <c r="P224" s="34" t="s">
        <v>48</v>
      </c>
      <c r="Q224" s="33" t="n">
        <f>1239</f>
        <v>1239.0</v>
      </c>
      <c r="R224" s="34" t="s">
        <v>51</v>
      </c>
      <c r="S224" s="35" t="n">
        <f>1224.18</f>
        <v>1224.18</v>
      </c>
      <c r="T224" s="32" t="n">
        <f>356300</f>
        <v>356300.0</v>
      </c>
      <c r="U224" s="32" t="n">
        <f>6700</f>
        <v>6700.0</v>
      </c>
      <c r="V224" s="32" t="n">
        <f>436254080</f>
        <v>4.3625408E8</v>
      </c>
      <c r="W224" s="32" t="n">
        <f>8127100</f>
        <v>8127100.0</v>
      </c>
      <c r="X224" s="36" t="n">
        <f>22</f>
        <v>22.0</v>
      </c>
    </row>
    <row r="225">
      <c r="A225" s="27" t="s">
        <v>42</v>
      </c>
      <c r="B225" s="27" t="s">
        <v>723</v>
      </c>
      <c r="C225" s="27" t="s">
        <v>724</v>
      </c>
      <c r="D225" s="27" t="s">
        <v>725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1263</f>
        <v>1263.0</v>
      </c>
      <c r="L225" s="34" t="s">
        <v>48</v>
      </c>
      <c r="M225" s="33" t="n">
        <f>1312</f>
        <v>1312.0</v>
      </c>
      <c r="N225" s="34" t="s">
        <v>196</v>
      </c>
      <c r="O225" s="33" t="n">
        <f>1262</f>
        <v>1262.0</v>
      </c>
      <c r="P225" s="34" t="s">
        <v>48</v>
      </c>
      <c r="Q225" s="33" t="n">
        <f>1300</f>
        <v>1300.0</v>
      </c>
      <c r="R225" s="34" t="s">
        <v>51</v>
      </c>
      <c r="S225" s="35" t="n">
        <f>1280.95</f>
        <v>1280.95</v>
      </c>
      <c r="T225" s="32" t="n">
        <f>97660</f>
        <v>97660.0</v>
      </c>
      <c r="U225" s="32" t="str">
        <f>"－"</f>
        <v>－</v>
      </c>
      <c r="V225" s="32" t="n">
        <f>124997240</f>
        <v>1.2499724E8</v>
      </c>
      <c r="W225" s="32" t="str">
        <f>"－"</f>
        <v>－</v>
      </c>
      <c r="X225" s="36" t="n">
        <f>21</f>
        <v>21.0</v>
      </c>
    </row>
    <row r="226">
      <c r="A226" s="27" t="s">
        <v>42</v>
      </c>
      <c r="B226" s="27" t="s">
        <v>726</v>
      </c>
      <c r="C226" s="27" t="s">
        <v>727</v>
      </c>
      <c r="D226" s="27" t="s">
        <v>728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896</f>
        <v>896.0</v>
      </c>
      <c r="L226" s="34" t="s">
        <v>48</v>
      </c>
      <c r="M226" s="33" t="n">
        <f>915</f>
        <v>915.0</v>
      </c>
      <c r="N226" s="34" t="s">
        <v>61</v>
      </c>
      <c r="O226" s="33" t="n">
        <f>875</f>
        <v>875.0</v>
      </c>
      <c r="P226" s="34" t="s">
        <v>86</v>
      </c>
      <c r="Q226" s="33" t="n">
        <f>902</f>
        <v>902.0</v>
      </c>
      <c r="R226" s="34" t="s">
        <v>51</v>
      </c>
      <c r="S226" s="35" t="n">
        <f>899.14</f>
        <v>899.14</v>
      </c>
      <c r="T226" s="32" t="n">
        <f>546950</f>
        <v>546950.0</v>
      </c>
      <c r="U226" s="32" t="str">
        <f>"－"</f>
        <v>－</v>
      </c>
      <c r="V226" s="32" t="n">
        <f>490302410</f>
        <v>4.9030241E8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729</v>
      </c>
      <c r="C227" s="27" t="s">
        <v>730</v>
      </c>
      <c r="D227" s="27" t="s">
        <v>731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961</f>
        <v>961.0</v>
      </c>
      <c r="L227" s="34" t="s">
        <v>48</v>
      </c>
      <c r="M227" s="33" t="n">
        <f>1007</f>
        <v>1007.0</v>
      </c>
      <c r="N227" s="34" t="s">
        <v>172</v>
      </c>
      <c r="O227" s="33" t="n">
        <f>861</f>
        <v>861.0</v>
      </c>
      <c r="P227" s="34" t="s">
        <v>62</v>
      </c>
      <c r="Q227" s="33" t="n">
        <f>911</f>
        <v>911.0</v>
      </c>
      <c r="R227" s="34" t="s">
        <v>51</v>
      </c>
      <c r="S227" s="35" t="n">
        <f>908.91</f>
        <v>908.91</v>
      </c>
      <c r="T227" s="32" t="n">
        <f>29977250</f>
        <v>2.997725E7</v>
      </c>
      <c r="U227" s="32" t="n">
        <f>52980</f>
        <v>52980.0</v>
      </c>
      <c r="V227" s="32" t="n">
        <f>27702422780</f>
        <v>2.770242278E10</v>
      </c>
      <c r="W227" s="32" t="n">
        <f>48604020</f>
        <v>4.860402E7</v>
      </c>
      <c r="X227" s="36" t="n">
        <f>22</f>
        <v>22.0</v>
      </c>
    </row>
    <row r="228">
      <c r="A228" s="27" t="s">
        <v>42</v>
      </c>
      <c r="B228" s="27" t="s">
        <v>732</v>
      </c>
      <c r="C228" s="27" t="s">
        <v>733</v>
      </c>
      <c r="D228" s="27" t="s">
        <v>734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992</f>
        <v>992.0</v>
      </c>
      <c r="L228" s="34" t="s">
        <v>48</v>
      </c>
      <c r="M228" s="33" t="n">
        <f>1047</f>
        <v>1047.0</v>
      </c>
      <c r="N228" s="34" t="s">
        <v>51</v>
      </c>
      <c r="O228" s="33" t="n">
        <f>991</f>
        <v>991.0</v>
      </c>
      <c r="P228" s="34" t="s">
        <v>69</v>
      </c>
      <c r="Q228" s="33" t="n">
        <f>1046</f>
        <v>1046.0</v>
      </c>
      <c r="R228" s="34" t="s">
        <v>51</v>
      </c>
      <c r="S228" s="35" t="n">
        <f>1009</f>
        <v>1009.0</v>
      </c>
      <c r="T228" s="32" t="n">
        <f>10206490</f>
        <v>1.020649E7</v>
      </c>
      <c r="U228" s="32" t="n">
        <f>9935230</f>
        <v>9935230.0</v>
      </c>
      <c r="V228" s="32" t="n">
        <f>10211661077</f>
        <v>1.0211661077E10</v>
      </c>
      <c r="W228" s="32" t="n">
        <f>9940306657</f>
        <v>9.940306657E9</v>
      </c>
      <c r="X228" s="36" t="n">
        <f>22</f>
        <v>22.0</v>
      </c>
    </row>
    <row r="229">
      <c r="A229" s="27" t="s">
        <v>42</v>
      </c>
      <c r="B229" s="27" t="s">
        <v>735</v>
      </c>
      <c r="C229" s="27" t="s">
        <v>736</v>
      </c>
      <c r="D229" s="27" t="s">
        <v>737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1044</f>
        <v>1044.0</v>
      </c>
      <c r="L229" s="34" t="s">
        <v>48</v>
      </c>
      <c r="M229" s="33" t="n">
        <f>1068</f>
        <v>1068.0</v>
      </c>
      <c r="N229" s="34" t="s">
        <v>49</v>
      </c>
      <c r="O229" s="33" t="n">
        <f>1019</f>
        <v>1019.0</v>
      </c>
      <c r="P229" s="34" t="s">
        <v>86</v>
      </c>
      <c r="Q229" s="33" t="n">
        <f>1063</f>
        <v>1063.0</v>
      </c>
      <c r="R229" s="34" t="s">
        <v>51</v>
      </c>
      <c r="S229" s="35" t="n">
        <f>1040</f>
        <v>1040.0</v>
      </c>
      <c r="T229" s="32" t="n">
        <f>366601</f>
        <v>366601.0</v>
      </c>
      <c r="U229" s="32" t="n">
        <f>1</f>
        <v>1.0</v>
      </c>
      <c r="V229" s="32" t="n">
        <f>379816832</f>
        <v>3.79816832E8</v>
      </c>
      <c r="W229" s="32" t="n">
        <f>1045</f>
        <v>1045.0</v>
      </c>
      <c r="X229" s="36" t="n">
        <f>22</f>
        <v>22.0</v>
      </c>
    </row>
    <row r="230">
      <c r="A230" s="27" t="s">
        <v>42</v>
      </c>
      <c r="B230" s="27" t="s">
        <v>738</v>
      </c>
      <c r="C230" s="27" t="s">
        <v>739</v>
      </c>
      <c r="D230" s="27" t="s">
        <v>740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1031</f>
        <v>1031.0</v>
      </c>
      <c r="L230" s="34" t="s">
        <v>48</v>
      </c>
      <c r="M230" s="33" t="n">
        <f>1035</f>
        <v>1035.0</v>
      </c>
      <c r="N230" s="34" t="s">
        <v>179</v>
      </c>
      <c r="O230" s="33" t="n">
        <f>1024</f>
        <v>1024.0</v>
      </c>
      <c r="P230" s="34" t="s">
        <v>172</v>
      </c>
      <c r="Q230" s="33" t="n">
        <f>1034</f>
        <v>1034.0</v>
      </c>
      <c r="R230" s="34" t="s">
        <v>51</v>
      </c>
      <c r="S230" s="35" t="n">
        <f>1029.82</f>
        <v>1029.82</v>
      </c>
      <c r="T230" s="32" t="n">
        <f>106530</f>
        <v>106530.0</v>
      </c>
      <c r="U230" s="32" t="n">
        <f>1070</f>
        <v>1070.0</v>
      </c>
      <c r="V230" s="32" t="n">
        <f>109824690</f>
        <v>1.0982469E8</v>
      </c>
      <c r="W230" s="32" t="n">
        <f>1116700</f>
        <v>1116700.0</v>
      </c>
      <c r="X230" s="36" t="n">
        <f>22</f>
        <v>22.0</v>
      </c>
    </row>
    <row r="231">
      <c r="A231" s="27" t="s">
        <v>42</v>
      </c>
      <c r="B231" s="27" t="s">
        <v>741</v>
      </c>
      <c r="C231" s="27" t="s">
        <v>742</v>
      </c>
      <c r="D231" s="27" t="s">
        <v>743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1094</f>
        <v>1094.0</v>
      </c>
      <c r="L231" s="34" t="s">
        <v>48</v>
      </c>
      <c r="M231" s="33" t="n">
        <f>1143</f>
        <v>1143.0</v>
      </c>
      <c r="N231" s="34" t="s">
        <v>51</v>
      </c>
      <c r="O231" s="33" t="n">
        <f>1076</f>
        <v>1076.0</v>
      </c>
      <c r="P231" s="34" t="s">
        <v>48</v>
      </c>
      <c r="Q231" s="33" t="n">
        <f>1140</f>
        <v>1140.0</v>
      </c>
      <c r="R231" s="34" t="s">
        <v>51</v>
      </c>
      <c r="S231" s="35" t="n">
        <f>1117.5</f>
        <v>1117.5</v>
      </c>
      <c r="T231" s="32" t="n">
        <f>77700</f>
        <v>77700.0</v>
      </c>
      <c r="U231" s="32" t="str">
        <f>"－"</f>
        <v>－</v>
      </c>
      <c r="V231" s="32" t="n">
        <f>86811120</f>
        <v>8.681112E7</v>
      </c>
      <c r="W231" s="32" t="str">
        <f>"－"</f>
        <v>－</v>
      </c>
      <c r="X231" s="36" t="n">
        <f>22</f>
        <v>22.0</v>
      </c>
    </row>
    <row r="232">
      <c r="A232" s="27" t="s">
        <v>42</v>
      </c>
      <c r="B232" s="27" t="s">
        <v>744</v>
      </c>
      <c r="C232" s="27" t="s">
        <v>745</v>
      </c>
      <c r="D232" s="27" t="s">
        <v>746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1278</f>
        <v>1278.0</v>
      </c>
      <c r="L232" s="34" t="s">
        <v>48</v>
      </c>
      <c r="M232" s="33" t="n">
        <f>1318</f>
        <v>1318.0</v>
      </c>
      <c r="N232" s="34" t="s">
        <v>49</v>
      </c>
      <c r="O232" s="33" t="n">
        <f>1276</f>
        <v>1276.0</v>
      </c>
      <c r="P232" s="34" t="s">
        <v>48</v>
      </c>
      <c r="Q232" s="33" t="n">
        <f>1311</f>
        <v>1311.0</v>
      </c>
      <c r="R232" s="34" t="s">
        <v>51</v>
      </c>
      <c r="S232" s="35" t="n">
        <f>1295.5</f>
        <v>1295.5</v>
      </c>
      <c r="T232" s="32" t="n">
        <f>7712000</f>
        <v>7712000.0</v>
      </c>
      <c r="U232" s="32" t="n">
        <f>3180370</f>
        <v>3180370.0</v>
      </c>
      <c r="V232" s="32" t="n">
        <f>9989650828</f>
        <v>9.989650828E9</v>
      </c>
      <c r="W232" s="32" t="n">
        <f>4128003658</f>
        <v>4.128003658E9</v>
      </c>
      <c r="X232" s="36" t="n">
        <f>22</f>
        <v>22.0</v>
      </c>
    </row>
    <row r="233">
      <c r="A233" s="27" t="s">
        <v>42</v>
      </c>
      <c r="B233" s="27" t="s">
        <v>747</v>
      </c>
      <c r="C233" s="27" t="s">
        <v>748</v>
      </c>
      <c r="D233" s="27" t="s">
        <v>749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3130</f>
        <v>3130.0</v>
      </c>
      <c r="L233" s="34" t="s">
        <v>48</v>
      </c>
      <c r="M233" s="33" t="n">
        <f>3340</f>
        <v>3340.0</v>
      </c>
      <c r="N233" s="34" t="s">
        <v>323</v>
      </c>
      <c r="O233" s="33" t="n">
        <f>3125</f>
        <v>3125.0</v>
      </c>
      <c r="P233" s="34" t="s">
        <v>132</v>
      </c>
      <c r="Q233" s="33" t="n">
        <f>3280</f>
        <v>3280.0</v>
      </c>
      <c r="R233" s="34" t="s">
        <v>51</v>
      </c>
      <c r="S233" s="35" t="n">
        <f>3208.18</f>
        <v>3208.18</v>
      </c>
      <c r="T233" s="32" t="n">
        <f>68578</f>
        <v>68578.0</v>
      </c>
      <c r="U233" s="32" t="str">
        <f>"－"</f>
        <v>－</v>
      </c>
      <c r="V233" s="32" t="n">
        <f>221072645</f>
        <v>2.21072645E8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750</v>
      </c>
      <c r="C234" s="27" t="s">
        <v>751</v>
      </c>
      <c r="D234" s="27" t="s">
        <v>752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1820</f>
        <v>1820.0</v>
      </c>
      <c r="L234" s="34" t="s">
        <v>48</v>
      </c>
      <c r="M234" s="33" t="n">
        <f>1820</f>
        <v>1820.0</v>
      </c>
      <c r="N234" s="34" t="s">
        <v>48</v>
      </c>
      <c r="O234" s="33" t="n">
        <f>1603</f>
        <v>1603.0</v>
      </c>
      <c r="P234" s="34" t="s">
        <v>86</v>
      </c>
      <c r="Q234" s="33" t="n">
        <f>1686</f>
        <v>1686.0</v>
      </c>
      <c r="R234" s="34" t="s">
        <v>51</v>
      </c>
      <c r="S234" s="35" t="n">
        <f>1675.5</f>
        <v>1675.5</v>
      </c>
      <c r="T234" s="32" t="n">
        <f>3706170</f>
        <v>3706170.0</v>
      </c>
      <c r="U234" s="32" t="n">
        <f>3698510</f>
        <v>3698510.0</v>
      </c>
      <c r="V234" s="32" t="n">
        <f>6004924641</f>
        <v>6.004924641E9</v>
      </c>
      <c r="W234" s="32" t="n">
        <f>5992009621</f>
        <v>5.992009621E9</v>
      </c>
      <c r="X234" s="36" t="n">
        <f>20</f>
        <v>20.0</v>
      </c>
    </row>
    <row r="235">
      <c r="A235" s="27" t="s">
        <v>42</v>
      </c>
      <c r="B235" s="27" t="s">
        <v>753</v>
      </c>
      <c r="C235" s="27" t="s">
        <v>754</v>
      </c>
      <c r="D235" s="27" t="s">
        <v>755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1800</f>
        <v>1800.0</v>
      </c>
      <c r="L235" s="34" t="s">
        <v>48</v>
      </c>
      <c r="M235" s="33" t="n">
        <f>1844</f>
        <v>1844.0</v>
      </c>
      <c r="N235" s="34" t="s">
        <v>51</v>
      </c>
      <c r="O235" s="33" t="n">
        <f>1759</f>
        <v>1759.0</v>
      </c>
      <c r="P235" s="34" t="s">
        <v>172</v>
      </c>
      <c r="Q235" s="33" t="n">
        <f>1844</f>
        <v>1844.0</v>
      </c>
      <c r="R235" s="34" t="s">
        <v>51</v>
      </c>
      <c r="S235" s="35" t="n">
        <f>1811.67</f>
        <v>1811.67</v>
      </c>
      <c r="T235" s="32" t="n">
        <f>697740</f>
        <v>697740.0</v>
      </c>
      <c r="U235" s="32" t="n">
        <f>200010</f>
        <v>200010.0</v>
      </c>
      <c r="V235" s="32" t="n">
        <f>1260515630</f>
        <v>1.26051563E9</v>
      </c>
      <c r="W235" s="32" t="n">
        <f>358677990</f>
        <v>3.5867799E8</v>
      </c>
      <c r="X235" s="36" t="n">
        <f>15</f>
        <v>15.0</v>
      </c>
    </row>
    <row r="236">
      <c r="A236" s="27" t="s">
        <v>42</v>
      </c>
      <c r="B236" s="27" t="s">
        <v>756</v>
      </c>
      <c r="C236" s="27" t="s">
        <v>757</v>
      </c>
      <c r="D236" s="27" t="s">
        <v>758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27100</f>
        <v>27100.0</v>
      </c>
      <c r="L236" s="34" t="s">
        <v>172</v>
      </c>
      <c r="M236" s="33" t="n">
        <f>27810</f>
        <v>27810.0</v>
      </c>
      <c r="N236" s="34" t="s">
        <v>51</v>
      </c>
      <c r="O236" s="33" t="n">
        <f>26790</f>
        <v>26790.0</v>
      </c>
      <c r="P236" s="34" t="s">
        <v>62</v>
      </c>
      <c r="Q236" s="33" t="n">
        <f>27810</f>
        <v>27810.0</v>
      </c>
      <c r="R236" s="34" t="s">
        <v>51</v>
      </c>
      <c r="S236" s="35" t="n">
        <f>27093</f>
        <v>27093.0</v>
      </c>
      <c r="T236" s="32" t="n">
        <f>58334</f>
        <v>58334.0</v>
      </c>
      <c r="U236" s="32" t="n">
        <f>55500</f>
        <v>55500.0</v>
      </c>
      <c r="V236" s="32" t="n">
        <f>1625058005</f>
        <v>1.625058005E9</v>
      </c>
      <c r="W236" s="32" t="n">
        <f>1547911095</f>
        <v>1.547911095E9</v>
      </c>
      <c r="X236" s="36" t="n">
        <f>10</f>
        <v>10.0</v>
      </c>
    </row>
    <row r="237">
      <c r="A237" s="27" t="s">
        <v>42</v>
      </c>
      <c r="B237" s="27" t="s">
        <v>759</v>
      </c>
      <c r="C237" s="27" t="s">
        <v>760</v>
      </c>
      <c r="D237" s="27" t="s">
        <v>761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16280</f>
        <v>16280.0</v>
      </c>
      <c r="L237" s="34" t="s">
        <v>48</v>
      </c>
      <c r="M237" s="33" t="n">
        <f>16640</f>
        <v>16640.0</v>
      </c>
      <c r="N237" s="34" t="s">
        <v>51</v>
      </c>
      <c r="O237" s="33" t="n">
        <f>16120</f>
        <v>16120.0</v>
      </c>
      <c r="P237" s="34" t="s">
        <v>62</v>
      </c>
      <c r="Q237" s="33" t="n">
        <f>16590</f>
        <v>16590.0</v>
      </c>
      <c r="R237" s="34" t="s">
        <v>51</v>
      </c>
      <c r="S237" s="35" t="n">
        <f>16328.42</f>
        <v>16328.42</v>
      </c>
      <c r="T237" s="32" t="n">
        <f>93394</f>
        <v>93394.0</v>
      </c>
      <c r="U237" s="32" t="str">
        <f>"－"</f>
        <v>－</v>
      </c>
      <c r="V237" s="32" t="n">
        <f>1526422350</f>
        <v>1.52642235E9</v>
      </c>
      <c r="W237" s="32" t="str">
        <f>"－"</f>
        <v>－</v>
      </c>
      <c r="X237" s="36" t="n">
        <f>19</f>
        <v>19.0</v>
      </c>
    </row>
    <row r="238">
      <c r="A238" s="27" t="s">
        <v>42</v>
      </c>
      <c r="B238" s="27" t="s">
        <v>762</v>
      </c>
      <c r="C238" s="27" t="s">
        <v>763</v>
      </c>
      <c r="D238" s="27" t="s">
        <v>764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1005</f>
        <v>1005.0</v>
      </c>
      <c r="L238" s="34" t="s">
        <v>48</v>
      </c>
      <c r="M238" s="33" t="n">
        <f>1099</f>
        <v>1099.0</v>
      </c>
      <c r="N238" s="34" t="s">
        <v>196</v>
      </c>
      <c r="O238" s="33" t="n">
        <f>1005</f>
        <v>1005.0</v>
      </c>
      <c r="P238" s="34" t="s">
        <v>48</v>
      </c>
      <c r="Q238" s="33" t="n">
        <f>1063</f>
        <v>1063.0</v>
      </c>
      <c r="R238" s="34" t="s">
        <v>51</v>
      </c>
      <c r="S238" s="35" t="n">
        <f>1024.33</f>
        <v>1024.33</v>
      </c>
      <c r="T238" s="32" t="n">
        <f>185660</f>
        <v>185660.0</v>
      </c>
      <c r="U238" s="32" t="n">
        <f>96000</f>
        <v>96000.0</v>
      </c>
      <c r="V238" s="32" t="n">
        <f>191556300</f>
        <v>1.915563E8</v>
      </c>
      <c r="W238" s="32" t="n">
        <f>99661440</f>
        <v>9.966144E7</v>
      </c>
      <c r="X238" s="36" t="n">
        <f>21</f>
        <v>21.0</v>
      </c>
    </row>
    <row r="239">
      <c r="A239" s="27" t="s">
        <v>42</v>
      </c>
      <c r="B239" s="27" t="s">
        <v>765</v>
      </c>
      <c r="C239" s="27" t="s">
        <v>766</v>
      </c>
      <c r="D239" s="27" t="s">
        <v>767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996</f>
        <v>996.0</v>
      </c>
      <c r="L239" s="34" t="s">
        <v>48</v>
      </c>
      <c r="M239" s="33" t="n">
        <f>1044</f>
        <v>1044.0</v>
      </c>
      <c r="N239" s="34" t="s">
        <v>51</v>
      </c>
      <c r="O239" s="33" t="n">
        <f>993</f>
        <v>993.0</v>
      </c>
      <c r="P239" s="34" t="s">
        <v>69</v>
      </c>
      <c r="Q239" s="33" t="n">
        <f>1043</f>
        <v>1043.0</v>
      </c>
      <c r="R239" s="34" t="s">
        <v>51</v>
      </c>
      <c r="S239" s="35" t="n">
        <f>1007.73</f>
        <v>1007.73</v>
      </c>
      <c r="T239" s="32" t="n">
        <f>18740</f>
        <v>18740.0</v>
      </c>
      <c r="U239" s="32" t="str">
        <f>"－"</f>
        <v>－</v>
      </c>
      <c r="V239" s="32" t="n">
        <f>18897680</f>
        <v>1.889768E7</v>
      </c>
      <c r="W239" s="32" t="str">
        <f>"－"</f>
        <v>－</v>
      </c>
      <c r="X239" s="36" t="n">
        <f>22</f>
        <v>22.0</v>
      </c>
    </row>
    <row r="240">
      <c r="A240" s="27" t="s">
        <v>42</v>
      </c>
      <c r="B240" s="27" t="s">
        <v>768</v>
      </c>
      <c r="C240" s="27" t="s">
        <v>769</v>
      </c>
      <c r="D240" s="27" t="s">
        <v>770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931</f>
        <v>931.0</v>
      </c>
      <c r="L240" s="34" t="s">
        <v>48</v>
      </c>
      <c r="M240" s="33" t="n">
        <f>965</f>
        <v>965.0</v>
      </c>
      <c r="N240" s="34" t="s">
        <v>183</v>
      </c>
      <c r="O240" s="33" t="n">
        <f>929</f>
        <v>929.0</v>
      </c>
      <c r="P240" s="34" t="s">
        <v>48</v>
      </c>
      <c r="Q240" s="33" t="n">
        <f>957</f>
        <v>957.0</v>
      </c>
      <c r="R240" s="34" t="s">
        <v>51</v>
      </c>
      <c r="S240" s="35" t="n">
        <f>948.77</f>
        <v>948.77</v>
      </c>
      <c r="T240" s="32" t="n">
        <f>31416</f>
        <v>31416.0</v>
      </c>
      <c r="U240" s="32" t="str">
        <f>"－"</f>
        <v>－</v>
      </c>
      <c r="V240" s="32" t="n">
        <f>29708761</f>
        <v>2.9708761E7</v>
      </c>
      <c r="W240" s="32" t="str">
        <f>"－"</f>
        <v>－</v>
      </c>
      <c r="X240" s="36" t="n">
        <f>22</f>
        <v>22.0</v>
      </c>
    </row>
    <row r="241">
      <c r="A241" s="27" t="s">
        <v>42</v>
      </c>
      <c r="B241" s="27" t="s">
        <v>771</v>
      </c>
      <c r="C241" s="27" t="s">
        <v>772</v>
      </c>
      <c r="D241" s="27" t="s">
        <v>773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12800</f>
        <v>12800.0</v>
      </c>
      <c r="L241" s="34" t="s">
        <v>48</v>
      </c>
      <c r="M241" s="33" t="n">
        <f>13300</f>
        <v>13300.0</v>
      </c>
      <c r="N241" s="34" t="s">
        <v>172</v>
      </c>
      <c r="O241" s="33" t="n">
        <f>12300</f>
        <v>12300.0</v>
      </c>
      <c r="P241" s="34" t="s">
        <v>221</v>
      </c>
      <c r="Q241" s="33" t="n">
        <f>12770</f>
        <v>12770.0</v>
      </c>
      <c r="R241" s="34" t="s">
        <v>51</v>
      </c>
      <c r="S241" s="35" t="n">
        <f>12761.36</f>
        <v>12761.36</v>
      </c>
      <c r="T241" s="32" t="n">
        <f>3432</f>
        <v>3432.0</v>
      </c>
      <c r="U241" s="32" t="str">
        <f>"－"</f>
        <v>－</v>
      </c>
      <c r="V241" s="32" t="n">
        <f>43961290</f>
        <v>4.396129E7</v>
      </c>
      <c r="W241" s="32" t="str">
        <f>"－"</f>
        <v>－</v>
      </c>
      <c r="X241" s="36" t="n">
        <f>22</f>
        <v>22.0</v>
      </c>
    </row>
    <row r="242">
      <c r="A242" s="27" t="s">
        <v>42</v>
      </c>
      <c r="B242" s="27" t="s">
        <v>774</v>
      </c>
      <c r="C242" s="27" t="s">
        <v>775</v>
      </c>
      <c r="D242" s="27" t="s">
        <v>776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1798</f>
        <v>1798.0</v>
      </c>
      <c r="L242" s="34" t="s">
        <v>48</v>
      </c>
      <c r="M242" s="33" t="n">
        <f>1899</f>
        <v>1899.0</v>
      </c>
      <c r="N242" s="34" t="s">
        <v>51</v>
      </c>
      <c r="O242" s="33" t="n">
        <f>1795</f>
        <v>1795.0</v>
      </c>
      <c r="P242" s="34" t="s">
        <v>61</v>
      </c>
      <c r="Q242" s="33" t="n">
        <f>1894</f>
        <v>1894.0</v>
      </c>
      <c r="R242" s="34" t="s">
        <v>51</v>
      </c>
      <c r="S242" s="35" t="n">
        <f>1825.55</f>
        <v>1825.55</v>
      </c>
      <c r="T242" s="32" t="n">
        <f>23036</f>
        <v>23036.0</v>
      </c>
      <c r="U242" s="32" t="str">
        <f>"－"</f>
        <v>－</v>
      </c>
      <c r="V242" s="32" t="n">
        <f>42046926</f>
        <v>4.2046926E7</v>
      </c>
      <c r="W242" s="32" t="str">
        <f>"－"</f>
        <v>－</v>
      </c>
      <c r="X242" s="36" t="n">
        <f>22</f>
        <v>22.0</v>
      </c>
    </row>
    <row r="243">
      <c r="A243" s="27" t="s">
        <v>42</v>
      </c>
      <c r="B243" s="27" t="s">
        <v>777</v>
      </c>
      <c r="C243" s="27" t="s">
        <v>778</v>
      </c>
      <c r="D243" s="27" t="s">
        <v>779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1750</f>
        <v>1750.0</v>
      </c>
      <c r="L243" s="34" t="s">
        <v>48</v>
      </c>
      <c r="M243" s="33" t="n">
        <f>1853</f>
        <v>1853.0</v>
      </c>
      <c r="N243" s="34" t="s">
        <v>172</v>
      </c>
      <c r="O243" s="33" t="n">
        <f>1280</f>
        <v>1280.0</v>
      </c>
      <c r="P243" s="34" t="s">
        <v>86</v>
      </c>
      <c r="Q243" s="33" t="n">
        <f>1340</f>
        <v>1340.0</v>
      </c>
      <c r="R243" s="34" t="s">
        <v>51</v>
      </c>
      <c r="S243" s="35" t="n">
        <f>1427.27</f>
        <v>1427.27</v>
      </c>
      <c r="T243" s="32" t="n">
        <f>19110</f>
        <v>19110.0</v>
      </c>
      <c r="U243" s="32" t="str">
        <f>"－"</f>
        <v>－</v>
      </c>
      <c r="V243" s="32" t="n">
        <f>27135130</f>
        <v>2.713513E7</v>
      </c>
      <c r="W243" s="32" t="str">
        <f>"－"</f>
        <v>－</v>
      </c>
      <c r="X243" s="36" t="n">
        <f>22</f>
        <v>22.0</v>
      </c>
    </row>
    <row r="244">
      <c r="A244" s="27" t="s">
        <v>42</v>
      </c>
      <c r="B244" s="27" t="s">
        <v>780</v>
      </c>
      <c r="C244" s="27" t="s">
        <v>781</v>
      </c>
      <c r="D244" s="27" t="s">
        <v>782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1034</f>
        <v>1034.0</v>
      </c>
      <c r="L244" s="34" t="s">
        <v>48</v>
      </c>
      <c r="M244" s="33" t="n">
        <f>1035</f>
        <v>1035.0</v>
      </c>
      <c r="N244" s="34" t="s">
        <v>323</v>
      </c>
      <c r="O244" s="33" t="n">
        <f>1025</f>
        <v>1025.0</v>
      </c>
      <c r="P244" s="34" t="s">
        <v>304</v>
      </c>
      <c r="Q244" s="33" t="n">
        <f>1029</f>
        <v>1029.0</v>
      </c>
      <c r="R244" s="34" t="s">
        <v>51</v>
      </c>
      <c r="S244" s="35" t="n">
        <f>1028.55</f>
        <v>1028.55</v>
      </c>
      <c r="T244" s="32" t="n">
        <f>301240</f>
        <v>301240.0</v>
      </c>
      <c r="U244" s="32" t="str">
        <f>"－"</f>
        <v>－</v>
      </c>
      <c r="V244" s="32" t="n">
        <f>309847350</f>
        <v>3.0984735E8</v>
      </c>
      <c r="W244" s="32" t="str">
        <f>"－"</f>
        <v>－</v>
      </c>
      <c r="X244" s="36" t="n">
        <f>22</f>
        <v>22.0</v>
      </c>
    </row>
    <row r="245">
      <c r="A245" s="27" t="s">
        <v>42</v>
      </c>
      <c r="B245" s="27" t="s">
        <v>783</v>
      </c>
      <c r="C245" s="27" t="s">
        <v>784</v>
      </c>
      <c r="D245" s="27" t="s">
        <v>785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1724</f>
        <v>1724.0</v>
      </c>
      <c r="L245" s="34" t="s">
        <v>48</v>
      </c>
      <c r="M245" s="33" t="n">
        <f>1820</f>
        <v>1820.0</v>
      </c>
      <c r="N245" s="34" t="s">
        <v>51</v>
      </c>
      <c r="O245" s="33" t="n">
        <f>1713</f>
        <v>1713.0</v>
      </c>
      <c r="P245" s="34" t="s">
        <v>69</v>
      </c>
      <c r="Q245" s="33" t="n">
        <f>1819</f>
        <v>1819.0</v>
      </c>
      <c r="R245" s="34" t="s">
        <v>51</v>
      </c>
      <c r="S245" s="35" t="n">
        <f>1751.95</f>
        <v>1751.95</v>
      </c>
      <c r="T245" s="32" t="n">
        <f>25900</f>
        <v>25900.0</v>
      </c>
      <c r="U245" s="32" t="str">
        <f>"－"</f>
        <v>－</v>
      </c>
      <c r="V245" s="32" t="n">
        <f>45668380</f>
        <v>4.566838E7</v>
      </c>
      <c r="W245" s="32" t="str">
        <f>"－"</f>
        <v>－</v>
      </c>
      <c r="X245" s="36" t="n">
        <f>22</f>
        <v>22.0</v>
      </c>
    </row>
    <row r="246">
      <c r="A246" s="27" t="s">
        <v>42</v>
      </c>
      <c r="B246" s="27" t="s">
        <v>786</v>
      </c>
      <c r="C246" s="27" t="s">
        <v>787</v>
      </c>
      <c r="D246" s="27" t="s">
        <v>788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1718</f>
        <v>1718.0</v>
      </c>
      <c r="L246" s="34" t="s">
        <v>48</v>
      </c>
      <c r="M246" s="33" t="n">
        <f>1850</f>
        <v>1850.0</v>
      </c>
      <c r="N246" s="34" t="s">
        <v>51</v>
      </c>
      <c r="O246" s="33" t="n">
        <f>1712</f>
        <v>1712.0</v>
      </c>
      <c r="P246" s="34" t="s">
        <v>69</v>
      </c>
      <c r="Q246" s="33" t="n">
        <f>1835</f>
        <v>1835.0</v>
      </c>
      <c r="R246" s="34" t="s">
        <v>51</v>
      </c>
      <c r="S246" s="35" t="n">
        <f>1748.59</f>
        <v>1748.59</v>
      </c>
      <c r="T246" s="32" t="n">
        <f>630200</f>
        <v>630200.0</v>
      </c>
      <c r="U246" s="32" t="n">
        <f>479900</f>
        <v>479900.0</v>
      </c>
      <c r="V246" s="32" t="n">
        <f>1105245531</f>
        <v>1.105245531E9</v>
      </c>
      <c r="W246" s="32" t="n">
        <f>841715101</f>
        <v>8.41715101E8</v>
      </c>
      <c r="X246" s="36" t="n">
        <f>22</f>
        <v>22.0</v>
      </c>
    </row>
    <row r="247">
      <c r="A247" s="27" t="s">
        <v>42</v>
      </c>
      <c r="B247" s="27" t="s">
        <v>789</v>
      </c>
      <c r="C247" s="27" t="s">
        <v>790</v>
      </c>
      <c r="D247" s="27" t="s">
        <v>791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1784</f>
        <v>1784.0</v>
      </c>
      <c r="L247" s="34" t="s">
        <v>172</v>
      </c>
      <c r="M247" s="33" t="n">
        <f>1817</f>
        <v>1817.0</v>
      </c>
      <c r="N247" s="34" t="s">
        <v>51</v>
      </c>
      <c r="O247" s="33" t="n">
        <f>1766</f>
        <v>1766.0</v>
      </c>
      <c r="P247" s="34" t="s">
        <v>179</v>
      </c>
      <c r="Q247" s="33" t="n">
        <f>1817</f>
        <v>1817.0</v>
      </c>
      <c r="R247" s="34" t="s">
        <v>51</v>
      </c>
      <c r="S247" s="35" t="n">
        <f>1793.17</f>
        <v>1793.17</v>
      </c>
      <c r="T247" s="32" t="n">
        <f>202820</f>
        <v>202820.0</v>
      </c>
      <c r="U247" s="32" t="n">
        <f>121230</f>
        <v>121230.0</v>
      </c>
      <c r="V247" s="32" t="n">
        <f>360603350</f>
        <v>3.6060335E8</v>
      </c>
      <c r="W247" s="32" t="n">
        <f>215561250</f>
        <v>2.1556125E8</v>
      </c>
      <c r="X247" s="36" t="n">
        <f>6</f>
        <v>6.0</v>
      </c>
    </row>
    <row r="248">
      <c r="A248" s="27" t="s">
        <v>42</v>
      </c>
      <c r="B248" s="27" t="s">
        <v>792</v>
      </c>
      <c r="C248" s="27" t="s">
        <v>793</v>
      </c>
      <c r="D248" s="27" t="s">
        <v>794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10890</f>
        <v>10890.0</v>
      </c>
      <c r="L248" s="34" t="s">
        <v>48</v>
      </c>
      <c r="M248" s="33" t="n">
        <f>11120</f>
        <v>11120.0</v>
      </c>
      <c r="N248" s="34" t="s">
        <v>49</v>
      </c>
      <c r="O248" s="33" t="n">
        <f>10820</f>
        <v>10820.0</v>
      </c>
      <c r="P248" s="34" t="s">
        <v>131</v>
      </c>
      <c r="Q248" s="33" t="n">
        <f>11040</f>
        <v>11040.0</v>
      </c>
      <c r="R248" s="34" t="s">
        <v>51</v>
      </c>
      <c r="S248" s="35" t="n">
        <f>10946.36</f>
        <v>10946.36</v>
      </c>
      <c r="T248" s="32" t="n">
        <f>190247</f>
        <v>190247.0</v>
      </c>
      <c r="U248" s="32" t="n">
        <f>27208</f>
        <v>27208.0</v>
      </c>
      <c r="V248" s="32" t="n">
        <f>2085907262</f>
        <v>2.085907262E9</v>
      </c>
      <c r="W248" s="32" t="n">
        <f>299802522</f>
        <v>2.99802522E8</v>
      </c>
      <c r="X248" s="36" t="n">
        <f>22</f>
        <v>22.0</v>
      </c>
    </row>
    <row r="249">
      <c r="A249" s="27" t="s">
        <v>42</v>
      </c>
      <c r="B249" s="27" t="s">
        <v>795</v>
      </c>
      <c r="C249" s="27" t="s">
        <v>796</v>
      </c>
      <c r="D249" s="27" t="s">
        <v>797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10640</f>
        <v>10640.0</v>
      </c>
      <c r="L249" s="34" t="s">
        <v>48</v>
      </c>
      <c r="M249" s="33" t="n">
        <f>11010</f>
        <v>11010.0</v>
      </c>
      <c r="N249" s="34" t="s">
        <v>49</v>
      </c>
      <c r="O249" s="33" t="n">
        <f>10630</f>
        <v>10630.0</v>
      </c>
      <c r="P249" s="34" t="s">
        <v>131</v>
      </c>
      <c r="Q249" s="33" t="n">
        <f>10980</f>
        <v>10980.0</v>
      </c>
      <c r="R249" s="34" t="s">
        <v>51</v>
      </c>
      <c r="S249" s="35" t="n">
        <f>10788.64</f>
        <v>10788.64</v>
      </c>
      <c r="T249" s="32" t="n">
        <f>93117</f>
        <v>93117.0</v>
      </c>
      <c r="U249" s="32" t="n">
        <f>10407</f>
        <v>10407.0</v>
      </c>
      <c r="V249" s="32" t="n">
        <f>1003565401</f>
        <v>1.003565401E9</v>
      </c>
      <c r="W249" s="32" t="n">
        <f>111239321</f>
        <v>1.11239321E8</v>
      </c>
      <c r="X249" s="36" t="n">
        <f>22</f>
        <v>22.0</v>
      </c>
    </row>
    <row r="250">
      <c r="A250" s="27" t="s">
        <v>42</v>
      </c>
      <c r="B250" s="27" t="s">
        <v>798</v>
      </c>
      <c r="C250" s="27" t="s">
        <v>799</v>
      </c>
      <c r="D250" s="27" t="s">
        <v>800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23560</f>
        <v>23560.0</v>
      </c>
      <c r="L250" s="34" t="s">
        <v>48</v>
      </c>
      <c r="M250" s="33" t="n">
        <f>24200</f>
        <v>24200.0</v>
      </c>
      <c r="N250" s="34" t="s">
        <v>49</v>
      </c>
      <c r="O250" s="33" t="n">
        <f>23370</f>
        <v>23370.0</v>
      </c>
      <c r="P250" s="34" t="s">
        <v>50</v>
      </c>
      <c r="Q250" s="33" t="n">
        <f>24150</f>
        <v>24150.0</v>
      </c>
      <c r="R250" s="34" t="s">
        <v>51</v>
      </c>
      <c r="S250" s="35" t="n">
        <f>23728.67</f>
        <v>23728.67</v>
      </c>
      <c r="T250" s="32" t="n">
        <f>225</f>
        <v>225.0</v>
      </c>
      <c r="U250" s="32" t="str">
        <f>"－"</f>
        <v>－</v>
      </c>
      <c r="V250" s="32" t="n">
        <f>5354510</f>
        <v>5354510.0</v>
      </c>
      <c r="W250" s="32" t="str">
        <f>"－"</f>
        <v>－</v>
      </c>
      <c r="X250" s="36" t="n">
        <f>15</f>
        <v>15.0</v>
      </c>
    </row>
    <row r="251">
      <c r="A251" s="27" t="s">
        <v>42</v>
      </c>
      <c r="B251" s="27" t="s">
        <v>801</v>
      </c>
      <c r="C251" s="27" t="s">
        <v>802</v>
      </c>
      <c r="D251" s="27" t="s">
        <v>803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2732</f>
        <v>2732.0</v>
      </c>
      <c r="L251" s="34" t="s">
        <v>48</v>
      </c>
      <c r="M251" s="33" t="n">
        <f>2742</f>
        <v>2742.0</v>
      </c>
      <c r="N251" s="34" t="s">
        <v>323</v>
      </c>
      <c r="O251" s="33" t="n">
        <f>2727</f>
        <v>2727.0</v>
      </c>
      <c r="P251" s="34" t="s">
        <v>61</v>
      </c>
      <c r="Q251" s="33" t="n">
        <f>2734</f>
        <v>2734.0</v>
      </c>
      <c r="R251" s="34" t="s">
        <v>51</v>
      </c>
      <c r="S251" s="35" t="n">
        <f>2734.77</f>
        <v>2734.77</v>
      </c>
      <c r="T251" s="32" t="n">
        <f>1075299</f>
        <v>1075299.0</v>
      </c>
      <c r="U251" s="32" t="n">
        <f>805605</f>
        <v>805605.0</v>
      </c>
      <c r="V251" s="32" t="n">
        <f>2942275040</f>
        <v>2.94227504E9</v>
      </c>
      <c r="W251" s="32" t="n">
        <f>2204363840</f>
        <v>2.20436384E9</v>
      </c>
      <c r="X251" s="36" t="n">
        <f>22</f>
        <v>22.0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2572</f>
        <v>2572.0</v>
      </c>
      <c r="L252" s="34" t="s">
        <v>48</v>
      </c>
      <c r="M252" s="33" t="n">
        <f>2648</f>
        <v>2648.0</v>
      </c>
      <c r="N252" s="34" t="s">
        <v>49</v>
      </c>
      <c r="O252" s="33" t="n">
        <f>2566</f>
        <v>2566.0</v>
      </c>
      <c r="P252" s="34" t="s">
        <v>172</v>
      </c>
      <c r="Q252" s="33" t="n">
        <f>2633</f>
        <v>2633.0</v>
      </c>
      <c r="R252" s="34" t="s">
        <v>51</v>
      </c>
      <c r="S252" s="35" t="n">
        <f>2606.55</f>
        <v>2606.55</v>
      </c>
      <c r="T252" s="32" t="n">
        <f>2320760</f>
        <v>2320760.0</v>
      </c>
      <c r="U252" s="32" t="n">
        <f>272000</f>
        <v>272000.0</v>
      </c>
      <c r="V252" s="32" t="n">
        <f>6059833170</f>
        <v>6.05983317E9</v>
      </c>
      <c r="W252" s="32" t="n">
        <f>712352200</f>
        <v>7.123522E8</v>
      </c>
      <c r="X252" s="36" t="n">
        <f>22</f>
        <v>22.0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2361</f>
        <v>2361.0</v>
      </c>
      <c r="L253" s="34" t="s">
        <v>48</v>
      </c>
      <c r="M253" s="33" t="n">
        <f>2434</f>
        <v>2434.0</v>
      </c>
      <c r="N253" s="34" t="s">
        <v>49</v>
      </c>
      <c r="O253" s="33" t="n">
        <f>2360</f>
        <v>2360.0</v>
      </c>
      <c r="P253" s="34" t="s">
        <v>48</v>
      </c>
      <c r="Q253" s="33" t="n">
        <f>2424</f>
        <v>2424.0</v>
      </c>
      <c r="R253" s="34" t="s">
        <v>51</v>
      </c>
      <c r="S253" s="35" t="n">
        <f>2393.95</f>
        <v>2393.95</v>
      </c>
      <c r="T253" s="32" t="n">
        <f>2229474</f>
        <v>2229474.0</v>
      </c>
      <c r="U253" s="32" t="n">
        <f>1600906</f>
        <v>1600906.0</v>
      </c>
      <c r="V253" s="32" t="n">
        <f>5347069764</f>
        <v>5.347069764E9</v>
      </c>
      <c r="W253" s="32" t="n">
        <f>3838046104</f>
        <v>3.838046104E9</v>
      </c>
      <c r="X253" s="36" t="n">
        <f>22</f>
        <v>22.0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1573</f>
        <v>1573.0</v>
      </c>
      <c r="L254" s="34" t="s">
        <v>48</v>
      </c>
      <c r="M254" s="33" t="n">
        <f>1623</f>
        <v>1623.0</v>
      </c>
      <c r="N254" s="34" t="s">
        <v>97</v>
      </c>
      <c r="O254" s="33" t="n">
        <f>1573</f>
        <v>1573.0</v>
      </c>
      <c r="P254" s="34" t="s">
        <v>48</v>
      </c>
      <c r="Q254" s="33" t="n">
        <f>1620</f>
        <v>1620.0</v>
      </c>
      <c r="R254" s="34" t="s">
        <v>51</v>
      </c>
      <c r="S254" s="35" t="n">
        <f>1598.41</f>
        <v>1598.41</v>
      </c>
      <c r="T254" s="32" t="n">
        <f>17935</f>
        <v>17935.0</v>
      </c>
      <c r="U254" s="32" t="str">
        <f>"－"</f>
        <v>－</v>
      </c>
      <c r="V254" s="32" t="n">
        <f>28328351</f>
        <v>2.8328351E7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1002</f>
        <v>1002.0</v>
      </c>
      <c r="L255" s="34" t="s">
        <v>48</v>
      </c>
      <c r="M255" s="33" t="n">
        <f>1038</f>
        <v>1038.0</v>
      </c>
      <c r="N255" s="34" t="s">
        <v>51</v>
      </c>
      <c r="O255" s="33" t="n">
        <f>978</f>
        <v>978.0</v>
      </c>
      <c r="P255" s="34" t="s">
        <v>255</v>
      </c>
      <c r="Q255" s="33" t="n">
        <f>1037</f>
        <v>1037.0</v>
      </c>
      <c r="R255" s="34" t="s">
        <v>51</v>
      </c>
      <c r="S255" s="35" t="n">
        <f>1002.32</f>
        <v>1002.32</v>
      </c>
      <c r="T255" s="32" t="n">
        <f>142061</f>
        <v>142061.0</v>
      </c>
      <c r="U255" s="32" t="str">
        <f>"－"</f>
        <v>－</v>
      </c>
      <c r="V255" s="32" t="n">
        <f>141580839</f>
        <v>1.41580839E8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952</f>
        <v>952.0</v>
      </c>
      <c r="L256" s="34" t="s">
        <v>48</v>
      </c>
      <c r="M256" s="33" t="n">
        <f>1004</f>
        <v>1004.0</v>
      </c>
      <c r="N256" s="34" t="s">
        <v>51</v>
      </c>
      <c r="O256" s="33" t="n">
        <f>948</f>
        <v>948.0</v>
      </c>
      <c r="P256" s="34" t="s">
        <v>69</v>
      </c>
      <c r="Q256" s="33" t="n">
        <f>1004</f>
        <v>1004.0</v>
      </c>
      <c r="R256" s="34" t="s">
        <v>51</v>
      </c>
      <c r="S256" s="35" t="n">
        <f>965.77</f>
        <v>965.77</v>
      </c>
      <c r="T256" s="32" t="n">
        <f>207080</f>
        <v>207080.0</v>
      </c>
      <c r="U256" s="32" t="str">
        <f>"－"</f>
        <v>－</v>
      </c>
      <c r="V256" s="32" t="n">
        <f>200272120</f>
        <v>2.0027212E8</v>
      </c>
      <c r="W256" s="32" t="str">
        <f>"－"</f>
        <v>－</v>
      </c>
      <c r="X256" s="36" t="n">
        <f>22</f>
        <v>22.0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225</f>
        <v>225.0</v>
      </c>
      <c r="L257" s="34" t="s">
        <v>48</v>
      </c>
      <c r="M257" s="33" t="n">
        <f>369</f>
        <v>369.0</v>
      </c>
      <c r="N257" s="34" t="s">
        <v>196</v>
      </c>
      <c r="O257" s="33" t="n">
        <f>224</f>
        <v>224.0</v>
      </c>
      <c r="P257" s="34" t="s">
        <v>61</v>
      </c>
      <c r="Q257" s="33" t="n">
        <f>255</f>
        <v>255.0</v>
      </c>
      <c r="R257" s="34" t="s">
        <v>51</v>
      </c>
      <c r="S257" s="35" t="n">
        <f>248.18</f>
        <v>248.18</v>
      </c>
      <c r="T257" s="32" t="n">
        <f>634630</f>
        <v>634630.0</v>
      </c>
      <c r="U257" s="32" t="str">
        <f>"－"</f>
        <v>－</v>
      </c>
      <c r="V257" s="32" t="n">
        <f>181924740</f>
        <v>1.8192474E8</v>
      </c>
      <c r="W257" s="32" t="str">
        <f>"－"</f>
        <v>－</v>
      </c>
      <c r="X257" s="36" t="n">
        <f>22</f>
        <v>22.0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2218</f>
        <v>2218.0</v>
      </c>
      <c r="L258" s="34" t="s">
        <v>48</v>
      </c>
      <c r="M258" s="33" t="n">
        <f>2405</f>
        <v>2405.0</v>
      </c>
      <c r="N258" s="34" t="s">
        <v>51</v>
      </c>
      <c r="O258" s="33" t="n">
        <f>2213</f>
        <v>2213.0</v>
      </c>
      <c r="P258" s="34" t="s">
        <v>345</v>
      </c>
      <c r="Q258" s="33" t="n">
        <f>2300</f>
        <v>2300.0</v>
      </c>
      <c r="R258" s="34" t="s">
        <v>51</v>
      </c>
      <c r="S258" s="35" t="n">
        <f>2253.95</f>
        <v>2253.95</v>
      </c>
      <c r="T258" s="32" t="n">
        <f>597400</f>
        <v>597400.0</v>
      </c>
      <c r="U258" s="32" t="str">
        <f>"－"</f>
        <v>－</v>
      </c>
      <c r="V258" s="32" t="n">
        <f>1348999430</f>
        <v>1.34899943E9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2226</f>
        <v>2226.0</v>
      </c>
      <c r="L259" s="34" t="s">
        <v>48</v>
      </c>
      <c r="M259" s="33" t="n">
        <f>2361</f>
        <v>2361.0</v>
      </c>
      <c r="N259" s="34" t="s">
        <v>49</v>
      </c>
      <c r="O259" s="33" t="n">
        <f>2222</f>
        <v>2222.0</v>
      </c>
      <c r="P259" s="34" t="s">
        <v>255</v>
      </c>
      <c r="Q259" s="33" t="n">
        <f>2321</f>
        <v>2321.0</v>
      </c>
      <c r="R259" s="34" t="s">
        <v>51</v>
      </c>
      <c r="S259" s="35" t="n">
        <f>2273.59</f>
        <v>2273.59</v>
      </c>
      <c r="T259" s="32" t="n">
        <f>2436120</f>
        <v>2436120.0</v>
      </c>
      <c r="U259" s="32" t="n">
        <f>1285130</f>
        <v>1285130.0</v>
      </c>
      <c r="V259" s="32" t="n">
        <f>5563508708</f>
        <v>5.563508708E9</v>
      </c>
      <c r="W259" s="32" t="n">
        <f>2947055618</f>
        <v>2.947055618E9</v>
      </c>
      <c r="X259" s="36" t="n">
        <f>22</f>
        <v>22.0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2485</f>
        <v>2485.0</v>
      </c>
      <c r="L260" s="34" t="s">
        <v>48</v>
      </c>
      <c r="M260" s="33" t="n">
        <f>2506</f>
        <v>2506.0</v>
      </c>
      <c r="N260" s="34" t="s">
        <v>172</v>
      </c>
      <c r="O260" s="33" t="n">
        <f>2435</f>
        <v>2435.0</v>
      </c>
      <c r="P260" s="34" t="s">
        <v>97</v>
      </c>
      <c r="Q260" s="33" t="n">
        <f>2452</f>
        <v>2452.0</v>
      </c>
      <c r="R260" s="34" t="s">
        <v>51</v>
      </c>
      <c r="S260" s="35" t="n">
        <f>2467.36</f>
        <v>2467.36</v>
      </c>
      <c r="T260" s="32" t="n">
        <f>208286</f>
        <v>208286.0</v>
      </c>
      <c r="U260" s="32" t="n">
        <f>203000</f>
        <v>203000.0</v>
      </c>
      <c r="V260" s="32" t="n">
        <f>512518039</f>
        <v>5.12518039E8</v>
      </c>
      <c r="W260" s="32" t="n">
        <f>499522100</f>
        <v>4.995221E8</v>
      </c>
      <c r="X260" s="36" t="n">
        <f>22</f>
        <v>22.0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2486</f>
        <v>2486.0</v>
      </c>
      <c r="L261" s="34" t="s">
        <v>48</v>
      </c>
      <c r="M261" s="33" t="n">
        <f>2486</f>
        <v>2486.0</v>
      </c>
      <c r="N261" s="34" t="s">
        <v>48</v>
      </c>
      <c r="O261" s="33" t="n">
        <f>2403</f>
        <v>2403.0</v>
      </c>
      <c r="P261" s="34" t="s">
        <v>132</v>
      </c>
      <c r="Q261" s="33" t="n">
        <f>2445</f>
        <v>2445.0</v>
      </c>
      <c r="R261" s="34" t="s">
        <v>51</v>
      </c>
      <c r="S261" s="35" t="n">
        <f>2437.68</f>
        <v>2437.68</v>
      </c>
      <c r="T261" s="32" t="n">
        <f>27560</f>
        <v>27560.0</v>
      </c>
      <c r="U261" s="32" t="str">
        <f>"－"</f>
        <v>－</v>
      </c>
      <c r="V261" s="32" t="n">
        <f>67067715</f>
        <v>6.7067715E7</v>
      </c>
      <c r="W261" s="32" t="str">
        <f>"－"</f>
        <v>－</v>
      </c>
      <c r="X261" s="36" t="n">
        <f>22</f>
        <v>22.0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2569</f>
        <v>2569.0</v>
      </c>
      <c r="L262" s="34" t="s">
        <v>48</v>
      </c>
      <c r="M262" s="33" t="n">
        <f>3000</f>
        <v>3000.0</v>
      </c>
      <c r="N262" s="34" t="s">
        <v>221</v>
      </c>
      <c r="O262" s="33" t="n">
        <f>2549</f>
        <v>2549.0</v>
      </c>
      <c r="P262" s="34" t="s">
        <v>48</v>
      </c>
      <c r="Q262" s="33" t="n">
        <f>2621</f>
        <v>2621.0</v>
      </c>
      <c r="R262" s="34" t="s">
        <v>51</v>
      </c>
      <c r="S262" s="35" t="n">
        <f>2603.1</f>
        <v>2603.1</v>
      </c>
      <c r="T262" s="32" t="n">
        <f>141229</f>
        <v>141229.0</v>
      </c>
      <c r="U262" s="32" t="n">
        <f>140000</f>
        <v>140000.0</v>
      </c>
      <c r="V262" s="32" t="n">
        <f>364942175</f>
        <v>3.64942175E8</v>
      </c>
      <c r="W262" s="32" t="n">
        <f>361738650</f>
        <v>3.6173865E8</v>
      </c>
      <c r="X262" s="36" t="n">
        <f>21</f>
        <v>21.0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2522</f>
        <v>2522.0</v>
      </c>
      <c r="L263" s="34" t="s">
        <v>48</v>
      </c>
      <c r="M263" s="33" t="n">
        <f>2559</f>
        <v>2559.0</v>
      </c>
      <c r="N263" s="34" t="s">
        <v>132</v>
      </c>
      <c r="O263" s="33" t="n">
        <f>2522</f>
        <v>2522.0</v>
      </c>
      <c r="P263" s="34" t="s">
        <v>48</v>
      </c>
      <c r="Q263" s="33" t="n">
        <f>2537</f>
        <v>2537.0</v>
      </c>
      <c r="R263" s="34" t="s">
        <v>51</v>
      </c>
      <c r="S263" s="35" t="n">
        <f>2539</f>
        <v>2539.0</v>
      </c>
      <c r="T263" s="32" t="n">
        <f>1684</f>
        <v>1684.0</v>
      </c>
      <c r="U263" s="32" t="str">
        <f>"－"</f>
        <v>－</v>
      </c>
      <c r="V263" s="32" t="n">
        <f>4285967</f>
        <v>4285967.0</v>
      </c>
      <c r="W263" s="32" t="str">
        <f>"－"</f>
        <v>－</v>
      </c>
      <c r="X263" s="36" t="n">
        <f>20</f>
        <v>20.0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2664</f>
        <v>2664.0</v>
      </c>
      <c r="L264" s="34" t="s">
        <v>48</v>
      </c>
      <c r="M264" s="33" t="n">
        <f>2762</f>
        <v>2762.0</v>
      </c>
      <c r="N264" s="34" t="s">
        <v>51</v>
      </c>
      <c r="O264" s="33" t="n">
        <f>2638</f>
        <v>2638.0</v>
      </c>
      <c r="P264" s="34" t="s">
        <v>86</v>
      </c>
      <c r="Q264" s="33" t="n">
        <f>2750</f>
        <v>2750.0</v>
      </c>
      <c r="R264" s="34" t="s">
        <v>51</v>
      </c>
      <c r="S264" s="35" t="n">
        <f>2677.45</f>
        <v>2677.45</v>
      </c>
      <c r="T264" s="32" t="n">
        <f>107804</f>
        <v>107804.0</v>
      </c>
      <c r="U264" s="32" t="str">
        <f>"－"</f>
        <v>－</v>
      </c>
      <c r="V264" s="32" t="n">
        <f>292776320</f>
        <v>2.9277632E8</v>
      </c>
      <c r="W264" s="32" t="str">
        <f>"－"</f>
        <v>－</v>
      </c>
      <c r="X264" s="36" t="n">
        <f>22</f>
        <v>22.0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1767</f>
        <v>1767.0</v>
      </c>
      <c r="L265" s="34" t="s">
        <v>48</v>
      </c>
      <c r="M265" s="33" t="n">
        <f>1970</f>
        <v>1970.0</v>
      </c>
      <c r="N265" s="34" t="s">
        <v>49</v>
      </c>
      <c r="O265" s="33" t="n">
        <f>1753</f>
        <v>1753.0</v>
      </c>
      <c r="P265" s="34" t="s">
        <v>50</v>
      </c>
      <c r="Q265" s="33" t="n">
        <f>1808</f>
        <v>1808.0</v>
      </c>
      <c r="R265" s="34" t="s">
        <v>51</v>
      </c>
      <c r="S265" s="35" t="n">
        <f>1784.18</f>
        <v>1784.18</v>
      </c>
      <c r="T265" s="32" t="n">
        <f>242566</f>
        <v>242566.0</v>
      </c>
      <c r="U265" s="32" t="str">
        <f>"－"</f>
        <v>－</v>
      </c>
      <c r="V265" s="32" t="n">
        <f>450597071</f>
        <v>4.50597071E8</v>
      </c>
      <c r="W265" s="32" t="str">
        <f>"－"</f>
        <v>－</v>
      </c>
      <c r="X265" s="36" t="n">
        <f>22</f>
        <v>22.0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113500</f>
        <v>113500.0</v>
      </c>
      <c r="L266" s="34" t="s">
        <v>48</v>
      </c>
      <c r="M266" s="33" t="n">
        <f>120500</f>
        <v>120500.0</v>
      </c>
      <c r="N266" s="34" t="s">
        <v>51</v>
      </c>
      <c r="O266" s="33" t="n">
        <f>110600</f>
        <v>110600.0</v>
      </c>
      <c r="P266" s="34" t="s">
        <v>179</v>
      </c>
      <c r="Q266" s="33" t="n">
        <f>120000</f>
        <v>120000.0</v>
      </c>
      <c r="R266" s="34" t="s">
        <v>51</v>
      </c>
      <c r="S266" s="35" t="n">
        <f>113977.27</f>
        <v>113977.27</v>
      </c>
      <c r="T266" s="32" t="n">
        <f>18815</f>
        <v>18815.0</v>
      </c>
      <c r="U266" s="32" t="n">
        <f>1785</f>
        <v>1785.0</v>
      </c>
      <c r="V266" s="32" t="n">
        <f>2144239716</f>
        <v>2.144239716E9</v>
      </c>
      <c r="W266" s="32" t="n">
        <f>202846116</f>
        <v>2.02846116E8</v>
      </c>
      <c r="X266" s="36" t="n">
        <f>22</f>
        <v>22.0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632</v>
      </c>
      <c r="J267" s="32" t="n">
        <v>1.0</v>
      </c>
      <c r="K267" s="33" t="n">
        <f>97700</f>
        <v>97700.0</v>
      </c>
      <c r="L267" s="34" t="s">
        <v>48</v>
      </c>
      <c r="M267" s="33" t="n">
        <f>99600</f>
        <v>99600.0</v>
      </c>
      <c r="N267" s="34" t="s">
        <v>172</v>
      </c>
      <c r="O267" s="33" t="n">
        <f>93400</f>
        <v>93400.0</v>
      </c>
      <c r="P267" s="34" t="s">
        <v>86</v>
      </c>
      <c r="Q267" s="33" t="n">
        <f>98300</f>
        <v>98300.0</v>
      </c>
      <c r="R267" s="34" t="s">
        <v>51</v>
      </c>
      <c r="S267" s="35" t="n">
        <f>96436.36</f>
        <v>96436.36</v>
      </c>
      <c r="T267" s="32" t="n">
        <f>21760</f>
        <v>21760.0</v>
      </c>
      <c r="U267" s="32" t="n">
        <f>3758</f>
        <v>3758.0</v>
      </c>
      <c r="V267" s="32" t="n">
        <f>2095808284</f>
        <v>2.095808284E9</v>
      </c>
      <c r="W267" s="32" t="n">
        <f>362289384</f>
        <v>3.62289384E8</v>
      </c>
      <c r="X267" s="36" t="n">
        <f>22</f>
        <v>22.0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632</v>
      </c>
      <c r="J268" s="32" t="n">
        <v>1.0</v>
      </c>
      <c r="K268" s="33" t="n">
        <f>124600</f>
        <v>124600.0</v>
      </c>
      <c r="L268" s="34" t="s">
        <v>48</v>
      </c>
      <c r="M268" s="33" t="n">
        <f>126300</f>
        <v>126300.0</v>
      </c>
      <c r="N268" s="34" t="s">
        <v>51</v>
      </c>
      <c r="O268" s="33" t="n">
        <f>117000</f>
        <v>117000.0</v>
      </c>
      <c r="P268" s="34" t="s">
        <v>132</v>
      </c>
      <c r="Q268" s="33" t="n">
        <f>126100</f>
        <v>126100.0</v>
      </c>
      <c r="R268" s="34" t="s">
        <v>51</v>
      </c>
      <c r="S268" s="35" t="n">
        <f>121359.09</f>
        <v>121359.09</v>
      </c>
      <c r="T268" s="32" t="n">
        <f>111457</f>
        <v>111457.0</v>
      </c>
      <c r="U268" s="32" t="n">
        <f>16238</f>
        <v>16238.0</v>
      </c>
      <c r="V268" s="32" t="n">
        <f>13527718914</f>
        <v>1.3527718914E10</v>
      </c>
      <c r="W268" s="32" t="n">
        <f>1997077014</f>
        <v>1.997077014E9</v>
      </c>
      <c r="X268" s="36" t="n">
        <f>22</f>
        <v>22.0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576000</f>
        <v>576000.0</v>
      </c>
      <c r="L269" s="34" t="s">
        <v>48</v>
      </c>
      <c r="M269" s="33" t="n">
        <f>590000</f>
        <v>590000.0</v>
      </c>
      <c r="N269" s="34" t="s">
        <v>48</v>
      </c>
      <c r="O269" s="33" t="n">
        <f>537000</f>
        <v>537000.0</v>
      </c>
      <c r="P269" s="34" t="s">
        <v>50</v>
      </c>
      <c r="Q269" s="33" t="n">
        <f>580000</f>
        <v>580000.0</v>
      </c>
      <c r="R269" s="34" t="s">
        <v>51</v>
      </c>
      <c r="S269" s="35" t="n">
        <f>558954.55</f>
        <v>558954.55</v>
      </c>
      <c r="T269" s="32" t="n">
        <f>71762</f>
        <v>71762.0</v>
      </c>
      <c r="U269" s="32" t="n">
        <f>11631</f>
        <v>11631.0</v>
      </c>
      <c r="V269" s="32" t="n">
        <f>39935210907</f>
        <v>3.9935210907E10</v>
      </c>
      <c r="W269" s="32" t="n">
        <f>6469302907</f>
        <v>6.469302907E9</v>
      </c>
      <c r="X269" s="36" t="n">
        <f>22</f>
        <v>22.0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83000</f>
        <v>83000.0</v>
      </c>
      <c r="L270" s="34" t="s">
        <v>48</v>
      </c>
      <c r="M270" s="33" t="n">
        <f>93900</f>
        <v>93900.0</v>
      </c>
      <c r="N270" s="34" t="s">
        <v>51</v>
      </c>
      <c r="O270" s="33" t="n">
        <f>83000</f>
        <v>83000.0</v>
      </c>
      <c r="P270" s="34" t="s">
        <v>48</v>
      </c>
      <c r="Q270" s="33" t="n">
        <f>93900</f>
        <v>93900.0</v>
      </c>
      <c r="R270" s="34" t="s">
        <v>51</v>
      </c>
      <c r="S270" s="35" t="n">
        <f>88104.55</f>
        <v>88104.55</v>
      </c>
      <c r="T270" s="32" t="n">
        <f>235253</f>
        <v>235253.0</v>
      </c>
      <c r="U270" s="32" t="n">
        <f>29644</f>
        <v>29644.0</v>
      </c>
      <c r="V270" s="32" t="n">
        <f>20764587398</f>
        <v>2.0764587398E10</v>
      </c>
      <c r="W270" s="32" t="n">
        <f>2615411498</f>
        <v>2.615411498E9</v>
      </c>
      <c r="X270" s="36" t="n">
        <f>22</f>
        <v>22.0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138900</f>
        <v>138900.0</v>
      </c>
      <c r="L271" s="34" t="s">
        <v>48</v>
      </c>
      <c r="M271" s="33" t="n">
        <f>142900</f>
        <v>142900.0</v>
      </c>
      <c r="N271" s="34" t="s">
        <v>49</v>
      </c>
      <c r="O271" s="33" t="n">
        <f>134000</f>
        <v>134000.0</v>
      </c>
      <c r="P271" s="34" t="s">
        <v>97</v>
      </c>
      <c r="Q271" s="33" t="n">
        <f>142300</f>
        <v>142300.0</v>
      </c>
      <c r="R271" s="34" t="s">
        <v>51</v>
      </c>
      <c r="S271" s="35" t="n">
        <f>138095.45</f>
        <v>138095.45</v>
      </c>
      <c r="T271" s="32" t="n">
        <f>129967</f>
        <v>129967.0</v>
      </c>
      <c r="U271" s="32" t="n">
        <f>26860</f>
        <v>26860.0</v>
      </c>
      <c r="V271" s="32" t="n">
        <f>17920570790</f>
        <v>1.792057079E10</v>
      </c>
      <c r="W271" s="32" t="n">
        <f>3710769290</f>
        <v>3.71076929E9</v>
      </c>
      <c r="X271" s="36" t="n">
        <f>22</f>
        <v>22.0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175900</f>
        <v>175900.0</v>
      </c>
      <c r="L272" s="34" t="s">
        <v>48</v>
      </c>
      <c r="M272" s="33" t="n">
        <f>190800</f>
        <v>190800.0</v>
      </c>
      <c r="N272" s="34" t="s">
        <v>51</v>
      </c>
      <c r="O272" s="33" t="n">
        <f>169500</f>
        <v>169500.0</v>
      </c>
      <c r="P272" s="34" t="s">
        <v>50</v>
      </c>
      <c r="Q272" s="33" t="n">
        <f>190500</f>
        <v>190500.0</v>
      </c>
      <c r="R272" s="34" t="s">
        <v>51</v>
      </c>
      <c r="S272" s="35" t="n">
        <f>178086.36</f>
        <v>178086.36</v>
      </c>
      <c r="T272" s="32" t="n">
        <f>136187</f>
        <v>136187.0</v>
      </c>
      <c r="U272" s="32" t="n">
        <f>26032</f>
        <v>26032.0</v>
      </c>
      <c r="V272" s="32" t="n">
        <f>24190494194</f>
        <v>2.4190494194E10</v>
      </c>
      <c r="W272" s="32" t="n">
        <f>4618214394</f>
        <v>4.618214394E9</v>
      </c>
      <c r="X272" s="36" t="n">
        <f>22</f>
        <v>22.0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302500</f>
        <v>302500.0</v>
      </c>
      <c r="L273" s="34" t="s">
        <v>48</v>
      </c>
      <c r="M273" s="33" t="n">
        <f>312000</f>
        <v>312000.0</v>
      </c>
      <c r="N273" s="34" t="s">
        <v>49</v>
      </c>
      <c r="O273" s="33" t="n">
        <f>287700</f>
        <v>287700.0</v>
      </c>
      <c r="P273" s="34" t="s">
        <v>50</v>
      </c>
      <c r="Q273" s="33" t="n">
        <f>309500</f>
        <v>309500.0</v>
      </c>
      <c r="R273" s="34" t="s">
        <v>51</v>
      </c>
      <c r="S273" s="35" t="n">
        <f>299954.55</f>
        <v>299954.55</v>
      </c>
      <c r="T273" s="32" t="n">
        <f>112261</f>
        <v>112261.0</v>
      </c>
      <c r="U273" s="32" t="n">
        <f>18018</f>
        <v>18018.0</v>
      </c>
      <c r="V273" s="32" t="n">
        <f>33569152847</f>
        <v>3.3569152847E10</v>
      </c>
      <c r="W273" s="32" t="n">
        <f>5402490447</f>
        <v>5.402490447E9</v>
      </c>
      <c r="X273" s="36" t="n">
        <f>22</f>
        <v>22.0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179100</f>
        <v>179100.0</v>
      </c>
      <c r="L274" s="34" t="s">
        <v>48</v>
      </c>
      <c r="M274" s="33" t="n">
        <f>190200</f>
        <v>190200.0</v>
      </c>
      <c r="N274" s="34" t="s">
        <v>51</v>
      </c>
      <c r="O274" s="33" t="n">
        <f>172100</f>
        <v>172100.0</v>
      </c>
      <c r="P274" s="34" t="s">
        <v>61</v>
      </c>
      <c r="Q274" s="33" t="n">
        <f>189500</f>
        <v>189500.0</v>
      </c>
      <c r="R274" s="34" t="s">
        <v>51</v>
      </c>
      <c r="S274" s="35" t="n">
        <f>178818.18</f>
        <v>178818.18</v>
      </c>
      <c r="T274" s="32" t="n">
        <f>80626</f>
        <v>80626.0</v>
      </c>
      <c r="U274" s="32" t="n">
        <f>10543</f>
        <v>10543.0</v>
      </c>
      <c r="V274" s="32" t="n">
        <f>14331233775</f>
        <v>1.4331233775E10</v>
      </c>
      <c r="W274" s="32" t="n">
        <f>1875416475</f>
        <v>1.875416475E9</v>
      </c>
      <c r="X274" s="36" t="n">
        <f>22</f>
        <v>22.0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390500</f>
        <v>390500.0</v>
      </c>
      <c r="L275" s="34" t="s">
        <v>48</v>
      </c>
      <c r="M275" s="33" t="n">
        <f>436000</f>
        <v>436000.0</v>
      </c>
      <c r="N275" s="34" t="s">
        <v>51</v>
      </c>
      <c r="O275" s="33" t="n">
        <f>390500</f>
        <v>390500.0</v>
      </c>
      <c r="P275" s="34" t="s">
        <v>48</v>
      </c>
      <c r="Q275" s="33" t="n">
        <f>435500</f>
        <v>435500.0</v>
      </c>
      <c r="R275" s="34" t="s">
        <v>51</v>
      </c>
      <c r="S275" s="35" t="n">
        <f>409204.55</f>
        <v>409204.55</v>
      </c>
      <c r="T275" s="32" t="n">
        <f>72075</f>
        <v>72075.0</v>
      </c>
      <c r="U275" s="32" t="n">
        <f>13045</f>
        <v>13045.0</v>
      </c>
      <c r="V275" s="32" t="n">
        <f>29331504674</f>
        <v>2.9331504674E10</v>
      </c>
      <c r="W275" s="32" t="n">
        <f>5326672174</f>
        <v>5.326672174E9</v>
      </c>
      <c r="X275" s="36" t="n">
        <f>22</f>
        <v>22.0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156300</f>
        <v>156300.0</v>
      </c>
      <c r="L276" s="34" t="s">
        <v>48</v>
      </c>
      <c r="M276" s="33" t="n">
        <f>162900</f>
        <v>162900.0</v>
      </c>
      <c r="N276" s="34" t="s">
        <v>51</v>
      </c>
      <c r="O276" s="33" t="n">
        <f>153400</f>
        <v>153400.0</v>
      </c>
      <c r="P276" s="34" t="s">
        <v>255</v>
      </c>
      <c r="Q276" s="33" t="n">
        <f>162600</f>
        <v>162600.0</v>
      </c>
      <c r="R276" s="34" t="s">
        <v>51</v>
      </c>
      <c r="S276" s="35" t="n">
        <f>158040.91</f>
        <v>158040.91</v>
      </c>
      <c r="T276" s="32" t="n">
        <f>883646</f>
        <v>883646.0</v>
      </c>
      <c r="U276" s="32" t="n">
        <f>120338</f>
        <v>120338.0</v>
      </c>
      <c r="V276" s="32" t="n">
        <f>139237333226</f>
        <v>1.39237333226E11</v>
      </c>
      <c r="W276" s="32" t="n">
        <f>18994196526</f>
        <v>1.8994196526E10</v>
      </c>
      <c r="X276" s="36" t="n">
        <f>22</f>
        <v>22.0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291600</f>
        <v>291600.0</v>
      </c>
      <c r="L277" s="34" t="s">
        <v>48</v>
      </c>
      <c r="M277" s="33" t="n">
        <f>298600</f>
        <v>298600.0</v>
      </c>
      <c r="N277" s="34" t="s">
        <v>51</v>
      </c>
      <c r="O277" s="33" t="n">
        <f>277200</f>
        <v>277200.0</v>
      </c>
      <c r="P277" s="34" t="s">
        <v>50</v>
      </c>
      <c r="Q277" s="33" t="n">
        <f>297300</f>
        <v>297300.0</v>
      </c>
      <c r="R277" s="34" t="s">
        <v>51</v>
      </c>
      <c r="S277" s="35" t="n">
        <f>285868.18</f>
        <v>285868.18</v>
      </c>
      <c r="T277" s="32" t="n">
        <f>57015</f>
        <v>57015.0</v>
      </c>
      <c r="U277" s="32" t="n">
        <f>10734</f>
        <v>10734.0</v>
      </c>
      <c r="V277" s="32" t="n">
        <f>16288331374</f>
        <v>1.6288331374E10</v>
      </c>
      <c r="W277" s="32" t="n">
        <f>3070315474</f>
        <v>3.070315474E9</v>
      </c>
      <c r="X277" s="36" t="n">
        <f>22</f>
        <v>22.0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324000</f>
        <v>324000.0</v>
      </c>
      <c r="L278" s="34" t="s">
        <v>48</v>
      </c>
      <c r="M278" s="33" t="n">
        <f>331000</f>
        <v>331000.0</v>
      </c>
      <c r="N278" s="34" t="s">
        <v>48</v>
      </c>
      <c r="O278" s="33" t="n">
        <f>304500</f>
        <v>304500.0</v>
      </c>
      <c r="P278" s="34" t="s">
        <v>61</v>
      </c>
      <c r="Q278" s="33" t="n">
        <f>322000</f>
        <v>322000.0</v>
      </c>
      <c r="R278" s="34" t="s">
        <v>51</v>
      </c>
      <c r="S278" s="35" t="n">
        <f>316704.55</f>
        <v>316704.55</v>
      </c>
      <c r="T278" s="32" t="n">
        <f>231069</f>
        <v>231069.0</v>
      </c>
      <c r="U278" s="32" t="n">
        <f>47160</f>
        <v>47160.0</v>
      </c>
      <c r="V278" s="32" t="n">
        <f>73134829497</f>
        <v>7.3134829497E10</v>
      </c>
      <c r="W278" s="32" t="n">
        <f>14935457497</f>
        <v>1.4935457497E10</v>
      </c>
      <c r="X278" s="36" t="n">
        <f>22</f>
        <v>22.0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501000</f>
        <v>501000.0</v>
      </c>
      <c r="L279" s="34" t="s">
        <v>48</v>
      </c>
      <c r="M279" s="33" t="n">
        <f>505000</f>
        <v>505000.0</v>
      </c>
      <c r="N279" s="34" t="s">
        <v>48</v>
      </c>
      <c r="O279" s="33" t="n">
        <f>481500</f>
        <v>481500.0</v>
      </c>
      <c r="P279" s="34" t="s">
        <v>86</v>
      </c>
      <c r="Q279" s="33" t="n">
        <f>503000</f>
        <v>503000.0</v>
      </c>
      <c r="R279" s="34" t="s">
        <v>51</v>
      </c>
      <c r="S279" s="35" t="n">
        <f>498045.45</f>
        <v>498045.45</v>
      </c>
      <c r="T279" s="32" t="n">
        <f>35687</f>
        <v>35687.0</v>
      </c>
      <c r="U279" s="32" t="n">
        <f>5718</f>
        <v>5718.0</v>
      </c>
      <c r="V279" s="32" t="n">
        <f>17750392894</f>
        <v>1.7750392894E10</v>
      </c>
      <c r="W279" s="32" t="n">
        <f>2847108394</f>
        <v>2.847108394E9</v>
      </c>
      <c r="X279" s="36" t="n">
        <f>22</f>
        <v>22.0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246700</f>
        <v>246700.0</v>
      </c>
      <c r="L280" s="34" t="s">
        <v>48</v>
      </c>
      <c r="M280" s="33" t="n">
        <f>263700</f>
        <v>263700.0</v>
      </c>
      <c r="N280" s="34" t="s">
        <v>51</v>
      </c>
      <c r="O280" s="33" t="n">
        <f>243000</f>
        <v>243000.0</v>
      </c>
      <c r="P280" s="34" t="s">
        <v>61</v>
      </c>
      <c r="Q280" s="33" t="n">
        <f>262100</f>
        <v>262100.0</v>
      </c>
      <c r="R280" s="34" t="s">
        <v>51</v>
      </c>
      <c r="S280" s="35" t="n">
        <f>249681.82</f>
        <v>249681.82</v>
      </c>
      <c r="T280" s="32" t="n">
        <f>15597</f>
        <v>15597.0</v>
      </c>
      <c r="U280" s="32" t="n">
        <f>1435</f>
        <v>1435.0</v>
      </c>
      <c r="V280" s="32" t="n">
        <f>3893624030</f>
        <v>3.89362403E9</v>
      </c>
      <c r="W280" s="32" t="n">
        <f>357413630</f>
        <v>3.5741363E8</v>
      </c>
      <c r="X280" s="36" t="n">
        <f>22</f>
        <v>22.0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123300</f>
        <v>123300.0</v>
      </c>
      <c r="L281" s="34" t="s">
        <v>48</v>
      </c>
      <c r="M281" s="33" t="n">
        <f>132000</f>
        <v>132000.0</v>
      </c>
      <c r="N281" s="34" t="s">
        <v>49</v>
      </c>
      <c r="O281" s="33" t="n">
        <f>121400</f>
        <v>121400.0</v>
      </c>
      <c r="P281" s="34" t="s">
        <v>61</v>
      </c>
      <c r="Q281" s="33" t="n">
        <f>132000</f>
        <v>132000.0</v>
      </c>
      <c r="R281" s="34" t="s">
        <v>51</v>
      </c>
      <c r="S281" s="35" t="n">
        <f>125990.91</f>
        <v>125990.91</v>
      </c>
      <c r="T281" s="32" t="n">
        <f>140725</f>
        <v>140725.0</v>
      </c>
      <c r="U281" s="32" t="n">
        <f>22359</f>
        <v>22359.0</v>
      </c>
      <c r="V281" s="32" t="n">
        <f>17689187551</f>
        <v>1.7689187551E10</v>
      </c>
      <c r="W281" s="32" t="n">
        <f>2805909851</f>
        <v>2.805909851E9</v>
      </c>
      <c r="X281" s="36" t="n">
        <f>22</f>
        <v>22.0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142300</f>
        <v>142300.0</v>
      </c>
      <c r="L282" s="34" t="s">
        <v>48</v>
      </c>
      <c r="M282" s="33" t="n">
        <f>154500</f>
        <v>154500.0</v>
      </c>
      <c r="N282" s="34" t="s">
        <v>51</v>
      </c>
      <c r="O282" s="33" t="n">
        <f>141500</f>
        <v>141500.0</v>
      </c>
      <c r="P282" s="34" t="s">
        <v>48</v>
      </c>
      <c r="Q282" s="33" t="n">
        <f>153900</f>
        <v>153900.0</v>
      </c>
      <c r="R282" s="34" t="s">
        <v>51</v>
      </c>
      <c r="S282" s="35" t="n">
        <f>146018.18</f>
        <v>146018.18</v>
      </c>
      <c r="T282" s="32" t="n">
        <f>103743</f>
        <v>103743.0</v>
      </c>
      <c r="U282" s="32" t="n">
        <f>23850</f>
        <v>23850.0</v>
      </c>
      <c r="V282" s="32" t="n">
        <f>15080192322</f>
        <v>1.5080192322E10</v>
      </c>
      <c r="W282" s="32" t="n">
        <f>3462757122</f>
        <v>3.462757122E9</v>
      </c>
      <c r="X282" s="36" t="n">
        <f>22</f>
        <v>22.0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353000</f>
        <v>353000.0</v>
      </c>
      <c r="L283" s="34" t="s">
        <v>48</v>
      </c>
      <c r="M283" s="33" t="n">
        <f>375500</f>
        <v>375500.0</v>
      </c>
      <c r="N283" s="34" t="s">
        <v>196</v>
      </c>
      <c r="O283" s="33" t="n">
        <f>351000</f>
        <v>351000.0</v>
      </c>
      <c r="P283" s="34" t="s">
        <v>345</v>
      </c>
      <c r="Q283" s="33" t="n">
        <f>370500</f>
        <v>370500.0</v>
      </c>
      <c r="R283" s="34" t="s">
        <v>51</v>
      </c>
      <c r="S283" s="35" t="n">
        <f>362818.18</f>
        <v>362818.18</v>
      </c>
      <c r="T283" s="32" t="n">
        <f>52410</f>
        <v>52410.0</v>
      </c>
      <c r="U283" s="32" t="n">
        <f>7968</f>
        <v>7968.0</v>
      </c>
      <c r="V283" s="32" t="n">
        <f>18977803520</f>
        <v>1.897780352E10</v>
      </c>
      <c r="W283" s="32" t="n">
        <f>2877854020</f>
        <v>2.87785402E9</v>
      </c>
      <c r="X283" s="36" t="n">
        <f>22</f>
        <v>22.0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13760</f>
        <v>13760.0</v>
      </c>
      <c r="L284" s="34" t="s">
        <v>48</v>
      </c>
      <c r="M284" s="33" t="n">
        <f>15180</f>
        <v>15180.0</v>
      </c>
      <c r="N284" s="34" t="s">
        <v>51</v>
      </c>
      <c r="O284" s="33" t="n">
        <f>13450</f>
        <v>13450.0</v>
      </c>
      <c r="P284" s="34" t="s">
        <v>62</v>
      </c>
      <c r="Q284" s="33" t="n">
        <f>15110</f>
        <v>15110.0</v>
      </c>
      <c r="R284" s="34" t="s">
        <v>51</v>
      </c>
      <c r="S284" s="35" t="n">
        <f>14236.82</f>
        <v>14236.82</v>
      </c>
      <c r="T284" s="32" t="n">
        <f>1126870</f>
        <v>1126870.0</v>
      </c>
      <c r="U284" s="32" t="n">
        <f>179019</f>
        <v>179019.0</v>
      </c>
      <c r="V284" s="32" t="n">
        <f>15967851395</f>
        <v>1.5967851395E10</v>
      </c>
      <c r="W284" s="32" t="n">
        <f>2546448375</f>
        <v>2.546448375E9</v>
      </c>
      <c r="X284" s="36" t="n">
        <f>22</f>
        <v>22.0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74800</f>
        <v>74800.0</v>
      </c>
      <c r="L285" s="34" t="s">
        <v>48</v>
      </c>
      <c r="M285" s="33" t="n">
        <f>78100</f>
        <v>78100.0</v>
      </c>
      <c r="N285" s="34" t="s">
        <v>183</v>
      </c>
      <c r="O285" s="33" t="n">
        <f>72500</f>
        <v>72500.0</v>
      </c>
      <c r="P285" s="34" t="s">
        <v>62</v>
      </c>
      <c r="Q285" s="33" t="n">
        <f>75000</f>
        <v>75000.0</v>
      </c>
      <c r="R285" s="34" t="s">
        <v>51</v>
      </c>
      <c r="S285" s="35" t="n">
        <f>75372.73</f>
        <v>75372.73</v>
      </c>
      <c r="T285" s="32" t="n">
        <f>395717</f>
        <v>395717.0</v>
      </c>
      <c r="U285" s="32" t="n">
        <f>97282</f>
        <v>97282.0</v>
      </c>
      <c r="V285" s="32" t="n">
        <f>29807960750</f>
        <v>2.980796075E10</v>
      </c>
      <c r="W285" s="32" t="n">
        <f>7335530050</f>
        <v>7.33553005E9</v>
      </c>
      <c r="X285" s="36" t="n">
        <f>22</f>
        <v>22.0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632</v>
      </c>
      <c r="J286" s="32" t="n">
        <v>1.0</v>
      </c>
      <c r="K286" s="33" t="n">
        <f>107100</f>
        <v>107100.0</v>
      </c>
      <c r="L286" s="34" t="s">
        <v>48</v>
      </c>
      <c r="M286" s="33" t="n">
        <f>113200</f>
        <v>113200.0</v>
      </c>
      <c r="N286" s="34" t="s">
        <v>51</v>
      </c>
      <c r="O286" s="33" t="n">
        <f>105600</f>
        <v>105600.0</v>
      </c>
      <c r="P286" s="34" t="s">
        <v>172</v>
      </c>
      <c r="Q286" s="33" t="n">
        <f>112800</f>
        <v>112800.0</v>
      </c>
      <c r="R286" s="34" t="s">
        <v>51</v>
      </c>
      <c r="S286" s="35" t="n">
        <f>109268.18</f>
        <v>109268.18</v>
      </c>
      <c r="T286" s="32" t="n">
        <f>34165</f>
        <v>34165.0</v>
      </c>
      <c r="U286" s="32" t="n">
        <f>3556</f>
        <v>3556.0</v>
      </c>
      <c r="V286" s="32" t="n">
        <f>3723767711</f>
        <v>3.723767711E9</v>
      </c>
      <c r="W286" s="32" t="n">
        <f>386383111</f>
        <v>3.86383111E8</v>
      </c>
      <c r="X286" s="36" t="n">
        <f>22</f>
        <v>22.0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229800</f>
        <v>229800.0</v>
      </c>
      <c r="L287" s="34" t="s">
        <v>48</v>
      </c>
      <c r="M287" s="33" t="n">
        <f>251500</f>
        <v>251500.0</v>
      </c>
      <c r="N287" s="34" t="s">
        <v>51</v>
      </c>
      <c r="O287" s="33" t="n">
        <f>229100</f>
        <v>229100.0</v>
      </c>
      <c r="P287" s="34" t="s">
        <v>48</v>
      </c>
      <c r="Q287" s="33" t="n">
        <f>251500</f>
        <v>251500.0</v>
      </c>
      <c r="R287" s="34" t="s">
        <v>51</v>
      </c>
      <c r="S287" s="35" t="n">
        <f>241118.18</f>
        <v>241118.18</v>
      </c>
      <c r="T287" s="32" t="n">
        <f>68388</f>
        <v>68388.0</v>
      </c>
      <c r="U287" s="32" t="n">
        <f>8485</f>
        <v>8485.0</v>
      </c>
      <c r="V287" s="32" t="n">
        <f>16428631483</f>
        <v>1.6428631483E10</v>
      </c>
      <c r="W287" s="32" t="n">
        <f>2032550683</f>
        <v>2.032550683E9</v>
      </c>
      <c r="X287" s="36" t="n">
        <f>22</f>
        <v>22.0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127200</f>
        <v>127200.0</v>
      </c>
      <c r="L288" s="34" t="s">
        <v>48</v>
      </c>
      <c r="M288" s="33" t="n">
        <f>132400</f>
        <v>132400.0</v>
      </c>
      <c r="N288" s="34" t="s">
        <v>51</v>
      </c>
      <c r="O288" s="33" t="n">
        <f>123600</f>
        <v>123600.0</v>
      </c>
      <c r="P288" s="34" t="s">
        <v>50</v>
      </c>
      <c r="Q288" s="33" t="n">
        <f>132100</f>
        <v>132100.0</v>
      </c>
      <c r="R288" s="34" t="s">
        <v>51</v>
      </c>
      <c r="S288" s="35" t="n">
        <f>126736.36</f>
        <v>126736.36</v>
      </c>
      <c r="T288" s="32" t="n">
        <f>18094</f>
        <v>18094.0</v>
      </c>
      <c r="U288" s="32" t="n">
        <f>2908</f>
        <v>2908.0</v>
      </c>
      <c r="V288" s="32" t="n">
        <f>2293383771</f>
        <v>2.293383771E9</v>
      </c>
      <c r="W288" s="32" t="n">
        <f>367524971</f>
        <v>3.67524971E8</v>
      </c>
      <c r="X288" s="36" t="n">
        <f>22</f>
        <v>22.0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632</v>
      </c>
      <c r="J289" s="32" t="n">
        <v>1.0</v>
      </c>
      <c r="K289" s="33" t="n">
        <f>105700</f>
        <v>105700.0</v>
      </c>
      <c r="L289" s="34" t="s">
        <v>48</v>
      </c>
      <c r="M289" s="33" t="n">
        <f>109100</f>
        <v>109100.0</v>
      </c>
      <c r="N289" s="34" t="s">
        <v>51</v>
      </c>
      <c r="O289" s="33" t="n">
        <f>102300</f>
        <v>102300.0</v>
      </c>
      <c r="P289" s="34" t="s">
        <v>50</v>
      </c>
      <c r="Q289" s="33" t="n">
        <f>108800</f>
        <v>108800.0</v>
      </c>
      <c r="R289" s="34" t="s">
        <v>51</v>
      </c>
      <c r="S289" s="35" t="n">
        <f>105200</f>
        <v>105200.0</v>
      </c>
      <c r="T289" s="32" t="n">
        <f>28336</f>
        <v>28336.0</v>
      </c>
      <c r="U289" s="32" t="n">
        <f>2311</f>
        <v>2311.0</v>
      </c>
      <c r="V289" s="32" t="n">
        <f>2983989683</f>
        <v>2.983989683E9</v>
      </c>
      <c r="W289" s="32" t="n">
        <f>243461383</f>
        <v>2.43461383E8</v>
      </c>
      <c r="X289" s="36" t="n">
        <f>22</f>
        <v>22.0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137100</f>
        <v>137100.0</v>
      </c>
      <c r="L290" s="34" t="s">
        <v>48</v>
      </c>
      <c r="M290" s="33" t="n">
        <f>147800</f>
        <v>147800.0</v>
      </c>
      <c r="N290" s="34" t="s">
        <v>51</v>
      </c>
      <c r="O290" s="33" t="n">
        <f>135500</f>
        <v>135500.0</v>
      </c>
      <c r="P290" s="34" t="s">
        <v>50</v>
      </c>
      <c r="Q290" s="33" t="n">
        <f>147600</f>
        <v>147600.0</v>
      </c>
      <c r="R290" s="34" t="s">
        <v>51</v>
      </c>
      <c r="S290" s="35" t="n">
        <f>139872.73</f>
        <v>139872.73</v>
      </c>
      <c r="T290" s="32" t="n">
        <f>356096</f>
        <v>356096.0</v>
      </c>
      <c r="U290" s="32" t="n">
        <f>62545</f>
        <v>62545.0</v>
      </c>
      <c r="V290" s="32" t="n">
        <f>49688615354</f>
        <v>4.9688615354E10</v>
      </c>
      <c r="W290" s="32" t="n">
        <f>8735719854</f>
        <v>8.735719854E9</v>
      </c>
      <c r="X290" s="36" t="n">
        <f>22</f>
        <v>22.0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632</v>
      </c>
      <c r="J291" s="32" t="n">
        <v>1.0</v>
      </c>
      <c r="K291" s="33" t="n">
        <f>70900</f>
        <v>70900.0</v>
      </c>
      <c r="L291" s="34" t="s">
        <v>48</v>
      </c>
      <c r="M291" s="33" t="n">
        <f>73100</f>
        <v>73100.0</v>
      </c>
      <c r="N291" s="34" t="s">
        <v>61</v>
      </c>
      <c r="O291" s="33" t="n">
        <f>65000</f>
        <v>65000.0</v>
      </c>
      <c r="P291" s="34" t="s">
        <v>196</v>
      </c>
      <c r="Q291" s="33" t="n">
        <f>69000</f>
        <v>69000.0</v>
      </c>
      <c r="R291" s="34" t="s">
        <v>51</v>
      </c>
      <c r="S291" s="35" t="n">
        <f>69495.45</f>
        <v>69495.45</v>
      </c>
      <c r="T291" s="32" t="n">
        <f>31195</f>
        <v>31195.0</v>
      </c>
      <c r="U291" s="32" t="n">
        <f>2695</f>
        <v>2695.0</v>
      </c>
      <c r="V291" s="32" t="n">
        <f>2156826483</f>
        <v>2.156826483E9</v>
      </c>
      <c r="W291" s="32" t="n">
        <f>186565883</f>
        <v>1.86565883E8</v>
      </c>
      <c r="X291" s="36" t="n">
        <f>22</f>
        <v>22.0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156200</f>
        <v>156200.0</v>
      </c>
      <c r="L292" s="34" t="s">
        <v>48</v>
      </c>
      <c r="M292" s="33" t="n">
        <f>166700</f>
        <v>166700.0</v>
      </c>
      <c r="N292" s="34" t="s">
        <v>51</v>
      </c>
      <c r="O292" s="33" t="n">
        <f>148900</f>
        <v>148900.0</v>
      </c>
      <c r="P292" s="34" t="s">
        <v>69</v>
      </c>
      <c r="Q292" s="33" t="n">
        <f>166400</f>
        <v>166400.0</v>
      </c>
      <c r="R292" s="34" t="s">
        <v>51</v>
      </c>
      <c r="S292" s="35" t="n">
        <f>157340.91</f>
        <v>157340.91</v>
      </c>
      <c r="T292" s="32" t="n">
        <f>167976</f>
        <v>167976.0</v>
      </c>
      <c r="U292" s="32" t="n">
        <f>38081</f>
        <v>38081.0</v>
      </c>
      <c r="V292" s="32" t="n">
        <f>26254735130</f>
        <v>2.625473513E10</v>
      </c>
      <c r="W292" s="32" t="n">
        <f>5974483230</f>
        <v>5.97448323E9</v>
      </c>
      <c r="X292" s="36" t="n">
        <f>22</f>
        <v>22.0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632</v>
      </c>
      <c r="J293" s="32" t="n">
        <v>1.0</v>
      </c>
      <c r="K293" s="33" t="n">
        <f>48400</f>
        <v>48400.0</v>
      </c>
      <c r="L293" s="34" t="s">
        <v>48</v>
      </c>
      <c r="M293" s="33" t="n">
        <f>50700</f>
        <v>50700.0</v>
      </c>
      <c r="N293" s="34" t="s">
        <v>51</v>
      </c>
      <c r="O293" s="33" t="n">
        <f>47800</f>
        <v>47800.0</v>
      </c>
      <c r="P293" s="34" t="s">
        <v>345</v>
      </c>
      <c r="Q293" s="33" t="n">
        <f>50400</f>
        <v>50400.0</v>
      </c>
      <c r="R293" s="34" t="s">
        <v>51</v>
      </c>
      <c r="S293" s="35" t="n">
        <f>48618.18</f>
        <v>48618.18</v>
      </c>
      <c r="T293" s="32" t="n">
        <f>106198</f>
        <v>106198.0</v>
      </c>
      <c r="U293" s="32" t="n">
        <f>13176</f>
        <v>13176.0</v>
      </c>
      <c r="V293" s="32" t="n">
        <f>5167007358</f>
        <v>5.167007358E9</v>
      </c>
      <c r="W293" s="32" t="n">
        <f>640392158</f>
        <v>6.40392158E8</v>
      </c>
      <c r="X293" s="36" t="n">
        <f>22</f>
        <v>22.0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632</v>
      </c>
      <c r="J294" s="32" t="n">
        <v>1.0</v>
      </c>
      <c r="K294" s="33" t="n">
        <f>114500</f>
        <v>114500.0</v>
      </c>
      <c r="L294" s="34" t="s">
        <v>48</v>
      </c>
      <c r="M294" s="33" t="n">
        <f>115300</f>
        <v>115300.0</v>
      </c>
      <c r="N294" s="34" t="s">
        <v>196</v>
      </c>
      <c r="O294" s="33" t="n">
        <f>109600</f>
        <v>109600.0</v>
      </c>
      <c r="P294" s="34" t="s">
        <v>49</v>
      </c>
      <c r="Q294" s="33" t="n">
        <f>111100</f>
        <v>111100.0</v>
      </c>
      <c r="R294" s="34" t="s">
        <v>51</v>
      </c>
      <c r="S294" s="35" t="n">
        <f>113704.55</f>
        <v>113704.55</v>
      </c>
      <c r="T294" s="32" t="n">
        <f>12116</f>
        <v>12116.0</v>
      </c>
      <c r="U294" s="32" t="n">
        <f>812</f>
        <v>812.0</v>
      </c>
      <c r="V294" s="32" t="n">
        <f>1374275007</f>
        <v>1.374275007E9</v>
      </c>
      <c r="W294" s="32" t="n">
        <f>92138707</f>
        <v>9.2138707E7</v>
      </c>
      <c r="X294" s="36" t="n">
        <f>22</f>
        <v>22.0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496000</f>
        <v>496000.0</v>
      </c>
      <c r="L295" s="34" t="s">
        <v>48</v>
      </c>
      <c r="M295" s="33" t="n">
        <f>523000</f>
        <v>523000.0</v>
      </c>
      <c r="N295" s="34" t="s">
        <v>51</v>
      </c>
      <c r="O295" s="33" t="n">
        <f>476000</f>
        <v>476000.0</v>
      </c>
      <c r="P295" s="34" t="s">
        <v>132</v>
      </c>
      <c r="Q295" s="33" t="n">
        <f>523000</f>
        <v>523000.0</v>
      </c>
      <c r="R295" s="34" t="s">
        <v>51</v>
      </c>
      <c r="S295" s="35" t="n">
        <f>501113.64</f>
        <v>501113.64</v>
      </c>
      <c r="T295" s="32" t="n">
        <f>58964</f>
        <v>58964.0</v>
      </c>
      <c r="U295" s="32" t="n">
        <f>11172</f>
        <v>11172.0</v>
      </c>
      <c r="V295" s="32" t="n">
        <f>29390911313</f>
        <v>2.9390911313E10</v>
      </c>
      <c r="W295" s="32" t="n">
        <f>5566362313</f>
        <v>5.566362313E9</v>
      </c>
      <c r="X295" s="36" t="n">
        <f>22</f>
        <v>22.0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632</v>
      </c>
      <c r="J296" s="32" t="n">
        <v>1.0</v>
      </c>
      <c r="K296" s="33" t="n">
        <f>69500</f>
        <v>69500.0</v>
      </c>
      <c r="L296" s="34" t="s">
        <v>48</v>
      </c>
      <c r="M296" s="33" t="n">
        <f>71800</f>
        <v>71800.0</v>
      </c>
      <c r="N296" s="34" t="s">
        <v>61</v>
      </c>
      <c r="O296" s="33" t="n">
        <f>66100</f>
        <v>66100.0</v>
      </c>
      <c r="P296" s="34" t="s">
        <v>196</v>
      </c>
      <c r="Q296" s="33" t="n">
        <f>69400</f>
        <v>69400.0</v>
      </c>
      <c r="R296" s="34" t="s">
        <v>51</v>
      </c>
      <c r="S296" s="35" t="n">
        <f>69354.55</f>
        <v>69354.55</v>
      </c>
      <c r="T296" s="32" t="n">
        <f>22488</f>
        <v>22488.0</v>
      </c>
      <c r="U296" s="32" t="n">
        <f>1880</f>
        <v>1880.0</v>
      </c>
      <c r="V296" s="32" t="n">
        <f>1554402861</f>
        <v>1.554402861E9</v>
      </c>
      <c r="W296" s="32" t="n">
        <f>130434961</f>
        <v>1.30434961E8</v>
      </c>
      <c r="X296" s="36" t="n">
        <f>22</f>
        <v>22.0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38250</f>
        <v>38250.0</v>
      </c>
      <c r="L297" s="34" t="s">
        <v>48</v>
      </c>
      <c r="M297" s="33" t="n">
        <f>38800</f>
        <v>38800.0</v>
      </c>
      <c r="N297" s="34" t="s">
        <v>48</v>
      </c>
      <c r="O297" s="33" t="n">
        <f>37100</f>
        <v>37100.0</v>
      </c>
      <c r="P297" s="34" t="s">
        <v>62</v>
      </c>
      <c r="Q297" s="33" t="n">
        <f>38450</f>
        <v>38450.0</v>
      </c>
      <c r="R297" s="34" t="s">
        <v>51</v>
      </c>
      <c r="S297" s="35" t="n">
        <f>37945.45</f>
        <v>37945.45</v>
      </c>
      <c r="T297" s="32" t="n">
        <f>203993</f>
        <v>203993.0</v>
      </c>
      <c r="U297" s="32" t="n">
        <f>18448</f>
        <v>18448.0</v>
      </c>
      <c r="V297" s="32" t="n">
        <f>7746039348</f>
        <v>7.746039348E9</v>
      </c>
      <c r="W297" s="32" t="n">
        <f>700529698</f>
        <v>7.00529698E8</v>
      </c>
      <c r="X297" s="36" t="n">
        <f>22</f>
        <v>22.0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114800</f>
        <v>114800.0</v>
      </c>
      <c r="L298" s="34" t="s">
        <v>48</v>
      </c>
      <c r="M298" s="33" t="n">
        <f>118500</f>
        <v>118500.0</v>
      </c>
      <c r="N298" s="34" t="s">
        <v>61</v>
      </c>
      <c r="O298" s="33" t="n">
        <f>110600</f>
        <v>110600.0</v>
      </c>
      <c r="P298" s="34" t="s">
        <v>62</v>
      </c>
      <c r="Q298" s="33" t="n">
        <f>115100</f>
        <v>115100.0</v>
      </c>
      <c r="R298" s="34" t="s">
        <v>51</v>
      </c>
      <c r="S298" s="35" t="n">
        <f>114304.55</f>
        <v>114304.55</v>
      </c>
      <c r="T298" s="32" t="n">
        <f>27363</f>
        <v>27363.0</v>
      </c>
      <c r="U298" s="32" t="n">
        <f>2703</f>
        <v>2703.0</v>
      </c>
      <c r="V298" s="32" t="n">
        <f>3125002290</f>
        <v>3.12500229E9</v>
      </c>
      <c r="W298" s="32" t="n">
        <f>309133890</f>
        <v>3.0913389E8</v>
      </c>
      <c r="X298" s="36" t="n">
        <f>22</f>
        <v>22.0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399000</f>
        <v>399000.0</v>
      </c>
      <c r="L299" s="34" t="s">
        <v>48</v>
      </c>
      <c r="M299" s="33" t="n">
        <f>430000</f>
        <v>430000.0</v>
      </c>
      <c r="N299" s="34" t="s">
        <v>51</v>
      </c>
      <c r="O299" s="33" t="n">
        <f>387500</f>
        <v>387500.0</v>
      </c>
      <c r="P299" s="34" t="s">
        <v>50</v>
      </c>
      <c r="Q299" s="33" t="n">
        <f>430000</f>
        <v>430000.0</v>
      </c>
      <c r="R299" s="34" t="s">
        <v>51</v>
      </c>
      <c r="S299" s="35" t="n">
        <f>404840.91</f>
        <v>404840.91</v>
      </c>
      <c r="T299" s="32" t="n">
        <f>28448</f>
        <v>28448.0</v>
      </c>
      <c r="U299" s="32" t="n">
        <f>4262</f>
        <v>4262.0</v>
      </c>
      <c r="V299" s="32" t="n">
        <f>11498350744</f>
        <v>1.1498350744E10</v>
      </c>
      <c r="W299" s="32" t="n">
        <f>1717738744</f>
        <v>1.717738744E9</v>
      </c>
      <c r="X299" s="36" t="n">
        <f>22</f>
        <v>22.0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155700</f>
        <v>155700.0</v>
      </c>
      <c r="L300" s="34" t="s">
        <v>48</v>
      </c>
      <c r="M300" s="33" t="n">
        <f>159900</f>
        <v>159900.0</v>
      </c>
      <c r="N300" s="34" t="s">
        <v>196</v>
      </c>
      <c r="O300" s="33" t="n">
        <f>150300</f>
        <v>150300.0</v>
      </c>
      <c r="P300" s="34" t="s">
        <v>61</v>
      </c>
      <c r="Q300" s="33" t="n">
        <f>157100</f>
        <v>157100.0</v>
      </c>
      <c r="R300" s="34" t="s">
        <v>51</v>
      </c>
      <c r="S300" s="35" t="n">
        <f>155140.91</f>
        <v>155140.91</v>
      </c>
      <c r="T300" s="32" t="n">
        <f>50984</f>
        <v>50984.0</v>
      </c>
      <c r="U300" s="32" t="n">
        <f>6502</f>
        <v>6502.0</v>
      </c>
      <c r="V300" s="32" t="n">
        <f>7913003466</f>
        <v>7.913003466E9</v>
      </c>
      <c r="W300" s="32" t="n">
        <f>1007274766</f>
        <v>1.007274766E9</v>
      </c>
      <c r="X300" s="36" t="n">
        <f>22</f>
        <v>22.0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632</v>
      </c>
      <c r="J301" s="32" t="n">
        <v>1.0</v>
      </c>
      <c r="K301" s="33" t="n">
        <f>91700</f>
        <v>91700.0</v>
      </c>
      <c r="L301" s="34" t="s">
        <v>48</v>
      </c>
      <c r="M301" s="33" t="n">
        <f>94600</f>
        <v>94600.0</v>
      </c>
      <c r="N301" s="34" t="s">
        <v>51</v>
      </c>
      <c r="O301" s="33" t="n">
        <f>89200</f>
        <v>89200.0</v>
      </c>
      <c r="P301" s="34" t="s">
        <v>62</v>
      </c>
      <c r="Q301" s="33" t="n">
        <f>94500</f>
        <v>94500.0</v>
      </c>
      <c r="R301" s="34" t="s">
        <v>51</v>
      </c>
      <c r="S301" s="35" t="n">
        <f>91559.09</f>
        <v>91559.09</v>
      </c>
      <c r="T301" s="32" t="n">
        <f>19196</f>
        <v>19196.0</v>
      </c>
      <c r="U301" s="32" t="n">
        <f>1482</f>
        <v>1482.0</v>
      </c>
      <c r="V301" s="32" t="n">
        <f>1757387673</f>
        <v>1.757387673E9</v>
      </c>
      <c r="W301" s="32" t="n">
        <f>135850173</f>
        <v>1.35850173E8</v>
      </c>
      <c r="X301" s="36" t="n">
        <f>22</f>
        <v>22.0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89100</f>
        <v>89100.0</v>
      </c>
      <c r="L302" s="34" t="s">
        <v>48</v>
      </c>
      <c r="M302" s="33" t="n">
        <f>92500</f>
        <v>92500.0</v>
      </c>
      <c r="N302" s="34" t="s">
        <v>51</v>
      </c>
      <c r="O302" s="33" t="n">
        <f>87300</f>
        <v>87300.0</v>
      </c>
      <c r="P302" s="34" t="s">
        <v>172</v>
      </c>
      <c r="Q302" s="33" t="n">
        <f>92300</f>
        <v>92300.0</v>
      </c>
      <c r="R302" s="34" t="s">
        <v>51</v>
      </c>
      <c r="S302" s="35" t="n">
        <f>89086.36</f>
        <v>89086.36</v>
      </c>
      <c r="T302" s="32" t="n">
        <f>61666</f>
        <v>61666.0</v>
      </c>
      <c r="U302" s="32" t="n">
        <f>5170</f>
        <v>5170.0</v>
      </c>
      <c r="V302" s="32" t="n">
        <f>5487121250</f>
        <v>5.48712125E9</v>
      </c>
      <c r="W302" s="32" t="n">
        <f>459552550</f>
        <v>4.5955255E8</v>
      </c>
      <c r="X302" s="36" t="n">
        <f>22</f>
        <v>22.0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632</v>
      </c>
      <c r="J303" s="32" t="n">
        <v>1.0</v>
      </c>
      <c r="K303" s="33" t="n">
        <f>129600</f>
        <v>129600.0</v>
      </c>
      <c r="L303" s="34" t="s">
        <v>48</v>
      </c>
      <c r="M303" s="33" t="n">
        <f>133700</f>
        <v>133700.0</v>
      </c>
      <c r="N303" s="34" t="s">
        <v>51</v>
      </c>
      <c r="O303" s="33" t="n">
        <f>125500</f>
        <v>125500.0</v>
      </c>
      <c r="P303" s="34" t="s">
        <v>50</v>
      </c>
      <c r="Q303" s="33" t="n">
        <f>132900</f>
        <v>132900.0</v>
      </c>
      <c r="R303" s="34" t="s">
        <v>51</v>
      </c>
      <c r="S303" s="35" t="n">
        <f>129550</f>
        <v>129550.0</v>
      </c>
      <c r="T303" s="32" t="n">
        <f>74814</f>
        <v>74814.0</v>
      </c>
      <c r="U303" s="32" t="n">
        <f>11713</f>
        <v>11713.0</v>
      </c>
      <c r="V303" s="32" t="n">
        <f>9665513271</f>
        <v>9.665513271E9</v>
      </c>
      <c r="W303" s="32" t="n">
        <f>1513646471</f>
        <v>1.513646471E9</v>
      </c>
      <c r="X303" s="36" t="n">
        <f>22</f>
        <v>22.0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575000</f>
        <v>575000.0</v>
      </c>
      <c r="L304" s="34" t="s">
        <v>48</v>
      </c>
      <c r="M304" s="33" t="n">
        <f>603000</f>
        <v>603000.0</v>
      </c>
      <c r="N304" s="34" t="s">
        <v>196</v>
      </c>
      <c r="O304" s="33" t="n">
        <f>564000</f>
        <v>564000.0</v>
      </c>
      <c r="P304" s="34" t="s">
        <v>69</v>
      </c>
      <c r="Q304" s="33" t="n">
        <f>598000</f>
        <v>598000.0</v>
      </c>
      <c r="R304" s="34" t="s">
        <v>51</v>
      </c>
      <c r="S304" s="35" t="n">
        <f>585454.55</f>
        <v>585454.55</v>
      </c>
      <c r="T304" s="32" t="n">
        <f>196275</f>
        <v>196275.0</v>
      </c>
      <c r="U304" s="32" t="n">
        <f>34267</f>
        <v>34267.0</v>
      </c>
      <c r="V304" s="32" t="n">
        <f>114625535161</f>
        <v>1.14625535161E11</v>
      </c>
      <c r="W304" s="32" t="n">
        <f>20011528161</f>
        <v>2.0011528161E10</v>
      </c>
      <c r="X304" s="36" t="n">
        <f>22</f>
        <v>22.0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542000</f>
        <v>542000.0</v>
      </c>
      <c r="L305" s="34" t="s">
        <v>48</v>
      </c>
      <c r="M305" s="33" t="n">
        <f>599000</f>
        <v>599000.0</v>
      </c>
      <c r="N305" s="34" t="s">
        <v>51</v>
      </c>
      <c r="O305" s="33" t="n">
        <f>531000</f>
        <v>531000.0</v>
      </c>
      <c r="P305" s="34" t="s">
        <v>172</v>
      </c>
      <c r="Q305" s="33" t="n">
        <f>596000</f>
        <v>596000.0</v>
      </c>
      <c r="R305" s="34" t="s">
        <v>51</v>
      </c>
      <c r="S305" s="35" t="n">
        <f>563318.18</f>
        <v>563318.18</v>
      </c>
      <c r="T305" s="32" t="n">
        <f>136646</f>
        <v>136646.0</v>
      </c>
      <c r="U305" s="32" t="n">
        <f>29945</f>
        <v>29945.0</v>
      </c>
      <c r="V305" s="32" t="n">
        <f>76741354305</f>
        <v>7.6741354305E10</v>
      </c>
      <c r="W305" s="32" t="n">
        <f>16868530305</f>
        <v>1.6868530305E10</v>
      </c>
      <c r="X305" s="36" t="n">
        <f>22</f>
        <v>22.0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166600</f>
        <v>166600.0</v>
      </c>
      <c r="L306" s="34" t="s">
        <v>48</v>
      </c>
      <c r="M306" s="33" t="n">
        <f>187700</f>
        <v>187700.0</v>
      </c>
      <c r="N306" s="34" t="s">
        <v>51</v>
      </c>
      <c r="O306" s="33" t="n">
        <f>166100</f>
        <v>166100.0</v>
      </c>
      <c r="P306" s="34" t="s">
        <v>48</v>
      </c>
      <c r="Q306" s="33" t="n">
        <f>187600</f>
        <v>187600.0</v>
      </c>
      <c r="R306" s="34" t="s">
        <v>51</v>
      </c>
      <c r="S306" s="35" t="n">
        <f>177422.73</f>
        <v>177422.73</v>
      </c>
      <c r="T306" s="32" t="n">
        <f>314664</f>
        <v>314664.0</v>
      </c>
      <c r="U306" s="32" t="n">
        <f>57574</f>
        <v>57574.0</v>
      </c>
      <c r="V306" s="32" t="n">
        <f>55646018682</f>
        <v>5.5646018682E10</v>
      </c>
      <c r="W306" s="32" t="n">
        <f>10153203682</f>
        <v>1.0153203682E10</v>
      </c>
      <c r="X306" s="36" t="n">
        <f>22</f>
        <v>22.0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153800</f>
        <v>153800.0</v>
      </c>
      <c r="L307" s="34" t="s">
        <v>48</v>
      </c>
      <c r="M307" s="33" t="n">
        <f>170500</f>
        <v>170500.0</v>
      </c>
      <c r="N307" s="34" t="s">
        <v>51</v>
      </c>
      <c r="O307" s="33" t="n">
        <f>153400</f>
        <v>153400.0</v>
      </c>
      <c r="P307" s="34" t="s">
        <v>48</v>
      </c>
      <c r="Q307" s="33" t="n">
        <f>170500</f>
        <v>170500.0</v>
      </c>
      <c r="R307" s="34" t="s">
        <v>51</v>
      </c>
      <c r="S307" s="35" t="n">
        <f>161709.09</f>
        <v>161709.09</v>
      </c>
      <c r="T307" s="32" t="n">
        <f>211286</f>
        <v>211286.0</v>
      </c>
      <c r="U307" s="32" t="n">
        <f>41050</f>
        <v>41050.0</v>
      </c>
      <c r="V307" s="32" t="n">
        <f>34101780430</f>
        <v>3.410178043E10</v>
      </c>
      <c r="W307" s="32" t="n">
        <f>6613413330</f>
        <v>6.61341333E9</v>
      </c>
      <c r="X307" s="36" t="n">
        <f>22</f>
        <v>22.0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307500</f>
        <v>307500.0</v>
      </c>
      <c r="L308" s="34" t="s">
        <v>48</v>
      </c>
      <c r="M308" s="33" t="n">
        <f>346500</f>
        <v>346500.0</v>
      </c>
      <c r="N308" s="34" t="s">
        <v>196</v>
      </c>
      <c r="O308" s="33" t="n">
        <f>305000</f>
        <v>305000.0</v>
      </c>
      <c r="P308" s="34" t="s">
        <v>48</v>
      </c>
      <c r="Q308" s="33" t="n">
        <f>342000</f>
        <v>342000.0</v>
      </c>
      <c r="R308" s="34" t="s">
        <v>51</v>
      </c>
      <c r="S308" s="35" t="n">
        <f>329522.73</f>
        <v>329522.73</v>
      </c>
      <c r="T308" s="32" t="n">
        <f>155278</f>
        <v>155278.0</v>
      </c>
      <c r="U308" s="32" t="n">
        <f>33150</f>
        <v>33150.0</v>
      </c>
      <c r="V308" s="32" t="n">
        <f>50911246129</f>
        <v>5.0911246129E10</v>
      </c>
      <c r="W308" s="32" t="n">
        <f>10826665629</f>
        <v>1.0826665629E10</v>
      </c>
      <c r="X308" s="36" t="n">
        <f>22</f>
        <v>22.0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120500</f>
        <v>120500.0</v>
      </c>
      <c r="L309" s="34" t="s">
        <v>48</v>
      </c>
      <c r="M309" s="33" t="n">
        <f>127700</f>
        <v>127700.0</v>
      </c>
      <c r="N309" s="34" t="s">
        <v>51</v>
      </c>
      <c r="O309" s="33" t="n">
        <f>117900</f>
        <v>117900.0</v>
      </c>
      <c r="P309" s="34" t="s">
        <v>61</v>
      </c>
      <c r="Q309" s="33" t="n">
        <f>127500</f>
        <v>127500.0</v>
      </c>
      <c r="R309" s="34" t="s">
        <v>51</v>
      </c>
      <c r="S309" s="35" t="n">
        <f>122127.27</f>
        <v>122127.27</v>
      </c>
      <c r="T309" s="32" t="n">
        <f>137102</f>
        <v>137102.0</v>
      </c>
      <c r="U309" s="32" t="n">
        <f>27396</f>
        <v>27396.0</v>
      </c>
      <c r="V309" s="32" t="n">
        <f>16720411067</f>
        <v>1.6720411067E10</v>
      </c>
      <c r="W309" s="32" t="n">
        <f>3344588167</f>
        <v>3.344588167E9</v>
      </c>
      <c r="X309" s="36" t="n">
        <f>22</f>
        <v>22.0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151700</f>
        <v>151700.0</v>
      </c>
      <c r="L310" s="34" t="s">
        <v>48</v>
      </c>
      <c r="M310" s="33" t="n">
        <f>164100</f>
        <v>164100.0</v>
      </c>
      <c r="N310" s="34" t="s">
        <v>51</v>
      </c>
      <c r="O310" s="33" t="n">
        <f>150000</f>
        <v>150000.0</v>
      </c>
      <c r="P310" s="34" t="s">
        <v>345</v>
      </c>
      <c r="Q310" s="33" t="n">
        <f>163600</f>
        <v>163600.0</v>
      </c>
      <c r="R310" s="34" t="s">
        <v>51</v>
      </c>
      <c r="S310" s="35" t="n">
        <f>154922.73</f>
        <v>154922.73</v>
      </c>
      <c r="T310" s="32" t="n">
        <f>60153</f>
        <v>60153.0</v>
      </c>
      <c r="U310" s="32" t="n">
        <f>11530</f>
        <v>11530.0</v>
      </c>
      <c r="V310" s="32" t="n">
        <f>9303028470</f>
        <v>9.30302847E9</v>
      </c>
      <c r="W310" s="32" t="n">
        <f>1779241870</f>
        <v>1.77924187E9</v>
      </c>
      <c r="X310" s="36" t="n">
        <f>22</f>
        <v>22.0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100400</f>
        <v>100400.0</v>
      </c>
      <c r="L311" s="34" t="s">
        <v>48</v>
      </c>
      <c r="M311" s="33" t="n">
        <f>105700</f>
        <v>105700.0</v>
      </c>
      <c r="N311" s="34" t="s">
        <v>51</v>
      </c>
      <c r="O311" s="33" t="n">
        <f>98000</f>
        <v>98000.0</v>
      </c>
      <c r="P311" s="34" t="s">
        <v>345</v>
      </c>
      <c r="Q311" s="33" t="n">
        <f>104700</f>
        <v>104700.0</v>
      </c>
      <c r="R311" s="34" t="s">
        <v>51</v>
      </c>
      <c r="S311" s="35" t="n">
        <f>101472.73</f>
        <v>101472.73</v>
      </c>
      <c r="T311" s="32" t="n">
        <f>65855</f>
        <v>65855.0</v>
      </c>
      <c r="U311" s="32" t="n">
        <f>10800</f>
        <v>10800.0</v>
      </c>
      <c r="V311" s="32" t="n">
        <f>6659617210</f>
        <v>6.65961721E9</v>
      </c>
      <c r="W311" s="32" t="n">
        <f>1093008710</f>
        <v>1.09300871E9</v>
      </c>
      <c r="X311" s="36" t="n">
        <f>22</f>
        <v>22.0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117300</f>
        <v>117300.0</v>
      </c>
      <c r="L312" s="34" t="s">
        <v>48</v>
      </c>
      <c r="M312" s="33" t="n">
        <f>127700</f>
        <v>127700.0</v>
      </c>
      <c r="N312" s="34" t="s">
        <v>51</v>
      </c>
      <c r="O312" s="33" t="n">
        <f>117300</f>
        <v>117300.0</v>
      </c>
      <c r="P312" s="34" t="s">
        <v>48</v>
      </c>
      <c r="Q312" s="33" t="n">
        <f>127600</f>
        <v>127600.0</v>
      </c>
      <c r="R312" s="34" t="s">
        <v>51</v>
      </c>
      <c r="S312" s="35" t="n">
        <f>122731.82</f>
        <v>122731.82</v>
      </c>
      <c r="T312" s="32" t="n">
        <f>349190</f>
        <v>349190.0</v>
      </c>
      <c r="U312" s="32" t="n">
        <f>79760</f>
        <v>79760.0</v>
      </c>
      <c r="V312" s="32" t="n">
        <f>42961030079</f>
        <v>4.2961030079E10</v>
      </c>
      <c r="W312" s="32" t="n">
        <f>9824666879</f>
        <v>9.824666879E9</v>
      </c>
      <c r="X312" s="36" t="n">
        <f>22</f>
        <v>22.0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126900</f>
        <v>126900.0</v>
      </c>
      <c r="L313" s="34" t="s">
        <v>48</v>
      </c>
      <c r="M313" s="33" t="n">
        <f>133200</f>
        <v>133200.0</v>
      </c>
      <c r="N313" s="34" t="s">
        <v>51</v>
      </c>
      <c r="O313" s="33" t="n">
        <f>125700</f>
        <v>125700.0</v>
      </c>
      <c r="P313" s="34" t="s">
        <v>86</v>
      </c>
      <c r="Q313" s="33" t="n">
        <f>133000</f>
        <v>133000.0</v>
      </c>
      <c r="R313" s="34" t="s">
        <v>51</v>
      </c>
      <c r="S313" s="35" t="n">
        <f>128327.27</f>
        <v>128327.27</v>
      </c>
      <c r="T313" s="32" t="n">
        <f>89366</f>
        <v>89366.0</v>
      </c>
      <c r="U313" s="32" t="n">
        <f>13187</f>
        <v>13187.0</v>
      </c>
      <c r="V313" s="32" t="n">
        <f>11451729377</f>
        <v>1.1451729377E10</v>
      </c>
      <c r="W313" s="32" t="n">
        <f>1693156277</f>
        <v>1.693156277E9</v>
      </c>
      <c r="X313" s="36" t="n">
        <f>22</f>
        <v>22.0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30950</f>
        <v>30950.0</v>
      </c>
      <c r="L314" s="34" t="s">
        <v>48</v>
      </c>
      <c r="M314" s="33" t="n">
        <f>35650</f>
        <v>35650.0</v>
      </c>
      <c r="N314" s="34" t="s">
        <v>255</v>
      </c>
      <c r="O314" s="33" t="n">
        <f>30850</f>
        <v>30850.0</v>
      </c>
      <c r="P314" s="34" t="s">
        <v>48</v>
      </c>
      <c r="Q314" s="33" t="n">
        <f>33150</f>
        <v>33150.0</v>
      </c>
      <c r="R314" s="34" t="s">
        <v>51</v>
      </c>
      <c r="S314" s="35" t="n">
        <f>33554.55</f>
        <v>33554.55</v>
      </c>
      <c r="T314" s="32" t="n">
        <f>1219685</f>
        <v>1219685.0</v>
      </c>
      <c r="U314" s="32" t="n">
        <f>160485</f>
        <v>160485.0</v>
      </c>
      <c r="V314" s="32" t="n">
        <f>41116733919</f>
        <v>4.1116733919E10</v>
      </c>
      <c r="W314" s="32" t="n">
        <f>5418053269</f>
        <v>5.418053269E9</v>
      </c>
      <c r="X314" s="36" t="n">
        <f>22</f>
        <v>22.0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378500</f>
        <v>378500.0</v>
      </c>
      <c r="L315" s="34" t="s">
        <v>48</v>
      </c>
      <c r="M315" s="33" t="n">
        <f>414500</f>
        <v>414500.0</v>
      </c>
      <c r="N315" s="34" t="s">
        <v>196</v>
      </c>
      <c r="O315" s="33" t="n">
        <f>373500</f>
        <v>373500.0</v>
      </c>
      <c r="P315" s="34" t="s">
        <v>69</v>
      </c>
      <c r="Q315" s="33" t="n">
        <f>399000</f>
        <v>399000.0</v>
      </c>
      <c r="R315" s="34" t="s">
        <v>51</v>
      </c>
      <c r="S315" s="35" t="n">
        <f>390477.27</f>
        <v>390477.27</v>
      </c>
      <c r="T315" s="32" t="n">
        <f>51348</f>
        <v>51348.0</v>
      </c>
      <c r="U315" s="32" t="n">
        <f>8332</f>
        <v>8332.0</v>
      </c>
      <c r="V315" s="32" t="n">
        <f>20165880832</f>
        <v>2.0165880832E10</v>
      </c>
      <c r="W315" s="32" t="n">
        <f>3263762832</f>
        <v>3.263762832E9</v>
      </c>
      <c r="X315" s="36" t="n">
        <f>22</f>
        <v>22.0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117300</f>
        <v>117300.0</v>
      </c>
      <c r="L316" s="34" t="s">
        <v>48</v>
      </c>
      <c r="M316" s="33" t="n">
        <f>129500</f>
        <v>129500.0</v>
      </c>
      <c r="N316" s="34" t="s">
        <v>51</v>
      </c>
      <c r="O316" s="33" t="n">
        <f>115300</f>
        <v>115300.0</v>
      </c>
      <c r="P316" s="34" t="s">
        <v>69</v>
      </c>
      <c r="Q316" s="33" t="n">
        <f>128600</f>
        <v>128600.0</v>
      </c>
      <c r="R316" s="34" t="s">
        <v>51</v>
      </c>
      <c r="S316" s="35" t="n">
        <f>120381.82</f>
        <v>120381.82</v>
      </c>
      <c r="T316" s="32" t="n">
        <f>99942</f>
        <v>99942.0</v>
      </c>
      <c r="U316" s="32" t="n">
        <f>31359</f>
        <v>31359.0</v>
      </c>
      <c r="V316" s="32" t="n">
        <f>12031184786</f>
        <v>1.2031184786E10</v>
      </c>
      <c r="W316" s="32" t="n">
        <f>3774367186</f>
        <v>3.774367186E9</v>
      </c>
      <c r="X316" s="36" t="n">
        <f>22</f>
        <v>22.0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299900</f>
        <v>299900.0</v>
      </c>
      <c r="L317" s="34" t="s">
        <v>48</v>
      </c>
      <c r="M317" s="33" t="n">
        <f>307000</f>
        <v>307000.0</v>
      </c>
      <c r="N317" s="34" t="s">
        <v>51</v>
      </c>
      <c r="O317" s="33" t="n">
        <f>288100</f>
        <v>288100.0</v>
      </c>
      <c r="P317" s="34" t="s">
        <v>61</v>
      </c>
      <c r="Q317" s="33" t="n">
        <f>304500</f>
        <v>304500.0</v>
      </c>
      <c r="R317" s="34" t="s">
        <v>51</v>
      </c>
      <c r="S317" s="35" t="n">
        <f>297345.45</f>
        <v>297345.45</v>
      </c>
      <c r="T317" s="32" t="n">
        <f>77445</f>
        <v>77445.0</v>
      </c>
      <c r="U317" s="32" t="n">
        <f>12867</f>
        <v>12867.0</v>
      </c>
      <c r="V317" s="32" t="n">
        <f>23016052905</f>
        <v>2.3016052905E10</v>
      </c>
      <c r="W317" s="32" t="n">
        <f>3822209805</f>
        <v>3.822209805E9</v>
      </c>
      <c r="X317" s="36" t="n">
        <f>22</f>
        <v>22.0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139900</f>
        <v>139900.0</v>
      </c>
      <c r="L318" s="34" t="s">
        <v>48</v>
      </c>
      <c r="M318" s="33" t="n">
        <f>153700</f>
        <v>153700.0</v>
      </c>
      <c r="N318" s="34" t="s">
        <v>51</v>
      </c>
      <c r="O318" s="33" t="n">
        <f>138900</f>
        <v>138900.0</v>
      </c>
      <c r="P318" s="34" t="s">
        <v>48</v>
      </c>
      <c r="Q318" s="33" t="n">
        <f>153000</f>
        <v>153000.0</v>
      </c>
      <c r="R318" s="34" t="s">
        <v>51</v>
      </c>
      <c r="S318" s="35" t="n">
        <f>146540.91</f>
        <v>146540.91</v>
      </c>
      <c r="T318" s="32" t="n">
        <f>57533</f>
        <v>57533.0</v>
      </c>
      <c r="U318" s="32" t="n">
        <f>8472</f>
        <v>8472.0</v>
      </c>
      <c r="V318" s="32" t="n">
        <f>8408518258</f>
        <v>8.408518258E9</v>
      </c>
      <c r="W318" s="32" t="n">
        <f>1243719658</f>
        <v>1.243719658E9</v>
      </c>
      <c r="X318" s="36" t="n">
        <f>22</f>
        <v>22.0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662000</f>
        <v>662000.0</v>
      </c>
      <c r="L319" s="34" t="s">
        <v>48</v>
      </c>
      <c r="M319" s="33" t="n">
        <f>701000</f>
        <v>701000.0</v>
      </c>
      <c r="N319" s="34" t="s">
        <v>51</v>
      </c>
      <c r="O319" s="33" t="n">
        <f>647000</f>
        <v>647000.0</v>
      </c>
      <c r="P319" s="34" t="s">
        <v>69</v>
      </c>
      <c r="Q319" s="33" t="n">
        <f>700000</f>
        <v>700000.0</v>
      </c>
      <c r="R319" s="34" t="s">
        <v>51</v>
      </c>
      <c r="S319" s="35" t="n">
        <f>670772.73</f>
        <v>670772.73</v>
      </c>
      <c r="T319" s="32" t="n">
        <f>43976</f>
        <v>43976.0</v>
      </c>
      <c r="U319" s="32" t="n">
        <f>8114</f>
        <v>8114.0</v>
      </c>
      <c r="V319" s="32" t="n">
        <f>29414678485</f>
        <v>2.9414678485E10</v>
      </c>
      <c r="W319" s="32" t="n">
        <f>5429175485</f>
        <v>5.429175485E9</v>
      </c>
      <c r="X319" s="36" t="n">
        <f>22</f>
        <v>22.0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69800</f>
        <v>69800.0</v>
      </c>
      <c r="L320" s="34" t="s">
        <v>48</v>
      </c>
      <c r="M320" s="33" t="n">
        <f>74800</f>
        <v>74800.0</v>
      </c>
      <c r="N320" s="34" t="s">
        <v>51</v>
      </c>
      <c r="O320" s="33" t="n">
        <f>67500</f>
        <v>67500.0</v>
      </c>
      <c r="P320" s="34" t="s">
        <v>345</v>
      </c>
      <c r="Q320" s="33" t="n">
        <f>74400</f>
        <v>74400.0</v>
      </c>
      <c r="R320" s="34" t="s">
        <v>51</v>
      </c>
      <c r="S320" s="35" t="n">
        <f>70600</f>
        <v>70600.0</v>
      </c>
      <c r="T320" s="32" t="n">
        <f>123270</f>
        <v>123270.0</v>
      </c>
      <c r="U320" s="32" t="n">
        <f>21770</f>
        <v>21770.0</v>
      </c>
      <c r="V320" s="32" t="n">
        <f>8673288934</f>
        <v>8.673288934E9</v>
      </c>
      <c r="W320" s="32" t="n">
        <f>1531565834</f>
        <v>1.531565834E9</v>
      </c>
      <c r="X320" s="36" t="n">
        <f>22</f>
        <v>22.0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605000</f>
        <v>605000.0</v>
      </c>
      <c r="L321" s="34" t="s">
        <v>48</v>
      </c>
      <c r="M321" s="33" t="n">
        <f>658000</f>
        <v>658000.0</v>
      </c>
      <c r="N321" s="34" t="s">
        <v>49</v>
      </c>
      <c r="O321" s="33" t="n">
        <f>602000</f>
        <v>602000.0</v>
      </c>
      <c r="P321" s="34" t="s">
        <v>179</v>
      </c>
      <c r="Q321" s="33" t="n">
        <f>656000</f>
        <v>656000.0</v>
      </c>
      <c r="R321" s="34" t="s">
        <v>51</v>
      </c>
      <c r="S321" s="35" t="n">
        <f>622318.18</f>
        <v>622318.18</v>
      </c>
      <c r="T321" s="32" t="n">
        <f>27185</f>
        <v>27185.0</v>
      </c>
      <c r="U321" s="32" t="n">
        <f>5388</f>
        <v>5388.0</v>
      </c>
      <c r="V321" s="32" t="n">
        <f>16873675029</f>
        <v>1.6873675029E10</v>
      </c>
      <c r="W321" s="32" t="n">
        <f>3342057029</f>
        <v>3.342057029E9</v>
      </c>
      <c r="X321" s="36" t="n">
        <f>22</f>
        <v>22.0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121200</f>
        <v>121200.0</v>
      </c>
      <c r="L322" s="34" t="s">
        <v>48</v>
      </c>
      <c r="M322" s="33" t="n">
        <f>128000</f>
        <v>128000.0</v>
      </c>
      <c r="N322" s="34" t="s">
        <v>51</v>
      </c>
      <c r="O322" s="33" t="n">
        <f>120400</f>
        <v>120400.0</v>
      </c>
      <c r="P322" s="34" t="s">
        <v>345</v>
      </c>
      <c r="Q322" s="33" t="n">
        <f>127600</f>
        <v>127600.0</v>
      </c>
      <c r="R322" s="34" t="s">
        <v>51</v>
      </c>
      <c r="S322" s="35" t="n">
        <f>123536.36</f>
        <v>123536.36</v>
      </c>
      <c r="T322" s="32" t="n">
        <f>53505</f>
        <v>53505.0</v>
      </c>
      <c r="U322" s="32" t="n">
        <f>9488</f>
        <v>9488.0</v>
      </c>
      <c r="V322" s="32" t="n">
        <f>6600295998</f>
        <v>6.600295998E9</v>
      </c>
      <c r="W322" s="32" t="n">
        <f>1171146598</f>
        <v>1.171146598E9</v>
      </c>
      <c r="X322" s="36" t="n">
        <f>22</f>
        <v>22.0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632</v>
      </c>
      <c r="J323" s="32" t="n">
        <v>1.0</v>
      </c>
      <c r="K323" s="33" t="n">
        <f>195300</f>
        <v>195300.0</v>
      </c>
      <c r="L323" s="34" t="s">
        <v>48</v>
      </c>
      <c r="M323" s="33" t="n">
        <f>201500</f>
        <v>201500.0</v>
      </c>
      <c r="N323" s="34" t="s">
        <v>51</v>
      </c>
      <c r="O323" s="33" t="n">
        <f>190400</f>
        <v>190400.0</v>
      </c>
      <c r="P323" s="34" t="s">
        <v>345</v>
      </c>
      <c r="Q323" s="33" t="n">
        <f>201400</f>
        <v>201400.0</v>
      </c>
      <c r="R323" s="34" t="s">
        <v>51</v>
      </c>
      <c r="S323" s="35" t="n">
        <f>195140.91</f>
        <v>195140.91</v>
      </c>
      <c r="T323" s="32" t="n">
        <f>17657</f>
        <v>17657.0</v>
      </c>
      <c r="U323" s="32" t="n">
        <f>2871</f>
        <v>2871.0</v>
      </c>
      <c r="V323" s="32" t="n">
        <f>3443052835</f>
        <v>3.443052835E9</v>
      </c>
      <c r="W323" s="32" t="n">
        <f>557763835</f>
        <v>5.57763835E8</v>
      </c>
      <c r="X323" s="36" t="n">
        <f>22</f>
        <v>22.0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250000</f>
        <v>250000.0</v>
      </c>
      <c r="L324" s="34" t="s">
        <v>48</v>
      </c>
      <c r="M324" s="33" t="n">
        <f>256300</f>
        <v>256300.0</v>
      </c>
      <c r="N324" s="34" t="s">
        <v>51</v>
      </c>
      <c r="O324" s="33" t="n">
        <f>240600</f>
        <v>240600.0</v>
      </c>
      <c r="P324" s="34" t="s">
        <v>61</v>
      </c>
      <c r="Q324" s="33" t="n">
        <f>255200</f>
        <v>255200.0</v>
      </c>
      <c r="R324" s="34" t="s">
        <v>51</v>
      </c>
      <c r="S324" s="35" t="n">
        <f>248490.91</f>
        <v>248490.91</v>
      </c>
      <c r="T324" s="32" t="n">
        <f>188914</f>
        <v>188914.0</v>
      </c>
      <c r="U324" s="32" t="n">
        <f>36216</f>
        <v>36216.0</v>
      </c>
      <c r="V324" s="32" t="n">
        <f>46905458179</f>
        <v>4.6905458179E10</v>
      </c>
      <c r="W324" s="32" t="n">
        <f>8974687779</f>
        <v>8.974687779E9</v>
      </c>
      <c r="X324" s="36" t="n">
        <f>22</f>
        <v>22.0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51100</f>
        <v>51100.0</v>
      </c>
      <c r="L325" s="34" t="s">
        <v>48</v>
      </c>
      <c r="M325" s="33" t="n">
        <f>56100</f>
        <v>56100.0</v>
      </c>
      <c r="N325" s="34" t="s">
        <v>50</v>
      </c>
      <c r="O325" s="33" t="n">
        <f>50800</f>
        <v>50800.0</v>
      </c>
      <c r="P325" s="34" t="s">
        <v>196</v>
      </c>
      <c r="Q325" s="33" t="n">
        <f>53000</f>
        <v>53000.0</v>
      </c>
      <c r="R325" s="34" t="s">
        <v>51</v>
      </c>
      <c r="S325" s="35" t="n">
        <f>53159.09</f>
        <v>53159.09</v>
      </c>
      <c r="T325" s="32" t="n">
        <f>807456</f>
        <v>807456.0</v>
      </c>
      <c r="U325" s="32" t="n">
        <f>142609</f>
        <v>142609.0</v>
      </c>
      <c r="V325" s="32" t="n">
        <f>42993106003</f>
        <v>4.2993106003E10</v>
      </c>
      <c r="W325" s="32" t="n">
        <f>7586022703</f>
        <v>7.586022703E9</v>
      </c>
      <c r="X325" s="36" t="n">
        <f>22</f>
        <v>22.0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89800</f>
        <v>89800.0</v>
      </c>
      <c r="L326" s="34" t="s">
        <v>48</v>
      </c>
      <c r="M326" s="33" t="n">
        <f>96000</f>
        <v>96000.0</v>
      </c>
      <c r="N326" s="34" t="s">
        <v>51</v>
      </c>
      <c r="O326" s="33" t="n">
        <f>89600</f>
        <v>89600.0</v>
      </c>
      <c r="P326" s="34" t="s">
        <v>48</v>
      </c>
      <c r="Q326" s="33" t="n">
        <f>95700</f>
        <v>95700.0</v>
      </c>
      <c r="R326" s="34" t="s">
        <v>51</v>
      </c>
      <c r="S326" s="35" t="n">
        <f>92840.91</f>
        <v>92840.91</v>
      </c>
      <c r="T326" s="32" t="n">
        <f>269364</f>
        <v>269364.0</v>
      </c>
      <c r="U326" s="32" t="n">
        <f>50809</f>
        <v>50809.0</v>
      </c>
      <c r="V326" s="32" t="n">
        <f>24863504763</f>
        <v>2.4863504763E10</v>
      </c>
      <c r="W326" s="32" t="n">
        <f>4686709563</f>
        <v>4.686709563E9</v>
      </c>
      <c r="X326" s="36" t="n">
        <f>22</f>
        <v>22.0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124200</f>
        <v>124200.0</v>
      </c>
      <c r="L327" s="34" t="s">
        <v>48</v>
      </c>
      <c r="M327" s="33" t="n">
        <f>128000</f>
        <v>128000.0</v>
      </c>
      <c r="N327" s="34" t="s">
        <v>51</v>
      </c>
      <c r="O327" s="33" t="n">
        <f>119500</f>
        <v>119500.0</v>
      </c>
      <c r="P327" s="34" t="s">
        <v>255</v>
      </c>
      <c r="Q327" s="33" t="n">
        <f>127900</f>
        <v>127900.0</v>
      </c>
      <c r="R327" s="34" t="s">
        <v>51</v>
      </c>
      <c r="S327" s="35" t="n">
        <f>123118.18</f>
        <v>123118.18</v>
      </c>
      <c r="T327" s="32" t="n">
        <f>135196</f>
        <v>135196.0</v>
      </c>
      <c r="U327" s="32" t="n">
        <f>30561</f>
        <v>30561.0</v>
      </c>
      <c r="V327" s="32" t="n">
        <f>16585047878</f>
        <v>1.6585047878E10</v>
      </c>
      <c r="W327" s="32" t="n">
        <f>3745966878</f>
        <v>3.745966878E9</v>
      </c>
      <c r="X327" s="36" t="n">
        <f>22</f>
        <v>22.0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112000</f>
        <v>112000.0</v>
      </c>
      <c r="L328" s="34" t="s">
        <v>48</v>
      </c>
      <c r="M328" s="33" t="n">
        <f>115100</f>
        <v>115100.0</v>
      </c>
      <c r="N328" s="34" t="s">
        <v>255</v>
      </c>
      <c r="O328" s="33" t="n">
        <f>111300</f>
        <v>111300.0</v>
      </c>
      <c r="P328" s="34" t="s">
        <v>48</v>
      </c>
      <c r="Q328" s="33" t="n">
        <f>114800</f>
        <v>114800.0</v>
      </c>
      <c r="R328" s="34" t="s">
        <v>51</v>
      </c>
      <c r="S328" s="35" t="n">
        <f>113490.91</f>
        <v>113490.91</v>
      </c>
      <c r="T328" s="32" t="n">
        <f>29856</f>
        <v>29856.0</v>
      </c>
      <c r="U328" s="32" t="n">
        <f>435</f>
        <v>435.0</v>
      </c>
      <c r="V328" s="32" t="n">
        <f>3372390577</f>
        <v>3.372390577E9</v>
      </c>
      <c r="W328" s="32" t="n">
        <f>49097177</f>
        <v>4.9097177E7</v>
      </c>
      <c r="X328" s="36" t="n">
        <f>22</f>
        <v>22.0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632</v>
      </c>
      <c r="J329" s="32" t="n">
        <v>1.0</v>
      </c>
      <c r="K329" s="33" t="n">
        <f>60100</f>
        <v>60100.0</v>
      </c>
      <c r="L329" s="34" t="s">
        <v>48</v>
      </c>
      <c r="M329" s="33" t="n">
        <f>62200</f>
        <v>62200.0</v>
      </c>
      <c r="N329" s="34" t="s">
        <v>51</v>
      </c>
      <c r="O329" s="33" t="n">
        <f>60100</f>
        <v>60100.0</v>
      </c>
      <c r="P329" s="34" t="s">
        <v>48</v>
      </c>
      <c r="Q329" s="33" t="n">
        <f>62200</f>
        <v>62200.0</v>
      </c>
      <c r="R329" s="34" t="s">
        <v>51</v>
      </c>
      <c r="S329" s="35" t="n">
        <f>61550</f>
        <v>61550.0</v>
      </c>
      <c r="T329" s="32" t="n">
        <f>5818</f>
        <v>5818.0</v>
      </c>
      <c r="U329" s="32" t="n">
        <f>7</f>
        <v>7.0</v>
      </c>
      <c r="V329" s="32" t="n">
        <f>357337000</f>
        <v>3.57337E8</v>
      </c>
      <c r="W329" s="32" t="n">
        <f>428000</f>
        <v>428000.0</v>
      </c>
      <c r="X329" s="36" t="n">
        <f>22</f>
        <v>22.0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632</v>
      </c>
      <c r="J330" s="32" t="n">
        <v>1.0</v>
      </c>
      <c r="K330" s="33" t="n">
        <f>107000</f>
        <v>107000.0</v>
      </c>
      <c r="L330" s="34" t="s">
        <v>48</v>
      </c>
      <c r="M330" s="33" t="n">
        <f>108900</f>
        <v>108900.0</v>
      </c>
      <c r="N330" s="34" t="s">
        <v>49</v>
      </c>
      <c r="O330" s="33" t="n">
        <f>105000</f>
        <v>105000.0</v>
      </c>
      <c r="P330" s="34" t="s">
        <v>183</v>
      </c>
      <c r="Q330" s="33" t="n">
        <f>108800</f>
        <v>108800.0</v>
      </c>
      <c r="R330" s="34" t="s">
        <v>51</v>
      </c>
      <c r="S330" s="35" t="n">
        <f>106586.36</f>
        <v>106586.36</v>
      </c>
      <c r="T330" s="32" t="n">
        <f>5292</f>
        <v>5292.0</v>
      </c>
      <c r="U330" s="32" t="n">
        <f>120</f>
        <v>120.0</v>
      </c>
      <c r="V330" s="32" t="n">
        <f>564663920</f>
        <v>5.6466392E8</v>
      </c>
      <c r="W330" s="32" t="n">
        <f>12919320</f>
        <v>1.291932E7</v>
      </c>
      <c r="X330" s="36" t="n">
        <f>22</f>
        <v>22.0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632</v>
      </c>
      <c r="J331" s="32" t="n">
        <v>1.0</v>
      </c>
      <c r="K331" s="33" t="n">
        <f>137000</f>
        <v>137000.0</v>
      </c>
      <c r="L331" s="34" t="s">
        <v>48</v>
      </c>
      <c r="M331" s="33" t="n">
        <f>138200</f>
        <v>138200.0</v>
      </c>
      <c r="N331" s="34" t="s">
        <v>196</v>
      </c>
      <c r="O331" s="33" t="n">
        <f>128800</f>
        <v>128800.0</v>
      </c>
      <c r="P331" s="34" t="s">
        <v>183</v>
      </c>
      <c r="Q331" s="33" t="n">
        <f>133400</f>
        <v>133400.0</v>
      </c>
      <c r="R331" s="34" t="s">
        <v>51</v>
      </c>
      <c r="S331" s="35" t="n">
        <f>134118.18</f>
        <v>134118.18</v>
      </c>
      <c r="T331" s="32" t="n">
        <f>10356</f>
        <v>10356.0</v>
      </c>
      <c r="U331" s="32" t="n">
        <f>315</f>
        <v>315.0</v>
      </c>
      <c r="V331" s="32" t="n">
        <f>1390451890</f>
        <v>1.39045189E9</v>
      </c>
      <c r="W331" s="32" t="n">
        <f>41739290</f>
        <v>4.173929E7</v>
      </c>
      <c r="X331" s="36" t="n">
        <f>22</f>
        <v>22.0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632</v>
      </c>
      <c r="J332" s="32" t="n">
        <v>1.0</v>
      </c>
      <c r="K332" s="33" t="n">
        <f>94800</f>
        <v>94800.0</v>
      </c>
      <c r="L332" s="34" t="s">
        <v>48</v>
      </c>
      <c r="M332" s="33" t="n">
        <f>95400</f>
        <v>95400.0</v>
      </c>
      <c r="N332" s="34" t="s">
        <v>196</v>
      </c>
      <c r="O332" s="33" t="n">
        <f>91800</f>
        <v>91800.0</v>
      </c>
      <c r="P332" s="34" t="s">
        <v>49</v>
      </c>
      <c r="Q332" s="33" t="n">
        <f>93200</f>
        <v>93200.0</v>
      </c>
      <c r="R332" s="34" t="s">
        <v>51</v>
      </c>
      <c r="S332" s="35" t="n">
        <f>94154.55</f>
        <v>94154.55</v>
      </c>
      <c r="T332" s="32" t="n">
        <f>15130</f>
        <v>15130.0</v>
      </c>
      <c r="U332" s="32" t="str">
        <f>"－"</f>
        <v>－</v>
      </c>
      <c r="V332" s="32" t="n">
        <f>1423531500</f>
        <v>1.4235315E9</v>
      </c>
      <c r="W332" s="32" t="str">
        <f>"－"</f>
        <v>－</v>
      </c>
      <c r="X332" s="36" t="n">
        <f>22</f>
        <v>22.0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632</v>
      </c>
      <c r="J333" s="32" t="n">
        <v>1.0</v>
      </c>
      <c r="K333" s="33" t="n">
        <f>90200</f>
        <v>90200.0</v>
      </c>
      <c r="L333" s="34" t="s">
        <v>48</v>
      </c>
      <c r="M333" s="33" t="n">
        <f>91400</f>
        <v>91400.0</v>
      </c>
      <c r="N333" s="34" t="s">
        <v>48</v>
      </c>
      <c r="O333" s="33" t="n">
        <f>87600</f>
        <v>87600.0</v>
      </c>
      <c r="P333" s="34" t="s">
        <v>48</v>
      </c>
      <c r="Q333" s="33" t="n">
        <f>88800</f>
        <v>88800.0</v>
      </c>
      <c r="R333" s="34" t="s">
        <v>51</v>
      </c>
      <c r="S333" s="35" t="n">
        <f>88395.45</f>
        <v>88395.45</v>
      </c>
      <c r="T333" s="32" t="n">
        <f>83941</f>
        <v>83941.0</v>
      </c>
      <c r="U333" s="32" t="n">
        <f>5227</f>
        <v>5227.0</v>
      </c>
      <c r="V333" s="32" t="n">
        <f>7430228685</f>
        <v>7.430228685E9</v>
      </c>
      <c r="W333" s="32" t="n">
        <f>462703085</f>
        <v>4.62703085E8</v>
      </c>
      <c r="X333" s="36" t="n">
        <f>22</f>
        <v>22.0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632</v>
      </c>
      <c r="J334" s="32" t="n">
        <v>1.0</v>
      </c>
      <c r="K334" s="33" t="n">
        <f>98800</f>
        <v>98800.0</v>
      </c>
      <c r="L334" s="34" t="s">
        <v>48</v>
      </c>
      <c r="M334" s="33" t="n">
        <f>99200</f>
        <v>99200.0</v>
      </c>
      <c r="N334" s="34" t="s">
        <v>61</v>
      </c>
      <c r="O334" s="33" t="n">
        <f>90600</f>
        <v>90600.0</v>
      </c>
      <c r="P334" s="34" t="s">
        <v>49</v>
      </c>
      <c r="Q334" s="33" t="n">
        <f>92400</f>
        <v>92400.0</v>
      </c>
      <c r="R334" s="34" t="s">
        <v>51</v>
      </c>
      <c r="S334" s="35" t="n">
        <f>94140.91</f>
        <v>94140.91</v>
      </c>
      <c r="T334" s="32" t="n">
        <f>19063</f>
        <v>19063.0</v>
      </c>
      <c r="U334" s="32" t="n">
        <f>347</f>
        <v>347.0</v>
      </c>
      <c r="V334" s="32" t="n">
        <f>1763705306</f>
        <v>1.763705306E9</v>
      </c>
      <c r="W334" s="32" t="n">
        <f>31961406</f>
        <v>3.1961406E7</v>
      </c>
      <c r="X334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