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<sst xmlns="http://schemas.openxmlformats.org/spreadsheetml/2006/main" count="4010" uniqueCount="1059">
  <si>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</si>
  <si>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</si>
  <si>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</si>
  <si>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</si>
  <si>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</si>
  <si>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</si>
  <si>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</si>
  <si>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</si>
  <si>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</si>
  <si>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</si>
  <si>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</si>
  <si>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</si>
  <si>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</si>
  <si>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</si>
  <si>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</si>
  <si>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</si>
  <si>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</si>
  <si>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</si>
  <si>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</si>
  <si>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</si>
  <si>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</si>
  <si>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</si>
  <si>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</si>
  <si>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</si>
  <si>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</si>
  <si>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</si>
  <si>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</si>
  <si>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</si>
  <si>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</si>
  <si>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</si>
  <si>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</si>
  <si>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</si>
  <si>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</si>
  <si>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</si>
  <si>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</si>
  <si>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</si>
  <si>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</si>
  <si>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</si>
  <si>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</si>
  <si>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</si>
  <si>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</si>
  <si>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</si>
  <si>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2021/01</t>
  </si>
  <si>
    <t>1305</t>
  </si>
  <si>
    <t>ダイワ上場投信－トピックス　受益証券</t>
  </si>
  <si>
    <t>Daiwa ETF-TOPIX</t>
  </si>
  <si>
    <t/>
  </si>
  <si>
    <t>貸借</t>
  </si>
  <si>
    <t>4</t>
  </si>
  <si>
    <t>14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</si>
  <si>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</si>
  <si>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</si>
  <si>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</si>
  <si>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</si>
  <si>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</si>
  <si>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</si>
  <si>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</si>
  <si>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</si>
  <si>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</si>
  <si>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</si>
  <si>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</si>
  <si>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</si>
  <si>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</si>
  <si>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</si>
  <si>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</si>
  <si>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</si>
  <si>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</si>
  <si>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</si>
  <si>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</si>
  <si>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15</t>
  </si>
  <si>
    <t>1319</t>
  </si>
  <si>
    <t>ＮＥＸＴ　ＦＵＮＤＳ　日経３００株価指数連動型上場投信　受益証券</t>
  </si>
  <si>
    <t>NEXT FUNDS Nikkei 300 Index Exchange Traded Fund</t>
  </si>
  <si>
    <t>27</t>
  </si>
  <si>
    <t>1320</t>
  </si>
  <si>
    <t>ダイワ上場投信－日経２２５　受益証券</t>
  </si>
  <si>
    <t>Daiwa ETF-Nikkei 225</t>
  </si>
  <si>
    <t>6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</si>
  <si>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</si>
  <si>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</si>
  <si>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</si>
  <si>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</si>
  <si>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</si>
  <si>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</si>
  <si>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5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</si>
  <si>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</si>
  <si>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</si>
  <si>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</si>
  <si>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28</t>
  </si>
  <si>
    <t>1324</t>
  </si>
  <si>
    <t>ＮＥＸＴ　ＦＵＮＤＳ　ロシア株式指数・ＲＴＳ連動型上場投信　受益証券</t>
  </si>
  <si>
    <t>NEXT FUNDS Russia RTS Linked Exchange Traded Fund</t>
  </si>
  <si>
    <t>13</t>
  </si>
  <si>
    <t>1325</t>
  </si>
  <si>
    <t>ＮＥＸＴ　ＦＵＮＤＳ　ブラジル株式指数・ボベスパ連動型上場投信　受益証券</t>
  </si>
  <si>
    <t>NEXT FUNDS Ibovespa Linked Exchange Traded Fund</t>
  </si>
  <si>
    <t>8</t>
  </si>
  <si>
    <t>1326</t>
  </si>
  <si>
    <t>ＳＰＤＲゴールド・シェア　受益証券</t>
  </si>
  <si>
    <t>SPDR Gold Shares</t>
  </si>
  <si>
    <t>18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</si>
  <si>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</si>
  <si>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</si>
  <si>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</si>
  <si>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</si>
  <si>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</si>
  <si>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</si>
  <si>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</si>
  <si>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</si>
  <si>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</si>
  <si>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</si>
  <si>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</si>
  <si>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</si>
  <si>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</si>
  <si>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</si>
  <si>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</si>
  <si>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</si>
  <si>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</si>
  <si>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</si>
  <si>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</si>
  <si>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</si>
  <si>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</si>
  <si>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</si>
  <si>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</si>
  <si>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</si>
  <si>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</si>
  <si>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</si>
  <si>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</si>
  <si>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</si>
  <si>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</si>
  <si>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</si>
  <si>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12</t>
  </si>
  <si>
    <t>22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</si>
  <si>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</si>
  <si>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</si>
  <si>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</si>
  <si>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</si>
  <si>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</si>
  <si>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</si>
  <si>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</si>
  <si>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</si>
  <si>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</si>
  <si>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</si>
  <si>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</si>
  <si>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</si>
  <si>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</si>
  <si>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</si>
  <si>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</si>
  <si>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</si>
  <si>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</si>
  <si>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</si>
  <si>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</si>
  <si>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</si>
  <si>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</si>
  <si>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</si>
  <si>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</si>
  <si>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</si>
  <si>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</si>
  <si>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</si>
  <si>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</si>
  <si>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</si>
  <si>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</si>
  <si>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</si>
  <si>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</si>
  <si>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</si>
  <si>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</si>
  <si>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</si>
  <si>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</si>
  <si>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</si>
  <si>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</si>
  <si>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</si>
  <si>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</si>
  <si>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7</t>
  </si>
  <si>
    <t>1388</t>
  </si>
  <si>
    <t>ＵＢＳ　ＥＴＦ　ユーロ圏小型株（ＭＳＣＩ　ＥＭＵ小型株）　受益証券</t>
  </si>
  <si>
    <t>UBS ETF MSCI EMU Small Cap UCITS ETF-JDR</t>
  </si>
  <si>
    <t>25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</si>
  <si>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</si>
  <si>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</si>
  <si>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</si>
  <si>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</si>
  <si>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</si>
  <si>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</si>
  <si>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</si>
  <si>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</si>
  <si>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</si>
  <si>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</si>
  <si>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</si>
  <si>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</si>
  <si>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</si>
  <si>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</si>
  <si>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</si>
  <si>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</si>
  <si>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</si>
  <si>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</si>
  <si>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</si>
  <si>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</si>
  <si>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</si>
  <si>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</si>
  <si>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</si>
  <si>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</si>
  <si>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</si>
  <si>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</si>
  <si>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</si>
  <si>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</si>
  <si>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</si>
  <si>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</si>
  <si>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</si>
  <si>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</si>
  <si>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</si>
  <si>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</si>
  <si>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</si>
  <si>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</si>
  <si>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</si>
  <si>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</si>
  <si>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</si>
  <si>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</si>
  <si>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</si>
  <si>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</si>
  <si>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</si>
  <si>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</si>
  <si>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</si>
  <si>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</si>
  <si>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</si>
  <si>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</si>
  <si>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</si>
  <si>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</si>
  <si>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</si>
  <si>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</si>
  <si>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</si>
  <si>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</si>
  <si>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</si>
  <si>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</si>
  <si>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</si>
  <si>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</si>
  <si>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</si>
  <si>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</si>
  <si>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</si>
  <si>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</si>
  <si>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</si>
  <si>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26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</si>
  <si>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</si>
  <si>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</si>
  <si>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</si>
  <si>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</si>
  <si>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</si>
  <si>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</si>
  <si>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</si>
  <si>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</si>
  <si>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</si>
  <si>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</si>
  <si>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</si>
  <si>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</si>
  <si>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</si>
  <si>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</si>
  <si>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</si>
  <si>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</si>
  <si>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</si>
  <si>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</si>
  <si>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</si>
  <si>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</si>
  <si>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</si>
  <si>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</si>
  <si>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</si>
  <si>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</si>
  <si>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</si>
  <si>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</si>
  <si>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</si>
  <si>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21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</si>
  <si>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</si>
  <si>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</si>
  <si>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</si>
  <si>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</si>
  <si>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</si>
  <si>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</si>
  <si>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</si>
  <si>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</si>
  <si>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</si>
  <si>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</si>
  <si>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</si>
  <si>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</si>
  <si>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</si>
  <si>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</si>
  <si>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</si>
  <si>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</si>
  <si>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</si>
  <si>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</si>
  <si>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</si>
  <si>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</si>
  <si>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</si>
  <si>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</si>
  <si>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</si>
  <si>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</si>
  <si>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</si>
  <si>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</si>
  <si>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</si>
  <si>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</si>
  <si>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</si>
  <si>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</si>
  <si>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</si>
  <si>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</si>
  <si>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</si>
  <si>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</si>
  <si>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</si>
  <si>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</si>
  <si>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</si>
  <si>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</si>
  <si>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</si>
  <si>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</si>
  <si>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</si>
  <si>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</si>
  <si>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</si>
  <si>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</si>
  <si>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</si>
  <si>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</si>
  <si>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</si>
  <si>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</si>
  <si>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</si>
  <si>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</si>
  <si>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</si>
  <si>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</si>
  <si>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</si>
  <si>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</si>
  <si>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</si>
  <si>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</si>
  <si>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</si>
  <si>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</si>
  <si>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</si>
  <si>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</si>
  <si>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</si>
  <si>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</si>
  <si>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</si>
  <si>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</si>
  <si>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</si>
  <si>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</si>
  <si>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</si>
  <si>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</si>
  <si>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</si>
  <si>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</si>
  <si>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</si>
  <si>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</si>
  <si>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</si>
  <si>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</si>
  <si>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</si>
  <si>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</si>
  <si>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</si>
  <si>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</si>
  <si>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</si>
  <si>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</si>
  <si>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</si>
  <si>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</si>
  <si>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</si>
  <si>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</si>
  <si>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</si>
  <si>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</si>
  <si>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</si>
  <si>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</si>
  <si>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</si>
  <si>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</si>
  <si>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</si>
  <si>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</si>
  <si>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</si>
  <si>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</si>
  <si>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</si>
  <si>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</si>
  <si>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</si>
  <si>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</si>
  <si>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</si>
  <si>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</si>
  <si>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</si>
  <si>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</si>
  <si>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20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</si>
  <si>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</si>
  <si>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</si>
  <si>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</si>
  <si>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</si>
  <si>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</si>
  <si>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</si>
  <si>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</si>
  <si>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</si>
  <si>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</si>
  <si>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</si>
  <si>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</si>
  <si>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</si>
  <si>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</si>
  <si>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</si>
  <si>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</si>
  <si>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</si>
  <si>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</si>
  <si>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</si>
  <si>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</si>
  <si>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</si>
  <si>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</si>
  <si>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</si>
  <si>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</si>
  <si>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</si>
  <si>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</si>
  <si>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</si>
  <si>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</si>
  <si>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</si>
  <si>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</si>
  <si>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</si>
  <si>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</si>
  <si>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</si>
  <si>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</si>
  <si>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</si>
  <si>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</si>
  <si>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</si>
  <si>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</si>
  <si>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</si>
  <si>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</si>
  <si>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</si>
  <si>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</si>
  <si>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</si>
  <si>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</si>
  <si>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</si>
  <si>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</si>
  <si>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</si>
  <si>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</si>
  <si>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</si>
  <si>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</si>
  <si>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</si>
  <si>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</si>
  <si>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</si>
  <si>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</si>
  <si>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</si>
  <si>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</si>
  <si>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</si>
  <si>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</si>
  <si>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</si>
  <si>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</si>
  <si>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</si>
  <si>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</si>
  <si>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</si>
  <si>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</si>
  <si>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</si>
  <si>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</si>
  <si>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</si>
  <si>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</si>
  <si>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</si>
  <si>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</si>
  <si>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</si>
  <si>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</si>
  <si>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</si>
  <si>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</si>
  <si>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</si>
  <si>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</si>
  <si>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</si>
  <si>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</si>
  <si>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</si>
  <si>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</si>
  <si>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</si>
  <si>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</si>
  <si>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</si>
  <si>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</si>
  <si>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</si>
  <si>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</si>
  <si>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</si>
  <si>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</si>
  <si>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</si>
  <si>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</si>
  <si>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</si>
  <si>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</si>
  <si>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</si>
  <si>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</si>
  <si>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</si>
  <si>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</si>
  <si>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</si>
  <si>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</si>
  <si>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</si>
  <si>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</si>
  <si>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</si>
  <si>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</si>
  <si>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</si>
  <si>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</si>
  <si>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</si>
  <si>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</si>
  <si>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</si>
  <si>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</si>
  <si>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</si>
  <si>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</si>
  <si>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</si>
  <si>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</si>
  <si>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</si>
  <si>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</si>
  <si>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</si>
  <si>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</si>
  <si>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</si>
  <si>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</si>
  <si>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</si>
  <si>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</si>
  <si>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</si>
  <si>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</si>
  <si>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</si>
  <si>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</si>
  <si>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</si>
  <si>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</si>
  <si>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</si>
  <si>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</si>
  <si>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</si>
  <si>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</si>
  <si>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</si>
  <si>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</si>
  <si>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</si>
  <si>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</si>
  <si>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</si>
  <si>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</si>
  <si>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</si>
  <si>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</si>
  <si>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</si>
  <si>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</si>
  <si>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</si>
  <si>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</si>
  <si>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</si>
  <si>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</si>
  <si>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</si>
  <si>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</si>
  <si>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</si>
  <si>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</si>
  <si>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</si>
  <si>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</si>
  <si>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</si>
  <si>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</si>
  <si>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</si>
  <si>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</si>
  <si>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</si>
  <si>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</si>
  <si>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</si>
  <si>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</si>
  <si>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</si>
  <si>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</si>
  <si>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</si>
  <si>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</si>
  <si>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</si>
  <si>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</si>
  <si>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</si>
  <si>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</si>
  <si>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</si>
  <si>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</si>
  <si>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</si>
  <si>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確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</si>
  <si>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</si>
  <si>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</si>
  <si>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</si>
  <si>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</si>
  <si>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</si>
  <si>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</si>
  <si>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</si>
  <si>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</si>
  <si>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</si>
  <si>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</si>
  <si>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</si>
  <si>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</si>
  <si>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</si>
  <si>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</si>
  <si>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</si>
  <si>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</si>
  <si>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</si>
  <si>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</si>
  <si>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</si>
  <si>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</si>
  <si>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</si>
  <si>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</si>
  <si>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</si>
  <si>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</si>
  <si>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</si>
  <si>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</si>
  <si>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</si>
  <si>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</si>
  <si>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</si>
  <si>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</si>
  <si>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</si>
  <si>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</si>
  <si>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</si>
  <si>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</si>
  <si>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</si>
  <si>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</si>
  <si>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</si>
  <si>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</si>
  <si>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</si>
  <si>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</si>
  <si>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</si>
  <si>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</si>
  <si>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</si>
  <si>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</si>
  <si>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</si>
  <si>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</si>
  <si>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</si>
  <si>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</si>
  <si>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</si>
  <si>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</si>
  <si>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</si>
  <si>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</si>
  <si>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</si>
  <si>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</si>
  <si>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</si>
  <si>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</si>
  <si>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</si>
  <si>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</si>
  <si>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</si>
  <si>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</si>
  <si>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</si>
  <si>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</si>
  <si>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</si>
  <si>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</si>
  <si>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</si>
  <si>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</si>
  <si>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</si>
  <si>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</si>
  <si>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</si>
  <si>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</si>
  <si>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</si>
  <si>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</si>
  <si>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19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</si>
  <si>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</si>
  <si>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</si>
  <si>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</si>
  <si>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</si>
  <si>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</si>
  <si>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</si>
  <si>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</si>
  <si>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</si>
  <si>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</si>
  <si>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</si>
  <si>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</si>
  <si>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</si>
  <si>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</si>
  <si>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</si>
  <si>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</si>
  <si>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</si>
  <si>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</si>
  <si>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</si>
  <si>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</si>
  <si>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</si>
  <si>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</si>
  <si>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</si>
  <si>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</si>
  <si>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</si>
  <si>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</si>
  <si>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</si>
  <si>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</si>
  <si>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</si>
  <si>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</si>
  <si>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</si>
  <si>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</si>
  <si>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</si>
  <si>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</si>
  <si>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</si>
  <si>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</si>
  <si>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</si>
  <si>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</si>
  <si>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</si>
  <si>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</si>
  <si>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</si>
  <si>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</si>
  <si>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</si>
  <si>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</si>
  <si>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</si>
  <si>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</si>
  <si>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</si>
  <si>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</si>
  <si>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</si>
  <si>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</si>
  <si>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</si>
  <si>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</si>
  <si>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</si>
  <si>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</si>
  <si>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</si>
  <si>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</si>
  <si>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</si>
  <si>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</si>
  <si>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</si>
  <si>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</si>
  <si>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</si>
  <si>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</si>
  <si>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</si>
  <si>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</si>
  <si>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</si>
  <si>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</si>
  <si>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</si>
  <si>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</si>
  <si>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</si>
  <si>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</si>
  <si>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</si>
  <si>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</si>
  <si>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</si>
  <si>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</si>
  <si>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</si>
  <si>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</si>
  <si>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</si>
  <si>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</si>
  <si>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</si>
  <si>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</si>
  <si>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</si>
  <si>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</si>
  <si>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</si>
  <si>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</si>
  <si>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</si>
  <si>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</si>
  <si>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</si>
  <si>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</si>
  <si>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</si>
  <si>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</si>
  <si>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</si>
  <si>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</si>
  <si>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</si>
  <si>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</si>
  <si>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</si>
  <si>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</si>
  <si>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</si>
  <si>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</si>
  <si>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</si>
  <si>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</si>
  <si>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</si>
  <si>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</si>
  <si>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</si>
  <si>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</si>
  <si>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</si>
  <si>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</si>
  <si>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</si>
  <si>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</si>
  <si>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</si>
  <si>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</si>
  <si>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</si>
  <si>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</si>
  <si>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</si>
  <si>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</si>
  <si>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</si>
  <si>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</si>
  <si>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</si>
  <si>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</si>
  <si>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</si>
  <si>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</si>
  <si>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</si>
  <si>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</si>
  <si>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</si>
  <si>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</si>
  <si>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</si>
  <si>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</si>
  <si>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</si>
  <si>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</si>
  <si>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</si>
  <si>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</si>
  <si>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</si>
  <si>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</si>
  <si>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</si>
  <si>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</si>
  <si>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</si>
  <si>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</si>
  <si>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</si>
  <si>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</si>
  <si>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</si>
  <si>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</si>
  <si>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</si>
  <si>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</si>
  <si>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</si>
  <si>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</si>
  <si>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</si>
  <si>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</si>
  <si>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</si>
  <si>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</si>
  <si>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</si>
  <si>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</si>
  <si>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</si>
  <si>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</si>
  <si>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</si>
  <si>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</si>
  <si>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</si>
  <si>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</si>
  <si>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</si>
  <si>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</si>
  <si>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</si>
  <si>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</si>
  <si>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</si>
  <si>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</si>
  <si>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</si>
  <si>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</si>
  <si>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</si>
  <si>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</si>
  <si>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</si>
  <si>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</si>
  <si>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</si>
  <si>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</si>
  <si>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</si>
  <si>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</si>
  <si>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</si>
  <si>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</si>
  <si>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</si>
  <si>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</si>
  <si>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</si>
  <si>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</si>
  <si>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</si>
  <si>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</si>
  <si>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</si>
  <si>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</si>
  <si>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</si>
  <si>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</si>
  <si>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</si>
  <si>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</si>
  <si>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</si>
  <si>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</si>
  <si>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</si>
  <si>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</si>
  <si>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</si>
  <si>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</si>
  <si>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</si>
  <si>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</si>
  <si>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</si>
  <si>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</si>
  <si>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</si>
  <si>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</si>
  <si>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</si>
  <si>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</si>
  <si>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</si>
  <si>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</si>
  <si>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</si>
  <si>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</si>
  <si>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</si>
  <si>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</si>
  <si>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</si>
  <si>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</si>
  <si>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</si>
  <si>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</si>
  <si>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</si>
  <si>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</si>
  <si>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</si>
  <si>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</si>
  <si>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</si>
  <si>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</si>
  <si>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</si>
  <si>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</si>
  <si>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</si>
  <si>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</si>
  <si>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</si>
  <si>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</si>
  <si>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</si>
  <si>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</si>
  <si>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</si>
  <si>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</si>
  <si>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</si>
  <si>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</si>
  <si>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</si>
  <si>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</si>
  <si>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</si>
  <si>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</si>
  <si>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</si>
  <si>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 xml:space="preserve">新規上場  </t>
  </si>
  <si>
    <t xml:space="preserve">New Listing  </t>
  </si>
  <si>
    <t xml:space="preserve">2021/01/27  </t>
  </si>
  <si>
    <t>2627</t>
  </si>
  <si>
    <t>グローバルＸ　ｅコマース－日本株式　ＥＴＦ　受益証券</t>
  </si>
  <si>
    <t>Global X E-Commerce Japan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</si>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</sst>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36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1905</f>
        <v>1905.0</v>
      </c>
      <c r="L7" s="34" t="s">
        <v>48</v>
      </c>
      <c r="M7" s="33" t="n">
        <f>1982</f>
        <v>1982.0</v>
      </c>
      <c r="N7" s="34" t="s">
        <v>49</v>
      </c>
      <c r="O7" s="33" t="n">
        <f>1868</f>
        <v>1868.0</v>
      </c>
      <c r="P7" s="34" t="s">
        <v>48</v>
      </c>
      <c r="Q7" s="33" t="n">
        <f>1904</f>
        <v>1904.0</v>
      </c>
      <c r="R7" s="34" t="s">
        <v>50</v>
      </c>
      <c r="S7" s="35" t="n">
        <f>1937.05</f>
        <v>1937.05</v>
      </c>
      <c r="T7" s="32" t="n">
        <f>3993890</f>
        <v>3993890.0</v>
      </c>
      <c r="U7" s="32" t="n">
        <f>50</f>
        <v>50.0</v>
      </c>
      <c r="V7" s="32" t="n">
        <f>7746352020</f>
        <v>7.74635202E9</v>
      </c>
      <c r="W7" s="32" t="n">
        <f>95500</f>
        <v>95500.0</v>
      </c>
      <c r="X7" s="36" t="n">
        <f>19</f>
        <v>19.0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1881</f>
        <v>1881.0</v>
      </c>
      <c r="L8" s="34" t="s">
        <v>48</v>
      </c>
      <c r="M8" s="33" t="n">
        <f>1963</f>
        <v>1963.0</v>
      </c>
      <c r="N8" s="34" t="s">
        <v>49</v>
      </c>
      <c r="O8" s="33" t="n">
        <f>1845</f>
        <v>1845.0</v>
      </c>
      <c r="P8" s="34" t="s">
        <v>48</v>
      </c>
      <c r="Q8" s="33" t="n">
        <f>1878</f>
        <v>1878.0</v>
      </c>
      <c r="R8" s="34" t="s">
        <v>50</v>
      </c>
      <c r="S8" s="35" t="n">
        <f>1914.95</f>
        <v>1914.95</v>
      </c>
      <c r="T8" s="32" t="n">
        <f>50891600</f>
        <v>5.08916E7</v>
      </c>
      <c r="U8" s="32" t="n">
        <f>7543260</f>
        <v>7543260.0</v>
      </c>
      <c r="V8" s="32" t="n">
        <f>97755695354</f>
        <v>9.7755695354E10</v>
      </c>
      <c r="W8" s="32" t="n">
        <f>14565391634</f>
        <v>1.4565391634E10</v>
      </c>
      <c r="X8" s="36" t="n">
        <f>19</f>
        <v>19.0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1863</f>
        <v>1863.0</v>
      </c>
      <c r="L9" s="34" t="s">
        <v>48</v>
      </c>
      <c r="M9" s="33" t="n">
        <f>1940</f>
        <v>1940.0</v>
      </c>
      <c r="N9" s="34" t="s">
        <v>49</v>
      </c>
      <c r="O9" s="33" t="n">
        <f>1827</f>
        <v>1827.0</v>
      </c>
      <c r="P9" s="34" t="s">
        <v>48</v>
      </c>
      <c r="Q9" s="33" t="n">
        <f>1860</f>
        <v>1860.0</v>
      </c>
      <c r="R9" s="34" t="s">
        <v>50</v>
      </c>
      <c r="S9" s="35" t="n">
        <f>1894.47</f>
        <v>1894.47</v>
      </c>
      <c r="T9" s="32" t="n">
        <f>7220600</f>
        <v>7220600.0</v>
      </c>
      <c r="U9" s="32" t="n">
        <f>2660100</f>
        <v>2660100.0</v>
      </c>
      <c r="V9" s="32" t="n">
        <f>13677015890</f>
        <v>1.367701589E10</v>
      </c>
      <c r="W9" s="32" t="n">
        <f>5069454590</f>
        <v>5.06945459E9</v>
      </c>
      <c r="X9" s="36" t="n">
        <f>19</f>
        <v>19.0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43000</f>
        <v>43000.0</v>
      </c>
      <c r="L10" s="34" t="s">
        <v>48</v>
      </c>
      <c r="M10" s="33" t="n">
        <f>48000</f>
        <v>48000.0</v>
      </c>
      <c r="N10" s="34" t="s">
        <v>49</v>
      </c>
      <c r="O10" s="33" t="n">
        <f>42800</f>
        <v>42800.0</v>
      </c>
      <c r="P10" s="34" t="s">
        <v>48</v>
      </c>
      <c r="Q10" s="33" t="n">
        <f>45000</f>
        <v>45000.0</v>
      </c>
      <c r="R10" s="34" t="s">
        <v>50</v>
      </c>
      <c r="S10" s="35" t="n">
        <f>46005.26</f>
        <v>46005.26</v>
      </c>
      <c r="T10" s="32" t="n">
        <f>18121</f>
        <v>18121.0</v>
      </c>
      <c r="U10" s="32" t="str">
        <f>"－"</f>
        <v>－</v>
      </c>
      <c r="V10" s="32" t="n">
        <f>834391500</f>
        <v>8.343915E8</v>
      </c>
      <c r="W10" s="32" t="str">
        <f>"－"</f>
        <v>－</v>
      </c>
      <c r="X10" s="36" t="n">
        <f>19</f>
        <v>19.0</v>
      </c>
    </row>
    <row r="11">
      <c r="A11" s="27" t="s">
        <v>42</v>
      </c>
      <c r="B11" s="27" t="s">
        <v>60</v>
      </c>
      <c r="C11" s="27" t="s">
        <v>61</v>
      </c>
      <c r="D11" s="27" t="s">
        <v>62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845</f>
        <v>845.0</v>
      </c>
      <c r="L11" s="34" t="s">
        <v>48</v>
      </c>
      <c r="M11" s="33" t="n">
        <f>878</f>
        <v>878.0</v>
      </c>
      <c r="N11" s="34" t="s">
        <v>49</v>
      </c>
      <c r="O11" s="33" t="n">
        <f>828</f>
        <v>828.0</v>
      </c>
      <c r="P11" s="34" t="s">
        <v>48</v>
      </c>
      <c r="Q11" s="33" t="n">
        <f>830</f>
        <v>830.0</v>
      </c>
      <c r="R11" s="34" t="s">
        <v>50</v>
      </c>
      <c r="S11" s="35" t="n">
        <f>856.05</f>
        <v>856.05</v>
      </c>
      <c r="T11" s="32" t="n">
        <f>158020</f>
        <v>158020.0</v>
      </c>
      <c r="U11" s="32" t="str">
        <f>"－"</f>
        <v>－</v>
      </c>
      <c r="V11" s="32" t="n">
        <f>135427830</f>
        <v>1.3542783E8</v>
      </c>
      <c r="W11" s="32" t="str">
        <f>"－"</f>
        <v>－</v>
      </c>
      <c r="X11" s="36" t="n">
        <f>19</f>
        <v>19.0</v>
      </c>
    </row>
    <row r="12">
      <c r="A12" s="27" t="s">
        <v>42</v>
      </c>
      <c r="B12" s="27" t="s">
        <v>63</v>
      </c>
      <c r="C12" s="27" t="s">
        <v>64</v>
      </c>
      <c r="D12" s="27" t="s">
        <v>65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20210</f>
        <v>20210.0</v>
      </c>
      <c r="L12" s="34" t="s">
        <v>48</v>
      </c>
      <c r="M12" s="33" t="n">
        <f>20840</f>
        <v>20840.0</v>
      </c>
      <c r="N12" s="34" t="s">
        <v>49</v>
      </c>
      <c r="O12" s="33" t="n">
        <f>19920</f>
        <v>19920.0</v>
      </c>
      <c r="P12" s="34" t="s">
        <v>48</v>
      </c>
      <c r="Q12" s="33" t="n">
        <f>20330</f>
        <v>20330.0</v>
      </c>
      <c r="R12" s="34" t="s">
        <v>50</v>
      </c>
      <c r="S12" s="35" t="n">
        <f>20463.16</f>
        <v>20463.16</v>
      </c>
      <c r="T12" s="32" t="n">
        <f>922</f>
        <v>922.0</v>
      </c>
      <c r="U12" s="32" t="str">
        <f>"－"</f>
        <v>－</v>
      </c>
      <c r="V12" s="32" t="n">
        <f>18786330</f>
        <v>1.878633E7</v>
      </c>
      <c r="W12" s="32" t="str">
        <f>"－"</f>
        <v>－</v>
      </c>
      <c r="X12" s="36" t="n">
        <f>19</f>
        <v>19.0</v>
      </c>
    </row>
    <row r="13">
      <c r="A13" s="27" t="s">
        <v>42</v>
      </c>
      <c r="B13" s="27" t="s">
        <v>66</v>
      </c>
      <c r="C13" s="27" t="s">
        <v>67</v>
      </c>
      <c r="D13" s="27" t="s">
        <v>68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3980</f>
        <v>3980.0</v>
      </c>
      <c r="L13" s="34" t="s">
        <v>48</v>
      </c>
      <c r="M13" s="33" t="n">
        <f>4210</f>
        <v>4210.0</v>
      </c>
      <c r="N13" s="34" t="s">
        <v>69</v>
      </c>
      <c r="O13" s="33" t="n">
        <f>3755</f>
        <v>3755.0</v>
      </c>
      <c r="P13" s="34" t="s">
        <v>48</v>
      </c>
      <c r="Q13" s="33" t="n">
        <f>3910</f>
        <v>3910.0</v>
      </c>
      <c r="R13" s="34" t="s">
        <v>50</v>
      </c>
      <c r="S13" s="35" t="n">
        <f>4008.06</f>
        <v>4008.06</v>
      </c>
      <c r="T13" s="32" t="n">
        <f>13260</f>
        <v>13260.0</v>
      </c>
      <c r="U13" s="32" t="str">
        <f>"－"</f>
        <v>－</v>
      </c>
      <c r="V13" s="32" t="n">
        <f>53062500</f>
        <v>5.30625E7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70</v>
      </c>
      <c r="C14" s="27" t="s">
        <v>71</v>
      </c>
      <c r="D14" s="27" t="s">
        <v>72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336</f>
        <v>336.0</v>
      </c>
      <c r="L14" s="34" t="s">
        <v>48</v>
      </c>
      <c r="M14" s="33" t="n">
        <f>357</f>
        <v>357.0</v>
      </c>
      <c r="N14" s="34" t="s">
        <v>73</v>
      </c>
      <c r="O14" s="33" t="n">
        <f>335</f>
        <v>335.0</v>
      </c>
      <c r="P14" s="34" t="s">
        <v>48</v>
      </c>
      <c r="Q14" s="33" t="n">
        <f>346</f>
        <v>346.0</v>
      </c>
      <c r="R14" s="34" t="s">
        <v>50</v>
      </c>
      <c r="S14" s="35" t="n">
        <f>347.42</f>
        <v>347.42</v>
      </c>
      <c r="T14" s="32" t="n">
        <f>138000</f>
        <v>138000.0</v>
      </c>
      <c r="U14" s="32" t="n">
        <f>1000</f>
        <v>1000.0</v>
      </c>
      <c r="V14" s="32" t="n">
        <f>47784000</f>
        <v>4.7784E7</v>
      </c>
      <c r="W14" s="32" t="n">
        <f>356000</f>
        <v>356000.0</v>
      </c>
      <c r="X14" s="36" t="n">
        <f>19</f>
        <v>19.0</v>
      </c>
    </row>
    <row r="15">
      <c r="A15" s="27" t="s">
        <v>42</v>
      </c>
      <c r="B15" s="27" t="s">
        <v>74</v>
      </c>
      <c r="C15" s="27" t="s">
        <v>75</v>
      </c>
      <c r="D15" s="27" t="s">
        <v>76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28400</f>
        <v>28400.0</v>
      </c>
      <c r="L15" s="34" t="s">
        <v>48</v>
      </c>
      <c r="M15" s="33" t="n">
        <f>29820</f>
        <v>29820.0</v>
      </c>
      <c r="N15" s="34" t="s">
        <v>49</v>
      </c>
      <c r="O15" s="33" t="n">
        <f>27780</f>
        <v>27780.0</v>
      </c>
      <c r="P15" s="34" t="s">
        <v>77</v>
      </c>
      <c r="Q15" s="33" t="n">
        <f>28470</f>
        <v>28470.0</v>
      </c>
      <c r="R15" s="34" t="s">
        <v>50</v>
      </c>
      <c r="S15" s="35" t="n">
        <f>28994.74</f>
        <v>28994.74</v>
      </c>
      <c r="T15" s="32" t="n">
        <f>1129552</f>
        <v>1129552.0</v>
      </c>
      <c r="U15" s="32" t="n">
        <f>110250</f>
        <v>110250.0</v>
      </c>
      <c r="V15" s="32" t="n">
        <f>32679619570</f>
        <v>3.267961957E10</v>
      </c>
      <c r="W15" s="32" t="n">
        <f>3130754140</f>
        <v>3.13075414E9</v>
      </c>
      <c r="X15" s="36" t="n">
        <f>19</f>
        <v>19.0</v>
      </c>
    </row>
    <row r="16">
      <c r="A16" s="27" t="s">
        <v>42</v>
      </c>
      <c r="B16" s="27" t="s">
        <v>78</v>
      </c>
      <c r="C16" s="27" t="s">
        <v>79</v>
      </c>
      <c r="D16" s="27" t="s">
        <v>80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28480</f>
        <v>28480.0</v>
      </c>
      <c r="L16" s="34" t="s">
        <v>48</v>
      </c>
      <c r="M16" s="33" t="n">
        <f>29880</f>
        <v>29880.0</v>
      </c>
      <c r="N16" s="34" t="s">
        <v>49</v>
      </c>
      <c r="O16" s="33" t="n">
        <f>27830</f>
        <v>27830.0</v>
      </c>
      <c r="P16" s="34" t="s">
        <v>77</v>
      </c>
      <c r="Q16" s="33" t="n">
        <f>28580</f>
        <v>28580.0</v>
      </c>
      <c r="R16" s="34" t="s">
        <v>50</v>
      </c>
      <c r="S16" s="35" t="n">
        <f>29061.05</f>
        <v>29061.05</v>
      </c>
      <c r="T16" s="32" t="n">
        <f>5499630</f>
        <v>5499630.0</v>
      </c>
      <c r="U16" s="32" t="n">
        <f>456849</f>
        <v>456849.0</v>
      </c>
      <c r="V16" s="32" t="n">
        <f>159678563953</f>
        <v>1.59678563953E11</v>
      </c>
      <c r="W16" s="32" t="n">
        <f>13198053163</f>
        <v>1.3198053163E10</v>
      </c>
      <c r="X16" s="36" t="n">
        <f>19</f>
        <v>19.0</v>
      </c>
    </row>
    <row r="17">
      <c r="A17" s="27" t="s">
        <v>42</v>
      </c>
      <c r="B17" s="27" t="s">
        <v>81</v>
      </c>
      <c r="C17" s="27" t="s">
        <v>82</v>
      </c>
      <c r="D17" s="27" t="s">
        <v>83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8000</f>
        <v>8000.0</v>
      </c>
      <c r="L17" s="34" t="s">
        <v>48</v>
      </c>
      <c r="M17" s="33" t="n">
        <f>9110</f>
        <v>9110.0</v>
      </c>
      <c r="N17" s="34" t="s">
        <v>84</v>
      </c>
      <c r="O17" s="33" t="n">
        <f>7930</f>
        <v>7930.0</v>
      </c>
      <c r="P17" s="34" t="s">
        <v>48</v>
      </c>
      <c r="Q17" s="33" t="n">
        <f>8640</f>
        <v>8640.0</v>
      </c>
      <c r="R17" s="34" t="s">
        <v>50</v>
      </c>
      <c r="S17" s="35" t="n">
        <f>8770</f>
        <v>8770.0</v>
      </c>
      <c r="T17" s="32" t="n">
        <f>37150</f>
        <v>37150.0</v>
      </c>
      <c r="U17" s="32" t="n">
        <f>40</f>
        <v>40.0</v>
      </c>
      <c r="V17" s="32" t="n">
        <f>324811600</f>
        <v>3.248116E8</v>
      </c>
      <c r="W17" s="32" t="n">
        <f>352500</f>
        <v>352500.0</v>
      </c>
      <c r="X17" s="36" t="n">
        <f>19</f>
        <v>19.0</v>
      </c>
    </row>
    <row r="18">
      <c r="A18" s="27" t="s">
        <v>42</v>
      </c>
      <c r="B18" s="27" t="s">
        <v>85</v>
      </c>
      <c r="C18" s="27" t="s">
        <v>86</v>
      </c>
      <c r="D18" s="27" t="s">
        <v>87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392</f>
        <v>392.0</v>
      </c>
      <c r="L18" s="34" t="s">
        <v>48</v>
      </c>
      <c r="M18" s="33" t="n">
        <f>396</f>
        <v>396.0</v>
      </c>
      <c r="N18" s="34" t="s">
        <v>77</v>
      </c>
      <c r="O18" s="33" t="n">
        <f>371</f>
        <v>371.0</v>
      </c>
      <c r="P18" s="34" t="s">
        <v>88</v>
      </c>
      <c r="Q18" s="33" t="n">
        <f>382</f>
        <v>382.0</v>
      </c>
      <c r="R18" s="34" t="s">
        <v>50</v>
      </c>
      <c r="S18" s="35" t="n">
        <f>385.42</f>
        <v>385.42</v>
      </c>
      <c r="T18" s="32" t="n">
        <f>80000</f>
        <v>80000.0</v>
      </c>
      <c r="U18" s="32" t="str">
        <f>"－"</f>
        <v>－</v>
      </c>
      <c r="V18" s="32" t="n">
        <f>30852000</f>
        <v>3.0852E7</v>
      </c>
      <c r="W18" s="32" t="str">
        <f>"－"</f>
        <v>－</v>
      </c>
      <c r="X18" s="36" t="n">
        <f>19</f>
        <v>19.0</v>
      </c>
    </row>
    <row r="19">
      <c r="A19" s="27" t="s">
        <v>42</v>
      </c>
      <c r="B19" s="27" t="s">
        <v>89</v>
      </c>
      <c r="C19" s="27" t="s">
        <v>90</v>
      </c>
      <c r="D19" s="27" t="s">
        <v>91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137</f>
        <v>137.0</v>
      </c>
      <c r="L19" s="34" t="s">
        <v>48</v>
      </c>
      <c r="M19" s="33" t="n">
        <f>145</f>
        <v>145.0</v>
      </c>
      <c r="N19" s="34" t="s">
        <v>92</v>
      </c>
      <c r="O19" s="33" t="n">
        <f>135</f>
        <v>135.0</v>
      </c>
      <c r="P19" s="34" t="s">
        <v>48</v>
      </c>
      <c r="Q19" s="33" t="n">
        <f>138</f>
        <v>138.0</v>
      </c>
      <c r="R19" s="34" t="s">
        <v>50</v>
      </c>
      <c r="S19" s="35" t="n">
        <f>140.63</f>
        <v>140.63</v>
      </c>
      <c r="T19" s="32" t="n">
        <f>343600</f>
        <v>343600.0</v>
      </c>
      <c r="U19" s="32" t="n">
        <f>100</f>
        <v>100.0</v>
      </c>
      <c r="V19" s="32" t="n">
        <f>48398400</f>
        <v>4.83984E7</v>
      </c>
      <c r="W19" s="32" t="n">
        <f>14300</f>
        <v>14300.0</v>
      </c>
      <c r="X19" s="36" t="n">
        <f>19</f>
        <v>19.0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174</f>
        <v>174.0</v>
      </c>
      <c r="L20" s="34" t="s">
        <v>48</v>
      </c>
      <c r="M20" s="33" t="n">
        <f>178</f>
        <v>178.0</v>
      </c>
      <c r="N20" s="34" t="s">
        <v>96</v>
      </c>
      <c r="O20" s="33" t="n">
        <f>164</f>
        <v>164.0</v>
      </c>
      <c r="P20" s="34" t="s">
        <v>88</v>
      </c>
      <c r="Q20" s="33" t="n">
        <f>167</f>
        <v>167.0</v>
      </c>
      <c r="R20" s="34" t="s">
        <v>50</v>
      </c>
      <c r="S20" s="35" t="n">
        <f>172.05</f>
        <v>172.05</v>
      </c>
      <c r="T20" s="32" t="n">
        <f>528900</f>
        <v>528900.0</v>
      </c>
      <c r="U20" s="32" t="n">
        <f>100</f>
        <v>100.0</v>
      </c>
      <c r="V20" s="32" t="n">
        <f>90950900</f>
        <v>9.09509E7</v>
      </c>
      <c r="W20" s="32" t="n">
        <f>17400</f>
        <v>17400.0</v>
      </c>
      <c r="X20" s="36" t="n">
        <f>19</f>
        <v>19.0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18520</f>
        <v>18520.0</v>
      </c>
      <c r="L21" s="34" t="s">
        <v>48</v>
      </c>
      <c r="M21" s="33" t="n">
        <f>18830</f>
        <v>18830.0</v>
      </c>
      <c r="N21" s="34" t="s">
        <v>77</v>
      </c>
      <c r="O21" s="33" t="n">
        <f>17640</f>
        <v>17640.0</v>
      </c>
      <c r="P21" s="34" t="s">
        <v>100</v>
      </c>
      <c r="Q21" s="33" t="n">
        <f>18090</f>
        <v>18090.0</v>
      </c>
      <c r="R21" s="34" t="s">
        <v>50</v>
      </c>
      <c r="S21" s="35" t="n">
        <f>18195.79</f>
        <v>18195.79</v>
      </c>
      <c r="T21" s="32" t="n">
        <f>282825</f>
        <v>282825.0</v>
      </c>
      <c r="U21" s="32" t="n">
        <f>600</f>
        <v>600.0</v>
      </c>
      <c r="V21" s="32" t="n">
        <f>5149471320</f>
        <v>5.14947132E9</v>
      </c>
      <c r="W21" s="32" t="n">
        <f>10812000</f>
        <v>1.0812E7</v>
      </c>
      <c r="X21" s="36" t="n">
        <f>19</f>
        <v>19.0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2912</f>
        <v>2912.0</v>
      </c>
      <c r="L22" s="34" t="s">
        <v>48</v>
      </c>
      <c r="M22" s="33" t="n">
        <f>3200</f>
        <v>3200.0</v>
      </c>
      <c r="N22" s="34" t="s">
        <v>69</v>
      </c>
      <c r="O22" s="33" t="n">
        <f>2905</f>
        <v>2905.0</v>
      </c>
      <c r="P22" s="34" t="s">
        <v>48</v>
      </c>
      <c r="Q22" s="33" t="n">
        <f>3085</f>
        <v>3085.0</v>
      </c>
      <c r="R22" s="34" t="s">
        <v>50</v>
      </c>
      <c r="S22" s="35" t="n">
        <f>3072.42</f>
        <v>3072.42</v>
      </c>
      <c r="T22" s="32" t="n">
        <f>5050</f>
        <v>5050.0</v>
      </c>
      <c r="U22" s="32" t="str">
        <f>"－"</f>
        <v>－</v>
      </c>
      <c r="V22" s="32" t="n">
        <f>15564660</f>
        <v>1.556466E7</v>
      </c>
      <c r="W22" s="32" t="str">
        <f>"－"</f>
        <v>－</v>
      </c>
      <c r="X22" s="36" t="n">
        <f>19</f>
        <v>19.0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5070</f>
        <v>5070.0</v>
      </c>
      <c r="L23" s="34" t="s">
        <v>48</v>
      </c>
      <c r="M23" s="33" t="n">
        <f>5140</f>
        <v>5140.0</v>
      </c>
      <c r="N23" s="34" t="s">
        <v>84</v>
      </c>
      <c r="O23" s="33" t="n">
        <f>4810</f>
        <v>4810.0</v>
      </c>
      <c r="P23" s="34" t="s">
        <v>100</v>
      </c>
      <c r="Q23" s="33" t="n">
        <f>4930</f>
        <v>4930.0</v>
      </c>
      <c r="R23" s="34" t="s">
        <v>50</v>
      </c>
      <c r="S23" s="35" t="n">
        <f>4959.74</f>
        <v>4959.74</v>
      </c>
      <c r="T23" s="32" t="n">
        <f>426070</f>
        <v>426070.0</v>
      </c>
      <c r="U23" s="32" t="n">
        <f>10</f>
        <v>10.0</v>
      </c>
      <c r="V23" s="32" t="n">
        <f>2120070750</f>
        <v>2.12007075E9</v>
      </c>
      <c r="W23" s="32" t="n">
        <f>49050</f>
        <v>49050.0</v>
      </c>
      <c r="X23" s="36" t="n">
        <f>19</f>
        <v>19.0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28600</f>
        <v>28600.0</v>
      </c>
      <c r="L24" s="34" t="s">
        <v>48</v>
      </c>
      <c r="M24" s="33" t="n">
        <f>30050</f>
        <v>30050.0</v>
      </c>
      <c r="N24" s="34" t="s">
        <v>49</v>
      </c>
      <c r="O24" s="33" t="n">
        <f>27960</f>
        <v>27960.0</v>
      </c>
      <c r="P24" s="34" t="s">
        <v>77</v>
      </c>
      <c r="Q24" s="33" t="n">
        <f>28600</f>
        <v>28600.0</v>
      </c>
      <c r="R24" s="34" t="s">
        <v>50</v>
      </c>
      <c r="S24" s="35" t="n">
        <f>29197.37</f>
        <v>29197.37</v>
      </c>
      <c r="T24" s="32" t="n">
        <f>1191456</f>
        <v>1191456.0</v>
      </c>
      <c r="U24" s="32" t="n">
        <f>788497</f>
        <v>788497.0</v>
      </c>
      <c r="V24" s="32" t="n">
        <f>34221930017</f>
        <v>3.4221930017E10</v>
      </c>
      <c r="W24" s="32" t="n">
        <f>22476271347</f>
        <v>2.2476271347E10</v>
      </c>
      <c r="X24" s="36" t="n">
        <f>19</f>
        <v>19.0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28510</f>
        <v>28510.0</v>
      </c>
      <c r="L25" s="34" t="s">
        <v>48</v>
      </c>
      <c r="M25" s="33" t="n">
        <f>29930</f>
        <v>29930.0</v>
      </c>
      <c r="N25" s="34" t="s">
        <v>49</v>
      </c>
      <c r="O25" s="33" t="n">
        <f>27880</f>
        <v>27880.0</v>
      </c>
      <c r="P25" s="34" t="s">
        <v>77</v>
      </c>
      <c r="Q25" s="33" t="n">
        <f>28530</f>
        <v>28530.0</v>
      </c>
      <c r="R25" s="34" t="s">
        <v>50</v>
      </c>
      <c r="S25" s="35" t="n">
        <f>29106.32</f>
        <v>29106.32</v>
      </c>
      <c r="T25" s="32" t="n">
        <f>1284840</f>
        <v>1284840.0</v>
      </c>
      <c r="U25" s="32" t="n">
        <f>466730</f>
        <v>466730.0</v>
      </c>
      <c r="V25" s="32" t="n">
        <f>37621500980</f>
        <v>3.762150098E10</v>
      </c>
      <c r="W25" s="32" t="n">
        <f>13826699680</f>
        <v>1.382669968E10</v>
      </c>
      <c r="X25" s="36" t="n">
        <f>19</f>
        <v>19.0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1918</f>
        <v>1918.0</v>
      </c>
      <c r="L26" s="34" t="s">
        <v>48</v>
      </c>
      <c r="M26" s="33" t="n">
        <f>1994</f>
        <v>1994.0</v>
      </c>
      <c r="N26" s="34" t="s">
        <v>50</v>
      </c>
      <c r="O26" s="33" t="n">
        <f>1875</f>
        <v>1875.0</v>
      </c>
      <c r="P26" s="34" t="s">
        <v>69</v>
      </c>
      <c r="Q26" s="33" t="n">
        <f>1979</f>
        <v>1979.0</v>
      </c>
      <c r="R26" s="34" t="s">
        <v>50</v>
      </c>
      <c r="S26" s="35" t="n">
        <f>1915.32</f>
        <v>1915.32</v>
      </c>
      <c r="T26" s="32" t="n">
        <f>18316460</f>
        <v>1.831646E7</v>
      </c>
      <c r="U26" s="32" t="n">
        <f>1048010</f>
        <v>1048010.0</v>
      </c>
      <c r="V26" s="32" t="n">
        <f>34936400126</f>
        <v>3.4936400126E10</v>
      </c>
      <c r="W26" s="32" t="n">
        <f>2004119966</f>
        <v>2.004119966E9</v>
      </c>
      <c r="X26" s="36" t="n">
        <f>19</f>
        <v>19.0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806</f>
        <v>806.0</v>
      </c>
      <c r="L27" s="34" t="s">
        <v>48</v>
      </c>
      <c r="M27" s="33" t="n">
        <f>827</f>
        <v>827.0</v>
      </c>
      <c r="N27" s="34" t="s">
        <v>49</v>
      </c>
      <c r="O27" s="33" t="n">
        <f>787</f>
        <v>787.0</v>
      </c>
      <c r="P27" s="34" t="s">
        <v>77</v>
      </c>
      <c r="Q27" s="33" t="n">
        <f>800</f>
        <v>800.0</v>
      </c>
      <c r="R27" s="34" t="s">
        <v>50</v>
      </c>
      <c r="S27" s="35" t="n">
        <f>802.84</f>
        <v>802.84</v>
      </c>
      <c r="T27" s="32" t="n">
        <f>29360</f>
        <v>29360.0</v>
      </c>
      <c r="U27" s="32" t="str">
        <f>"－"</f>
        <v>－</v>
      </c>
      <c r="V27" s="32" t="n">
        <f>23634830</f>
        <v>2.363483E7</v>
      </c>
      <c r="W27" s="32" t="str">
        <f>"－"</f>
        <v>－</v>
      </c>
      <c r="X27" s="36" t="n">
        <f>19</f>
        <v>19.0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1811</f>
        <v>1811.0</v>
      </c>
      <c r="L28" s="34" t="s">
        <v>48</v>
      </c>
      <c r="M28" s="33" t="n">
        <f>1875</f>
        <v>1875.0</v>
      </c>
      <c r="N28" s="34" t="s">
        <v>50</v>
      </c>
      <c r="O28" s="33" t="n">
        <f>1770</f>
        <v>1770.0</v>
      </c>
      <c r="P28" s="34" t="s">
        <v>69</v>
      </c>
      <c r="Q28" s="33" t="n">
        <f>1863</f>
        <v>1863.0</v>
      </c>
      <c r="R28" s="34" t="s">
        <v>50</v>
      </c>
      <c r="S28" s="35" t="n">
        <f>1804.47</f>
        <v>1804.47</v>
      </c>
      <c r="T28" s="32" t="n">
        <f>1089800</f>
        <v>1089800.0</v>
      </c>
      <c r="U28" s="32" t="n">
        <f>3800</f>
        <v>3800.0</v>
      </c>
      <c r="V28" s="32" t="n">
        <f>1963716950</f>
        <v>1.96371695E9</v>
      </c>
      <c r="W28" s="32" t="n">
        <f>6830650</f>
        <v>6830650.0</v>
      </c>
      <c r="X28" s="36" t="n">
        <f>19</f>
        <v>19.0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28590</f>
        <v>28590.0</v>
      </c>
      <c r="L29" s="34" t="s">
        <v>48</v>
      </c>
      <c r="M29" s="33" t="n">
        <f>29860</f>
        <v>29860.0</v>
      </c>
      <c r="N29" s="34" t="s">
        <v>49</v>
      </c>
      <c r="O29" s="33" t="n">
        <f>27970</f>
        <v>27970.0</v>
      </c>
      <c r="P29" s="34" t="s">
        <v>77</v>
      </c>
      <c r="Q29" s="33" t="n">
        <f>28530</f>
        <v>28530.0</v>
      </c>
      <c r="R29" s="34" t="s">
        <v>50</v>
      </c>
      <c r="S29" s="35" t="n">
        <f>29097.89</f>
        <v>29097.89</v>
      </c>
      <c r="T29" s="32" t="n">
        <f>1310786</f>
        <v>1310786.0</v>
      </c>
      <c r="U29" s="32" t="n">
        <f>731566</f>
        <v>731566.0</v>
      </c>
      <c r="V29" s="32" t="n">
        <f>38199311953</f>
        <v>3.8199311953E10</v>
      </c>
      <c r="W29" s="32" t="n">
        <f>21354559993</f>
        <v>2.1354559993E10</v>
      </c>
      <c r="X29" s="36" t="n">
        <f>19</f>
        <v>19.0</v>
      </c>
    </row>
    <row r="30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1882</f>
        <v>1882.0</v>
      </c>
      <c r="L30" s="34" t="s">
        <v>48</v>
      </c>
      <c r="M30" s="33" t="n">
        <f>1947</f>
        <v>1947.0</v>
      </c>
      <c r="N30" s="34" t="s">
        <v>49</v>
      </c>
      <c r="O30" s="33" t="n">
        <f>1846</f>
        <v>1846.0</v>
      </c>
      <c r="P30" s="34" t="s">
        <v>48</v>
      </c>
      <c r="Q30" s="33" t="n">
        <f>1863</f>
        <v>1863.0</v>
      </c>
      <c r="R30" s="34" t="s">
        <v>50</v>
      </c>
      <c r="S30" s="35" t="n">
        <f>1906.11</f>
        <v>1906.11</v>
      </c>
      <c r="T30" s="32" t="n">
        <f>2185410</f>
        <v>2185410.0</v>
      </c>
      <c r="U30" s="32" t="n">
        <f>355110</f>
        <v>355110.0</v>
      </c>
      <c r="V30" s="32" t="n">
        <f>4165745440</f>
        <v>4.16574544E9</v>
      </c>
      <c r="W30" s="32" t="n">
        <f>679939030</f>
        <v>6.7993903E8</v>
      </c>
      <c r="X30" s="36" t="n">
        <f>19</f>
        <v>19.0</v>
      </c>
    </row>
    <row r="31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13150</f>
        <v>13150.0</v>
      </c>
      <c r="L31" s="34" t="s">
        <v>48</v>
      </c>
      <c r="M31" s="33" t="n">
        <f>13250</f>
        <v>13250.0</v>
      </c>
      <c r="N31" s="34" t="s">
        <v>131</v>
      </c>
      <c r="O31" s="33" t="n">
        <f>12990</f>
        <v>12990.0</v>
      </c>
      <c r="P31" s="34" t="s">
        <v>132</v>
      </c>
      <c r="Q31" s="33" t="n">
        <f>13050</f>
        <v>13050.0</v>
      </c>
      <c r="R31" s="34" t="s">
        <v>50</v>
      </c>
      <c r="S31" s="35" t="n">
        <f>13121.05</f>
        <v>13121.05</v>
      </c>
      <c r="T31" s="32" t="n">
        <f>1034</f>
        <v>1034.0</v>
      </c>
      <c r="U31" s="32" t="str">
        <f>"－"</f>
        <v>－</v>
      </c>
      <c r="V31" s="32" t="n">
        <f>13554990</f>
        <v>1.355499E7</v>
      </c>
      <c r="W31" s="32" t="str">
        <f>"－"</f>
        <v>－</v>
      </c>
      <c r="X31" s="36" t="n">
        <f>19</f>
        <v>19.0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1412</f>
        <v>1412.0</v>
      </c>
      <c r="L32" s="34" t="s">
        <v>48</v>
      </c>
      <c r="M32" s="33" t="n">
        <f>1470</f>
        <v>1470.0</v>
      </c>
      <c r="N32" s="34" t="s">
        <v>48</v>
      </c>
      <c r="O32" s="33" t="n">
        <f>1298</f>
        <v>1298.0</v>
      </c>
      <c r="P32" s="34" t="s">
        <v>49</v>
      </c>
      <c r="Q32" s="33" t="n">
        <f>1411</f>
        <v>1411.0</v>
      </c>
      <c r="R32" s="34" t="s">
        <v>50</v>
      </c>
      <c r="S32" s="35" t="n">
        <f>1363.37</f>
        <v>1363.37</v>
      </c>
      <c r="T32" s="32" t="n">
        <f>7245220</f>
        <v>7245220.0</v>
      </c>
      <c r="U32" s="32" t="n">
        <f>506860</f>
        <v>506860.0</v>
      </c>
      <c r="V32" s="32" t="n">
        <f>9951071050</f>
        <v>9.95107105E9</v>
      </c>
      <c r="W32" s="32" t="n">
        <f>729959060</f>
        <v>7.2995906E8</v>
      </c>
      <c r="X32" s="36" t="n">
        <f>19</f>
        <v>19.0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489</f>
        <v>489.0</v>
      </c>
      <c r="L33" s="34" t="s">
        <v>48</v>
      </c>
      <c r="M33" s="33" t="n">
        <f>512</f>
        <v>512.0</v>
      </c>
      <c r="N33" s="34" t="s">
        <v>77</v>
      </c>
      <c r="O33" s="33" t="n">
        <f>441</f>
        <v>441.0</v>
      </c>
      <c r="P33" s="34" t="s">
        <v>49</v>
      </c>
      <c r="Q33" s="33" t="n">
        <f>483</f>
        <v>483.0</v>
      </c>
      <c r="R33" s="34" t="s">
        <v>50</v>
      </c>
      <c r="S33" s="35" t="n">
        <f>467.58</f>
        <v>467.58</v>
      </c>
      <c r="T33" s="32" t="n">
        <f>1243364265</f>
        <v>1.243364265E9</v>
      </c>
      <c r="U33" s="32" t="n">
        <f>864424</f>
        <v>864424.0</v>
      </c>
      <c r="V33" s="32" t="n">
        <f>583582110759</f>
        <v>5.83582110759E11</v>
      </c>
      <c r="W33" s="32" t="n">
        <f>406922123</f>
        <v>4.06922123E8</v>
      </c>
      <c r="X33" s="36" t="n">
        <f>19</f>
        <v>19.0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27150</f>
        <v>27150.0</v>
      </c>
      <c r="L34" s="34" t="s">
        <v>48</v>
      </c>
      <c r="M34" s="33" t="n">
        <f>29850</f>
        <v>29850.0</v>
      </c>
      <c r="N34" s="34" t="s">
        <v>49</v>
      </c>
      <c r="O34" s="33" t="n">
        <f>25940</f>
        <v>25940.0</v>
      </c>
      <c r="P34" s="34" t="s">
        <v>77</v>
      </c>
      <c r="Q34" s="33" t="n">
        <f>27080</f>
        <v>27080.0</v>
      </c>
      <c r="R34" s="34" t="s">
        <v>50</v>
      </c>
      <c r="S34" s="35" t="n">
        <f>28238.95</f>
        <v>28238.95</v>
      </c>
      <c r="T34" s="32" t="n">
        <f>257029</f>
        <v>257029.0</v>
      </c>
      <c r="U34" s="32" t="n">
        <f>1</f>
        <v>1.0</v>
      </c>
      <c r="V34" s="32" t="n">
        <f>7260669680</f>
        <v>7.26066968E9</v>
      </c>
      <c r="W34" s="32" t="n">
        <f>28170</f>
        <v>28170.0</v>
      </c>
      <c r="X34" s="36" t="n">
        <f>19</f>
        <v>19.0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1189</f>
        <v>1189.0</v>
      </c>
      <c r="L35" s="34" t="s">
        <v>48</v>
      </c>
      <c r="M35" s="33" t="n">
        <f>1244</f>
        <v>1244.0</v>
      </c>
      <c r="N35" s="34" t="s">
        <v>77</v>
      </c>
      <c r="O35" s="33" t="n">
        <f>1074</f>
        <v>1074.0</v>
      </c>
      <c r="P35" s="34" t="s">
        <v>49</v>
      </c>
      <c r="Q35" s="33" t="n">
        <f>1175</f>
        <v>1175.0</v>
      </c>
      <c r="R35" s="34" t="s">
        <v>50</v>
      </c>
      <c r="S35" s="35" t="n">
        <f>1137.68</f>
        <v>1137.68</v>
      </c>
      <c r="T35" s="32" t="n">
        <f>116317980</f>
        <v>1.1631798E8</v>
      </c>
      <c r="U35" s="32" t="n">
        <f>3550</f>
        <v>3550.0</v>
      </c>
      <c r="V35" s="32" t="n">
        <f>133579556300</f>
        <v>1.335795563E11</v>
      </c>
      <c r="W35" s="32" t="n">
        <f>4131590</f>
        <v>4131590.0</v>
      </c>
      <c r="X35" s="36" t="n">
        <f>19</f>
        <v>19.0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16840</f>
        <v>16840.0</v>
      </c>
      <c r="L36" s="34" t="s">
        <v>48</v>
      </c>
      <c r="M36" s="33" t="n">
        <f>17540</f>
        <v>17540.0</v>
      </c>
      <c r="N36" s="34" t="s">
        <v>49</v>
      </c>
      <c r="O36" s="33" t="n">
        <f>16500</f>
        <v>16500.0</v>
      </c>
      <c r="P36" s="34" t="s">
        <v>48</v>
      </c>
      <c r="Q36" s="33" t="n">
        <f>16840</f>
        <v>16840.0</v>
      </c>
      <c r="R36" s="34" t="s">
        <v>50</v>
      </c>
      <c r="S36" s="35" t="n">
        <f>17130.53</f>
        <v>17130.53</v>
      </c>
      <c r="T36" s="32" t="n">
        <f>21288</f>
        <v>21288.0</v>
      </c>
      <c r="U36" s="32" t="n">
        <f>4000</f>
        <v>4000.0</v>
      </c>
      <c r="V36" s="32" t="n">
        <f>365515190</f>
        <v>3.6551519E8</v>
      </c>
      <c r="W36" s="32" t="n">
        <f>68985980</f>
        <v>6.898598E7</v>
      </c>
      <c r="X36" s="36" t="n">
        <f>19</f>
        <v>19.0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22410</f>
        <v>22410.0</v>
      </c>
      <c r="L37" s="34" t="s">
        <v>48</v>
      </c>
      <c r="M37" s="33" t="n">
        <f>24680</f>
        <v>24680.0</v>
      </c>
      <c r="N37" s="34" t="s">
        <v>49</v>
      </c>
      <c r="O37" s="33" t="n">
        <f>21440</f>
        <v>21440.0</v>
      </c>
      <c r="P37" s="34" t="s">
        <v>77</v>
      </c>
      <c r="Q37" s="33" t="n">
        <f>22400</f>
        <v>22400.0</v>
      </c>
      <c r="R37" s="34" t="s">
        <v>50</v>
      </c>
      <c r="S37" s="35" t="n">
        <f>23345.26</f>
        <v>23345.26</v>
      </c>
      <c r="T37" s="32" t="n">
        <f>834970</f>
        <v>834970.0</v>
      </c>
      <c r="U37" s="32" t="n">
        <f>6</f>
        <v>6.0</v>
      </c>
      <c r="V37" s="32" t="n">
        <f>19472944000</f>
        <v>1.9472944E10</v>
      </c>
      <c r="W37" s="32" t="n">
        <f>138110</f>
        <v>138110.0</v>
      </c>
      <c r="X37" s="36" t="n">
        <f>19</f>
        <v>19.0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1274</f>
        <v>1274.0</v>
      </c>
      <c r="L38" s="34" t="s">
        <v>48</v>
      </c>
      <c r="M38" s="33" t="n">
        <f>1332</f>
        <v>1332.0</v>
      </c>
      <c r="N38" s="34" t="s">
        <v>77</v>
      </c>
      <c r="O38" s="33" t="n">
        <f>1151</f>
        <v>1151.0</v>
      </c>
      <c r="P38" s="34" t="s">
        <v>49</v>
      </c>
      <c r="Q38" s="33" t="n">
        <f>1260</f>
        <v>1260.0</v>
      </c>
      <c r="R38" s="34" t="s">
        <v>50</v>
      </c>
      <c r="S38" s="35" t="n">
        <f>1218.63</f>
        <v>1218.63</v>
      </c>
      <c r="T38" s="32" t="n">
        <f>12488348</f>
        <v>1.2488348E7</v>
      </c>
      <c r="U38" s="32" t="n">
        <f>5</f>
        <v>5.0</v>
      </c>
      <c r="V38" s="32" t="n">
        <f>15218758929</f>
        <v>1.5218758929E10</v>
      </c>
      <c r="W38" s="32" t="n">
        <f>6341</f>
        <v>6341.0</v>
      </c>
      <c r="X38" s="36" t="n">
        <f>19</f>
        <v>19.0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16020</f>
        <v>16020.0</v>
      </c>
      <c r="L39" s="34" t="s">
        <v>48</v>
      </c>
      <c r="M39" s="33" t="n">
        <f>17360</f>
        <v>17360.0</v>
      </c>
      <c r="N39" s="34" t="s">
        <v>49</v>
      </c>
      <c r="O39" s="33" t="n">
        <f>15390</f>
        <v>15390.0</v>
      </c>
      <c r="P39" s="34" t="s">
        <v>48</v>
      </c>
      <c r="Q39" s="33" t="n">
        <f>15930</f>
        <v>15930.0</v>
      </c>
      <c r="R39" s="34" t="s">
        <v>50</v>
      </c>
      <c r="S39" s="35" t="n">
        <f>16544.74</f>
        <v>16544.74</v>
      </c>
      <c r="T39" s="32" t="n">
        <f>248454</f>
        <v>248454.0</v>
      </c>
      <c r="U39" s="32" t="n">
        <f>810</f>
        <v>810.0</v>
      </c>
      <c r="V39" s="32" t="n">
        <f>4116631220</f>
        <v>4.11663122E9</v>
      </c>
      <c r="W39" s="32" t="n">
        <f>13259000</f>
        <v>1.3259E7</v>
      </c>
      <c r="X39" s="36" t="n">
        <f>19</f>
        <v>19.0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2054</f>
        <v>2054.0</v>
      </c>
      <c r="L40" s="34" t="s">
        <v>48</v>
      </c>
      <c r="M40" s="33" t="n">
        <f>2134</f>
        <v>2134.0</v>
      </c>
      <c r="N40" s="34" t="s">
        <v>48</v>
      </c>
      <c r="O40" s="33" t="n">
        <f>1886</f>
        <v>1886.0</v>
      </c>
      <c r="P40" s="34" t="s">
        <v>49</v>
      </c>
      <c r="Q40" s="33" t="n">
        <f>2046</f>
        <v>2046.0</v>
      </c>
      <c r="R40" s="34" t="s">
        <v>50</v>
      </c>
      <c r="S40" s="35" t="n">
        <f>1978.16</f>
        <v>1978.16</v>
      </c>
      <c r="T40" s="32" t="n">
        <f>1441907</f>
        <v>1441907.0</v>
      </c>
      <c r="U40" s="32" t="n">
        <f>3192</f>
        <v>3192.0</v>
      </c>
      <c r="V40" s="32" t="n">
        <f>2883569056</f>
        <v>2.883569056E9</v>
      </c>
      <c r="W40" s="32" t="n">
        <f>6411735</f>
        <v>6411735.0</v>
      </c>
      <c r="X40" s="36" t="n">
        <f>19</f>
        <v>19.0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27790</f>
        <v>27790.0</v>
      </c>
      <c r="L41" s="34" t="s">
        <v>48</v>
      </c>
      <c r="M41" s="33" t="n">
        <f>28980</f>
        <v>28980.0</v>
      </c>
      <c r="N41" s="34" t="s">
        <v>49</v>
      </c>
      <c r="O41" s="33" t="n">
        <f>27200</f>
        <v>27200.0</v>
      </c>
      <c r="P41" s="34" t="s">
        <v>77</v>
      </c>
      <c r="Q41" s="33" t="n">
        <f>27680</f>
        <v>27680.0</v>
      </c>
      <c r="R41" s="34" t="s">
        <v>50</v>
      </c>
      <c r="S41" s="35" t="n">
        <f>28222.11</f>
        <v>28222.11</v>
      </c>
      <c r="T41" s="32" t="n">
        <f>208957</f>
        <v>208957.0</v>
      </c>
      <c r="U41" s="32" t="n">
        <f>111540</f>
        <v>111540.0</v>
      </c>
      <c r="V41" s="32" t="n">
        <f>5856152393</f>
        <v>5.856152393E9</v>
      </c>
      <c r="W41" s="32" t="n">
        <f>3112896483</f>
        <v>3.112896483E9</v>
      </c>
      <c r="X41" s="36" t="n">
        <f>19</f>
        <v>19.0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4515</f>
        <v>4515.0</v>
      </c>
      <c r="L42" s="34" t="s">
        <v>48</v>
      </c>
      <c r="M42" s="33" t="n">
        <f>4645</f>
        <v>4645.0</v>
      </c>
      <c r="N42" s="34" t="s">
        <v>96</v>
      </c>
      <c r="O42" s="33" t="n">
        <f>4420</f>
        <v>4420.0</v>
      </c>
      <c r="P42" s="34" t="s">
        <v>88</v>
      </c>
      <c r="Q42" s="33" t="n">
        <f>4445</f>
        <v>4445.0</v>
      </c>
      <c r="R42" s="34" t="s">
        <v>50</v>
      </c>
      <c r="S42" s="35" t="n">
        <f>4553.16</f>
        <v>4553.16</v>
      </c>
      <c r="T42" s="32" t="n">
        <f>4953</f>
        <v>4953.0</v>
      </c>
      <c r="U42" s="32" t="str">
        <f>"－"</f>
        <v>－</v>
      </c>
      <c r="V42" s="32" t="n">
        <f>22536100</f>
        <v>2.25361E7</v>
      </c>
      <c r="W42" s="32" t="str">
        <f>"－"</f>
        <v>－</v>
      </c>
      <c r="X42" s="36" t="n">
        <f>19</f>
        <v>19.0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8230</f>
        <v>8230.0</v>
      </c>
      <c r="L43" s="34" t="s">
        <v>48</v>
      </c>
      <c r="M43" s="33" t="n">
        <f>8470</f>
        <v>8470.0</v>
      </c>
      <c r="N43" s="34" t="s">
        <v>49</v>
      </c>
      <c r="O43" s="33" t="n">
        <f>8050</f>
        <v>8050.0</v>
      </c>
      <c r="P43" s="34" t="s">
        <v>48</v>
      </c>
      <c r="Q43" s="33" t="n">
        <f>8110</f>
        <v>8110.0</v>
      </c>
      <c r="R43" s="34" t="s">
        <v>50</v>
      </c>
      <c r="S43" s="35" t="n">
        <f>8310.53</f>
        <v>8310.53</v>
      </c>
      <c r="T43" s="32" t="n">
        <f>3429</f>
        <v>3429.0</v>
      </c>
      <c r="U43" s="32" t="str">
        <f>"－"</f>
        <v>－</v>
      </c>
      <c r="V43" s="32" t="n">
        <f>28510010</f>
        <v>2.851001E7</v>
      </c>
      <c r="W43" s="32" t="str">
        <f>"－"</f>
        <v>－</v>
      </c>
      <c r="X43" s="36" t="n">
        <f>19</f>
        <v>19.0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17000</f>
        <v>17000.0</v>
      </c>
      <c r="L44" s="34" t="s">
        <v>172</v>
      </c>
      <c r="M44" s="33" t="n">
        <f>17100</f>
        <v>17100.0</v>
      </c>
      <c r="N44" s="34" t="s">
        <v>96</v>
      </c>
      <c r="O44" s="33" t="n">
        <f>15910</f>
        <v>15910.0</v>
      </c>
      <c r="P44" s="34" t="s">
        <v>88</v>
      </c>
      <c r="Q44" s="33" t="n">
        <f>15910</f>
        <v>15910.0</v>
      </c>
      <c r="R44" s="34" t="s">
        <v>88</v>
      </c>
      <c r="S44" s="35" t="n">
        <f>16753</f>
        <v>16753.0</v>
      </c>
      <c r="T44" s="32" t="n">
        <f>146</f>
        <v>146.0</v>
      </c>
      <c r="U44" s="32" t="str">
        <f>"－"</f>
        <v>－</v>
      </c>
      <c r="V44" s="32" t="n">
        <f>2448270</f>
        <v>2448270.0</v>
      </c>
      <c r="W44" s="32" t="str">
        <f>"－"</f>
        <v>－</v>
      </c>
      <c r="X44" s="36" t="n">
        <f>10</f>
        <v>10.0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13930</f>
        <v>13930.0</v>
      </c>
      <c r="L45" s="34" t="s">
        <v>84</v>
      </c>
      <c r="M45" s="33" t="n">
        <f>14660</f>
        <v>14660.0</v>
      </c>
      <c r="N45" s="34" t="s">
        <v>176</v>
      </c>
      <c r="O45" s="33" t="n">
        <f>13710</f>
        <v>13710.0</v>
      </c>
      <c r="P45" s="34" t="s">
        <v>77</v>
      </c>
      <c r="Q45" s="33" t="n">
        <f>14660</f>
        <v>14660.0</v>
      </c>
      <c r="R45" s="34" t="s">
        <v>176</v>
      </c>
      <c r="S45" s="35" t="n">
        <f>14254.29</f>
        <v>14254.29</v>
      </c>
      <c r="T45" s="32" t="n">
        <f>40</f>
        <v>40.0</v>
      </c>
      <c r="U45" s="32" t="str">
        <f>"－"</f>
        <v>－</v>
      </c>
      <c r="V45" s="32" t="n">
        <f>575040</f>
        <v>575040.0</v>
      </c>
      <c r="W45" s="32" t="str">
        <f>"－"</f>
        <v>－</v>
      </c>
      <c r="X45" s="36" t="n">
        <f>7</f>
        <v>7.0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8650</f>
        <v>8650.0</v>
      </c>
      <c r="L46" s="34" t="s">
        <v>48</v>
      </c>
      <c r="M46" s="33" t="n">
        <f>9100</f>
        <v>9100.0</v>
      </c>
      <c r="N46" s="34" t="s">
        <v>172</v>
      </c>
      <c r="O46" s="33" t="n">
        <f>8410</f>
        <v>8410.0</v>
      </c>
      <c r="P46" s="34" t="s">
        <v>48</v>
      </c>
      <c r="Q46" s="33" t="n">
        <f>8640</f>
        <v>8640.0</v>
      </c>
      <c r="R46" s="34" t="s">
        <v>50</v>
      </c>
      <c r="S46" s="35" t="n">
        <f>8846.84</f>
        <v>8846.84</v>
      </c>
      <c r="T46" s="32" t="n">
        <f>4135</f>
        <v>4135.0</v>
      </c>
      <c r="U46" s="32" t="str">
        <f>"－"</f>
        <v>－</v>
      </c>
      <c r="V46" s="32" t="n">
        <f>36283850</f>
        <v>3.628385E7</v>
      </c>
      <c r="W46" s="32" t="str">
        <f>"－"</f>
        <v>－</v>
      </c>
      <c r="X46" s="36" t="n">
        <f>19</f>
        <v>19.0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4860</f>
        <v>4860.0</v>
      </c>
      <c r="L47" s="34" t="s">
        <v>48</v>
      </c>
      <c r="M47" s="33" t="n">
        <f>5040</f>
        <v>5040.0</v>
      </c>
      <c r="N47" s="34" t="s">
        <v>92</v>
      </c>
      <c r="O47" s="33" t="n">
        <f>4755</f>
        <v>4755.0</v>
      </c>
      <c r="P47" s="34" t="s">
        <v>84</v>
      </c>
      <c r="Q47" s="33" t="n">
        <f>4865</f>
        <v>4865.0</v>
      </c>
      <c r="R47" s="34" t="s">
        <v>50</v>
      </c>
      <c r="S47" s="35" t="n">
        <f>4923.68</f>
        <v>4923.68</v>
      </c>
      <c r="T47" s="32" t="n">
        <f>1677</f>
        <v>1677.0</v>
      </c>
      <c r="U47" s="32" t="str">
        <f>"－"</f>
        <v>－</v>
      </c>
      <c r="V47" s="32" t="n">
        <f>8242060</f>
        <v>8242060.0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2394</f>
        <v>2394.0</v>
      </c>
      <c r="L48" s="34" t="s">
        <v>48</v>
      </c>
      <c r="M48" s="33" t="n">
        <f>2481</f>
        <v>2481.0</v>
      </c>
      <c r="N48" s="34" t="s">
        <v>131</v>
      </c>
      <c r="O48" s="33" t="n">
        <f>2333</f>
        <v>2333.0</v>
      </c>
      <c r="P48" s="34" t="s">
        <v>84</v>
      </c>
      <c r="Q48" s="33" t="n">
        <f>2395</f>
        <v>2395.0</v>
      </c>
      <c r="R48" s="34" t="s">
        <v>50</v>
      </c>
      <c r="S48" s="35" t="n">
        <f>2401.21</f>
        <v>2401.21</v>
      </c>
      <c r="T48" s="32" t="n">
        <f>5236</f>
        <v>5236.0</v>
      </c>
      <c r="U48" s="32" t="str">
        <f>"－"</f>
        <v>－</v>
      </c>
      <c r="V48" s="32" t="n">
        <f>12526722</f>
        <v>1.2526722E7</v>
      </c>
      <c r="W48" s="32" t="str">
        <f>"－"</f>
        <v>－</v>
      </c>
      <c r="X48" s="36" t="n">
        <f>19</f>
        <v>19.0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2339</f>
        <v>2339.0</v>
      </c>
      <c r="L49" s="34" t="s">
        <v>48</v>
      </c>
      <c r="M49" s="33" t="n">
        <f>2496</f>
        <v>2496.0</v>
      </c>
      <c r="N49" s="34" t="s">
        <v>96</v>
      </c>
      <c r="O49" s="33" t="n">
        <f>2269</f>
        <v>2269.0</v>
      </c>
      <c r="P49" s="34" t="s">
        <v>48</v>
      </c>
      <c r="Q49" s="33" t="n">
        <f>2307</f>
        <v>2307.0</v>
      </c>
      <c r="R49" s="34" t="s">
        <v>50</v>
      </c>
      <c r="S49" s="35" t="n">
        <f>2381.63</f>
        <v>2381.63</v>
      </c>
      <c r="T49" s="32" t="n">
        <f>10351</f>
        <v>10351.0</v>
      </c>
      <c r="U49" s="32" t="str">
        <f>"－"</f>
        <v>－</v>
      </c>
      <c r="V49" s="32" t="n">
        <f>24828804</f>
        <v>2.4828804E7</v>
      </c>
      <c r="W49" s="32" t="str">
        <f>"－"</f>
        <v>－</v>
      </c>
      <c r="X49" s="36" t="n">
        <f>19</f>
        <v>19.0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38200</f>
        <v>38200.0</v>
      </c>
      <c r="L50" s="34" t="s">
        <v>48</v>
      </c>
      <c r="M50" s="33" t="n">
        <f>39950</f>
        <v>39950.0</v>
      </c>
      <c r="N50" s="34" t="s">
        <v>69</v>
      </c>
      <c r="O50" s="33" t="n">
        <f>37450</f>
        <v>37450.0</v>
      </c>
      <c r="P50" s="34" t="s">
        <v>77</v>
      </c>
      <c r="Q50" s="33" t="n">
        <f>38700</f>
        <v>38700.0</v>
      </c>
      <c r="R50" s="34" t="s">
        <v>50</v>
      </c>
      <c r="S50" s="35" t="n">
        <f>38942.11</f>
        <v>38942.11</v>
      </c>
      <c r="T50" s="32" t="n">
        <f>783</f>
        <v>783.0</v>
      </c>
      <c r="U50" s="32" t="str">
        <f>"－"</f>
        <v>－</v>
      </c>
      <c r="V50" s="32" t="n">
        <f>30483050</f>
        <v>3.048305E7</v>
      </c>
      <c r="W50" s="32" t="str">
        <f>"－"</f>
        <v>－</v>
      </c>
      <c r="X50" s="36" t="n">
        <f>19</f>
        <v>19.0</v>
      </c>
    </row>
    <row r="51">
      <c r="A51" s="27" t="s">
        <v>42</v>
      </c>
      <c r="B51" s="27" t="s">
        <v>192</v>
      </c>
      <c r="C51" s="27" t="s">
        <v>193</v>
      </c>
      <c r="D51" s="27" t="s">
        <v>194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28500</f>
        <v>28500.0</v>
      </c>
      <c r="L51" s="34" t="s">
        <v>77</v>
      </c>
      <c r="M51" s="33" t="n">
        <f>29790</f>
        <v>29790.0</v>
      </c>
      <c r="N51" s="34" t="s">
        <v>49</v>
      </c>
      <c r="O51" s="33" t="n">
        <f>28000</f>
        <v>28000.0</v>
      </c>
      <c r="P51" s="34" t="s">
        <v>77</v>
      </c>
      <c r="Q51" s="33" t="n">
        <f>28690</f>
        <v>28690.0</v>
      </c>
      <c r="R51" s="34" t="s">
        <v>50</v>
      </c>
      <c r="S51" s="35" t="n">
        <f>29102.31</f>
        <v>29102.31</v>
      </c>
      <c r="T51" s="32" t="n">
        <f>253</f>
        <v>253.0</v>
      </c>
      <c r="U51" s="32" t="str">
        <f>"－"</f>
        <v>－</v>
      </c>
      <c r="V51" s="32" t="n">
        <f>7286210</f>
        <v>7286210.0</v>
      </c>
      <c r="W51" s="32" t="str">
        <f>"－"</f>
        <v>－</v>
      </c>
      <c r="X51" s="36" t="n">
        <f>13</f>
        <v>13.0</v>
      </c>
    </row>
    <row r="52">
      <c r="A52" s="27" t="s">
        <v>42</v>
      </c>
      <c r="B52" s="27" t="s">
        <v>195</v>
      </c>
      <c r="C52" s="27" t="s">
        <v>196</v>
      </c>
      <c r="D52" s="27" t="s">
        <v>197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27820</f>
        <v>27820.0</v>
      </c>
      <c r="L52" s="34" t="s">
        <v>48</v>
      </c>
      <c r="M52" s="33" t="n">
        <f>29300</f>
        <v>29300.0</v>
      </c>
      <c r="N52" s="34" t="s">
        <v>69</v>
      </c>
      <c r="O52" s="33" t="n">
        <f>26840</f>
        <v>26840.0</v>
      </c>
      <c r="P52" s="34" t="s">
        <v>77</v>
      </c>
      <c r="Q52" s="33" t="n">
        <f>27800</f>
        <v>27800.0</v>
      </c>
      <c r="R52" s="34" t="s">
        <v>50</v>
      </c>
      <c r="S52" s="35" t="n">
        <f>28305.88</f>
        <v>28305.88</v>
      </c>
      <c r="T52" s="32" t="n">
        <f>417636</f>
        <v>417636.0</v>
      </c>
      <c r="U52" s="32" t="n">
        <f>416887</f>
        <v>416887.0</v>
      </c>
      <c r="V52" s="32" t="n">
        <f>12103745413</f>
        <v>1.2103745413E10</v>
      </c>
      <c r="W52" s="32" t="n">
        <f>12082322853</f>
        <v>1.2082322853E10</v>
      </c>
      <c r="X52" s="36" t="n">
        <f>17</f>
        <v>17.0</v>
      </c>
    </row>
    <row r="53">
      <c r="A53" s="27" t="s">
        <v>42</v>
      </c>
      <c r="B53" s="27" t="s">
        <v>198</v>
      </c>
      <c r="C53" s="27" t="s">
        <v>199</v>
      </c>
      <c r="D53" s="27" t="s">
        <v>200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1820</f>
        <v>1820.0</v>
      </c>
      <c r="L53" s="34" t="s">
        <v>48</v>
      </c>
      <c r="M53" s="33" t="n">
        <f>1882</f>
        <v>1882.0</v>
      </c>
      <c r="N53" s="34" t="s">
        <v>50</v>
      </c>
      <c r="O53" s="33" t="n">
        <f>1786</f>
        <v>1786.0</v>
      </c>
      <c r="P53" s="34" t="s">
        <v>69</v>
      </c>
      <c r="Q53" s="33" t="n">
        <f>1864</f>
        <v>1864.0</v>
      </c>
      <c r="R53" s="34" t="s">
        <v>50</v>
      </c>
      <c r="S53" s="35" t="n">
        <f>1818.58</f>
        <v>1818.58</v>
      </c>
      <c r="T53" s="32" t="n">
        <f>102690</f>
        <v>102690.0</v>
      </c>
      <c r="U53" s="32" t="n">
        <f>41000</f>
        <v>41000.0</v>
      </c>
      <c r="V53" s="32" t="n">
        <f>185556890</f>
        <v>1.8555689E8</v>
      </c>
      <c r="W53" s="32" t="n">
        <f>73801950</f>
        <v>7.380195E7</v>
      </c>
      <c r="X53" s="36" t="n">
        <f>19</f>
        <v>19.0</v>
      </c>
    </row>
    <row r="54">
      <c r="A54" s="27" t="s">
        <v>42</v>
      </c>
      <c r="B54" s="27" t="s">
        <v>201</v>
      </c>
      <c r="C54" s="27" t="s">
        <v>202</v>
      </c>
      <c r="D54" s="27" t="s">
        <v>203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1459</f>
        <v>1459.0</v>
      </c>
      <c r="L54" s="34" t="s">
        <v>48</v>
      </c>
      <c r="M54" s="33" t="n">
        <f>1494</f>
        <v>1494.0</v>
      </c>
      <c r="N54" s="34" t="s">
        <v>73</v>
      </c>
      <c r="O54" s="33" t="n">
        <f>1415</f>
        <v>1415.0</v>
      </c>
      <c r="P54" s="34" t="s">
        <v>48</v>
      </c>
      <c r="Q54" s="33" t="n">
        <f>1483</f>
        <v>1483.0</v>
      </c>
      <c r="R54" s="34" t="s">
        <v>50</v>
      </c>
      <c r="S54" s="35" t="n">
        <f>1465.78</f>
        <v>1465.78</v>
      </c>
      <c r="T54" s="32" t="n">
        <f>74330</f>
        <v>74330.0</v>
      </c>
      <c r="U54" s="32" t="n">
        <f>32000</f>
        <v>32000.0</v>
      </c>
      <c r="V54" s="32" t="n">
        <f>107471950</f>
        <v>1.0747195E8</v>
      </c>
      <c r="W54" s="32" t="n">
        <f>46176640</f>
        <v>4.617664E7</v>
      </c>
      <c r="X54" s="36" t="n">
        <f>18</f>
        <v>18.0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4695</f>
        <v>4695.0</v>
      </c>
      <c r="L55" s="34" t="s">
        <v>48</v>
      </c>
      <c r="M55" s="33" t="n">
        <f>4795</f>
        <v>4795.0</v>
      </c>
      <c r="N55" s="34" t="s">
        <v>77</v>
      </c>
      <c r="O55" s="33" t="n">
        <f>4465</f>
        <v>4465.0</v>
      </c>
      <c r="P55" s="34" t="s">
        <v>49</v>
      </c>
      <c r="Q55" s="33" t="n">
        <f>4675</f>
        <v>4675.0</v>
      </c>
      <c r="R55" s="34" t="s">
        <v>50</v>
      </c>
      <c r="S55" s="35" t="n">
        <f>4589.47</f>
        <v>4589.47</v>
      </c>
      <c r="T55" s="32" t="n">
        <f>365320</f>
        <v>365320.0</v>
      </c>
      <c r="U55" s="32" t="n">
        <f>5</f>
        <v>5.0</v>
      </c>
      <c r="V55" s="32" t="n">
        <f>1680286835</f>
        <v>1.680286835E9</v>
      </c>
      <c r="W55" s="32" t="n">
        <f>23365</f>
        <v>23365.0</v>
      </c>
      <c r="X55" s="36" t="n">
        <f>19</f>
        <v>19.0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5890</f>
        <v>5890.0</v>
      </c>
      <c r="L56" s="34" t="s">
        <v>48</v>
      </c>
      <c r="M56" s="33" t="n">
        <f>6010</f>
        <v>6010.0</v>
      </c>
      <c r="N56" s="34" t="s">
        <v>48</v>
      </c>
      <c r="O56" s="33" t="n">
        <f>5650</f>
        <v>5650.0</v>
      </c>
      <c r="P56" s="34" t="s">
        <v>49</v>
      </c>
      <c r="Q56" s="33" t="n">
        <f>5890</f>
        <v>5890.0</v>
      </c>
      <c r="R56" s="34" t="s">
        <v>50</v>
      </c>
      <c r="S56" s="35" t="n">
        <f>5781.58</f>
        <v>5781.58</v>
      </c>
      <c r="T56" s="32" t="n">
        <f>531565</f>
        <v>531565.0</v>
      </c>
      <c r="U56" s="32" t="n">
        <f>286261</f>
        <v>286261.0</v>
      </c>
      <c r="V56" s="32" t="n">
        <f>3065657705</f>
        <v>3.065657705E9</v>
      </c>
      <c r="W56" s="32" t="n">
        <f>1643876765</f>
        <v>1.643876765E9</v>
      </c>
      <c r="X56" s="36" t="n">
        <f>19</f>
        <v>19.0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17010</f>
        <v>17010.0</v>
      </c>
      <c r="L57" s="34" t="s">
        <v>48</v>
      </c>
      <c r="M57" s="33" t="n">
        <f>18700</f>
        <v>18700.0</v>
      </c>
      <c r="N57" s="34" t="s">
        <v>49</v>
      </c>
      <c r="O57" s="33" t="n">
        <f>16240</f>
        <v>16240.0</v>
      </c>
      <c r="P57" s="34" t="s">
        <v>77</v>
      </c>
      <c r="Q57" s="33" t="n">
        <f>17000</f>
        <v>17000.0</v>
      </c>
      <c r="R57" s="34" t="s">
        <v>50</v>
      </c>
      <c r="S57" s="35" t="n">
        <f>17699.47</f>
        <v>17699.47</v>
      </c>
      <c r="T57" s="32" t="n">
        <f>13994416</f>
        <v>1.3994416E7</v>
      </c>
      <c r="U57" s="32" t="n">
        <f>6</f>
        <v>6.0</v>
      </c>
      <c r="V57" s="32" t="n">
        <f>248158091770</f>
        <v>2.4815809177E11</v>
      </c>
      <c r="W57" s="32" t="n">
        <f>103750</f>
        <v>103750.0</v>
      </c>
      <c r="X57" s="36" t="n">
        <f>19</f>
        <v>19.0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1946</f>
        <v>1946.0</v>
      </c>
      <c r="L58" s="34" t="s">
        <v>48</v>
      </c>
      <c r="M58" s="33" t="n">
        <f>2034</f>
        <v>2034.0</v>
      </c>
      <c r="N58" s="34" t="s">
        <v>77</v>
      </c>
      <c r="O58" s="33" t="n">
        <f>1757</f>
        <v>1757.0</v>
      </c>
      <c r="P58" s="34" t="s">
        <v>49</v>
      </c>
      <c r="Q58" s="33" t="n">
        <f>1921</f>
        <v>1921.0</v>
      </c>
      <c r="R58" s="34" t="s">
        <v>50</v>
      </c>
      <c r="S58" s="35" t="n">
        <f>1860.95</f>
        <v>1860.95</v>
      </c>
      <c r="T58" s="32" t="n">
        <f>63540444</f>
        <v>6.3540444E7</v>
      </c>
      <c r="U58" s="32" t="n">
        <f>3</f>
        <v>3.0</v>
      </c>
      <c r="V58" s="32" t="n">
        <f>119019918821</f>
        <v>1.19019918821E11</v>
      </c>
      <c r="W58" s="32" t="n">
        <f>5652</f>
        <v>5652.0</v>
      </c>
      <c r="X58" s="36" t="n">
        <f>19</f>
        <v>19.0</v>
      </c>
    </row>
    <row r="59">
      <c r="A59" s="27" t="s">
        <v>42</v>
      </c>
      <c r="B59" s="27" t="s">
        <v>216</v>
      </c>
      <c r="C59" s="27" t="s">
        <v>217</v>
      </c>
      <c r="D59" s="27" t="s">
        <v>218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23110</f>
        <v>23110.0</v>
      </c>
      <c r="L59" s="34" t="s">
        <v>48</v>
      </c>
      <c r="M59" s="33" t="n">
        <f>24000</f>
        <v>24000.0</v>
      </c>
      <c r="N59" s="34" t="s">
        <v>48</v>
      </c>
      <c r="O59" s="33" t="n">
        <f>23110</f>
        <v>23110.0</v>
      </c>
      <c r="P59" s="34" t="s">
        <v>48</v>
      </c>
      <c r="Q59" s="33" t="n">
        <f>23800</f>
        <v>23800.0</v>
      </c>
      <c r="R59" s="34" t="s">
        <v>176</v>
      </c>
      <c r="S59" s="35" t="n">
        <f>23866</f>
        <v>23866.0</v>
      </c>
      <c r="T59" s="32" t="n">
        <f>7036</f>
        <v>7036.0</v>
      </c>
      <c r="U59" s="32" t="n">
        <f>7000</f>
        <v>7000.0</v>
      </c>
      <c r="V59" s="32" t="n">
        <f>171174130</f>
        <v>1.7117413E8</v>
      </c>
      <c r="W59" s="32" t="n">
        <f>170317000</f>
        <v>1.70317E8</v>
      </c>
      <c r="X59" s="36" t="n">
        <f>5</f>
        <v>5.0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12910</f>
        <v>12910.0</v>
      </c>
      <c r="L60" s="34" t="s">
        <v>48</v>
      </c>
      <c r="M60" s="33" t="n">
        <f>14080</f>
        <v>14080.0</v>
      </c>
      <c r="N60" s="34" t="s">
        <v>49</v>
      </c>
      <c r="O60" s="33" t="n">
        <f>12430</f>
        <v>12430.0</v>
      </c>
      <c r="P60" s="34" t="s">
        <v>48</v>
      </c>
      <c r="Q60" s="33" t="n">
        <f>12920</f>
        <v>12920.0</v>
      </c>
      <c r="R60" s="34" t="s">
        <v>50</v>
      </c>
      <c r="S60" s="35" t="n">
        <f>13390.53</f>
        <v>13390.53</v>
      </c>
      <c r="T60" s="32" t="n">
        <f>3241</f>
        <v>3241.0</v>
      </c>
      <c r="U60" s="32" t="str">
        <f>"－"</f>
        <v>－</v>
      </c>
      <c r="V60" s="32" t="n">
        <f>43084010</f>
        <v>4.308401E7</v>
      </c>
      <c r="W60" s="32" t="str">
        <f>"－"</f>
        <v>－</v>
      </c>
      <c r="X60" s="36" t="n">
        <f>19</f>
        <v>19.0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5740</f>
        <v>5740.0</v>
      </c>
      <c r="L61" s="34" t="s">
        <v>48</v>
      </c>
      <c r="M61" s="33" t="n">
        <f>5850</f>
        <v>5850.0</v>
      </c>
      <c r="N61" s="34" t="s">
        <v>48</v>
      </c>
      <c r="O61" s="33" t="n">
        <f>5490</f>
        <v>5490.0</v>
      </c>
      <c r="P61" s="34" t="s">
        <v>49</v>
      </c>
      <c r="Q61" s="33" t="n">
        <f>5610</f>
        <v>5610.0</v>
      </c>
      <c r="R61" s="34" t="s">
        <v>88</v>
      </c>
      <c r="S61" s="35" t="n">
        <f>5610</f>
        <v>5610.0</v>
      </c>
      <c r="T61" s="32" t="n">
        <f>1155</f>
        <v>1155.0</v>
      </c>
      <c r="U61" s="32" t="str">
        <f>"－"</f>
        <v>－</v>
      </c>
      <c r="V61" s="32" t="n">
        <f>6526150</f>
        <v>6526150.0</v>
      </c>
      <c r="W61" s="32" t="str">
        <f>"－"</f>
        <v>－</v>
      </c>
      <c r="X61" s="36" t="n">
        <f>17</f>
        <v>17.0</v>
      </c>
    </row>
    <row r="62">
      <c r="A62" s="27" t="s">
        <v>42</v>
      </c>
      <c r="B62" s="27" t="s">
        <v>225</v>
      </c>
      <c r="C62" s="27" t="s">
        <v>226</v>
      </c>
      <c r="D62" s="27" t="s">
        <v>227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2640</f>
        <v>2640.0</v>
      </c>
      <c r="L62" s="34" t="s">
        <v>48</v>
      </c>
      <c r="M62" s="33" t="n">
        <f>2735</f>
        <v>2735.0</v>
      </c>
      <c r="N62" s="34" t="s">
        <v>48</v>
      </c>
      <c r="O62" s="33" t="n">
        <f>2404</f>
        <v>2404.0</v>
      </c>
      <c r="P62" s="34" t="s">
        <v>49</v>
      </c>
      <c r="Q62" s="33" t="n">
        <f>2610</f>
        <v>2610.0</v>
      </c>
      <c r="R62" s="34" t="s">
        <v>50</v>
      </c>
      <c r="S62" s="35" t="n">
        <f>2525.95</f>
        <v>2525.95</v>
      </c>
      <c r="T62" s="32" t="n">
        <f>23221</f>
        <v>23221.0</v>
      </c>
      <c r="U62" s="32" t="str">
        <f>"－"</f>
        <v>－</v>
      </c>
      <c r="V62" s="32" t="n">
        <f>58970425</f>
        <v>5.8970425E7</v>
      </c>
      <c r="W62" s="32" t="str">
        <f>"－"</f>
        <v>－</v>
      </c>
      <c r="X62" s="36" t="n">
        <f>19</f>
        <v>19.0</v>
      </c>
    </row>
    <row r="63">
      <c r="A63" s="27" t="s">
        <v>42</v>
      </c>
      <c r="B63" s="27" t="s">
        <v>228</v>
      </c>
      <c r="C63" s="27" t="s">
        <v>229</v>
      </c>
      <c r="D63" s="27" t="s">
        <v>230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12470</f>
        <v>12470.0</v>
      </c>
      <c r="L63" s="34" t="s">
        <v>48</v>
      </c>
      <c r="M63" s="33" t="n">
        <f>13490</f>
        <v>13490.0</v>
      </c>
      <c r="N63" s="34" t="s">
        <v>49</v>
      </c>
      <c r="O63" s="33" t="n">
        <f>11800</f>
        <v>11800.0</v>
      </c>
      <c r="P63" s="34" t="s">
        <v>48</v>
      </c>
      <c r="Q63" s="33" t="n">
        <f>12430</f>
        <v>12430.0</v>
      </c>
      <c r="R63" s="34" t="s">
        <v>50</v>
      </c>
      <c r="S63" s="35" t="n">
        <f>12838.95</f>
        <v>12838.95</v>
      </c>
      <c r="T63" s="32" t="n">
        <f>5010</f>
        <v>5010.0</v>
      </c>
      <c r="U63" s="32" t="str">
        <f>"－"</f>
        <v>－</v>
      </c>
      <c r="V63" s="32" t="n">
        <f>64005400</f>
        <v>6.40054E7</v>
      </c>
      <c r="W63" s="32" t="str">
        <f>"－"</f>
        <v>－</v>
      </c>
      <c r="X63" s="36" t="n">
        <f>19</f>
        <v>19.0</v>
      </c>
    </row>
    <row r="64">
      <c r="A64" s="27" t="s">
        <v>42</v>
      </c>
      <c r="B64" s="27" t="s">
        <v>231</v>
      </c>
      <c r="C64" s="27" t="s">
        <v>232</v>
      </c>
      <c r="D64" s="27" t="s">
        <v>233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5600</f>
        <v>5600.0</v>
      </c>
      <c r="L64" s="34" t="s">
        <v>77</v>
      </c>
      <c r="M64" s="33" t="n">
        <f>5660</f>
        <v>5660.0</v>
      </c>
      <c r="N64" s="34" t="s">
        <v>50</v>
      </c>
      <c r="O64" s="33" t="n">
        <f>5330</f>
        <v>5330.0</v>
      </c>
      <c r="P64" s="34" t="s">
        <v>49</v>
      </c>
      <c r="Q64" s="33" t="n">
        <f>5510</f>
        <v>5510.0</v>
      </c>
      <c r="R64" s="34" t="s">
        <v>50</v>
      </c>
      <c r="S64" s="35" t="n">
        <f>5454.55</f>
        <v>5454.55</v>
      </c>
      <c r="T64" s="32" t="n">
        <f>7670</f>
        <v>7670.0</v>
      </c>
      <c r="U64" s="32" t="n">
        <f>3500</f>
        <v>3500.0</v>
      </c>
      <c r="V64" s="32" t="n">
        <f>41841321</f>
        <v>4.1841321E7</v>
      </c>
      <c r="W64" s="32" t="n">
        <f>18994521</f>
        <v>1.8994521E7</v>
      </c>
      <c r="X64" s="36" t="n">
        <f>11</f>
        <v>11.0</v>
      </c>
    </row>
    <row r="65">
      <c r="A65" s="27" t="s">
        <v>42</v>
      </c>
      <c r="B65" s="27" t="s">
        <v>234</v>
      </c>
      <c r="C65" s="27" t="s">
        <v>235</v>
      </c>
      <c r="D65" s="27" t="s">
        <v>236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2648</f>
        <v>2648.0</v>
      </c>
      <c r="L65" s="34" t="s">
        <v>48</v>
      </c>
      <c r="M65" s="33" t="n">
        <f>2728</f>
        <v>2728.0</v>
      </c>
      <c r="N65" s="34" t="s">
        <v>48</v>
      </c>
      <c r="O65" s="33" t="n">
        <f>2405</f>
        <v>2405.0</v>
      </c>
      <c r="P65" s="34" t="s">
        <v>49</v>
      </c>
      <c r="Q65" s="33" t="n">
        <f>2623</f>
        <v>2623.0</v>
      </c>
      <c r="R65" s="34" t="s">
        <v>50</v>
      </c>
      <c r="S65" s="35" t="n">
        <f>2525.58</f>
        <v>2525.58</v>
      </c>
      <c r="T65" s="32" t="n">
        <f>70040</f>
        <v>70040.0</v>
      </c>
      <c r="U65" s="32" t="n">
        <f>10</f>
        <v>10.0</v>
      </c>
      <c r="V65" s="32" t="n">
        <f>178501330</f>
        <v>1.7850133E8</v>
      </c>
      <c r="W65" s="32" t="n">
        <f>24680</f>
        <v>24680.0</v>
      </c>
      <c r="X65" s="36" t="n">
        <f>19</f>
        <v>19.0</v>
      </c>
    </row>
    <row r="66">
      <c r="A66" s="27" t="s">
        <v>42</v>
      </c>
      <c r="B66" s="27" t="s">
        <v>237</v>
      </c>
      <c r="C66" s="27" t="s">
        <v>238</v>
      </c>
      <c r="D66" s="27" t="s">
        <v>239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23150</f>
        <v>23150.0</v>
      </c>
      <c r="L66" s="34" t="s">
        <v>48</v>
      </c>
      <c r="M66" s="33" t="n">
        <f>24200</f>
        <v>24200.0</v>
      </c>
      <c r="N66" s="34" t="s">
        <v>240</v>
      </c>
      <c r="O66" s="33" t="n">
        <f>22430</f>
        <v>22430.0</v>
      </c>
      <c r="P66" s="34" t="s">
        <v>77</v>
      </c>
      <c r="Q66" s="33" t="n">
        <f>23280</f>
        <v>23280.0</v>
      </c>
      <c r="R66" s="34" t="s">
        <v>50</v>
      </c>
      <c r="S66" s="35" t="n">
        <f>23420.53</f>
        <v>23420.53</v>
      </c>
      <c r="T66" s="32" t="n">
        <f>3674</f>
        <v>3674.0</v>
      </c>
      <c r="U66" s="32" t="str">
        <f>"－"</f>
        <v>－</v>
      </c>
      <c r="V66" s="32" t="n">
        <f>85691270</f>
        <v>8.569127E7</v>
      </c>
      <c r="W66" s="32" t="str">
        <f>"－"</f>
        <v>－</v>
      </c>
      <c r="X66" s="36" t="n">
        <f>19</f>
        <v>19.0</v>
      </c>
    </row>
    <row r="67">
      <c r="A67" s="27" t="s">
        <v>42</v>
      </c>
      <c r="B67" s="27" t="s">
        <v>241</v>
      </c>
      <c r="C67" s="27" t="s">
        <v>242</v>
      </c>
      <c r="D67" s="27" t="s">
        <v>243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3720</f>
        <v>3720.0</v>
      </c>
      <c r="L67" s="34" t="s">
        <v>48</v>
      </c>
      <c r="M67" s="33" t="n">
        <f>3970</f>
        <v>3970.0</v>
      </c>
      <c r="N67" s="34" t="s">
        <v>131</v>
      </c>
      <c r="O67" s="33" t="n">
        <f>3550</f>
        <v>3550.0</v>
      </c>
      <c r="P67" s="34" t="s">
        <v>49</v>
      </c>
      <c r="Q67" s="33" t="n">
        <f>3625</f>
        <v>3625.0</v>
      </c>
      <c r="R67" s="34" t="s">
        <v>50</v>
      </c>
      <c r="S67" s="35" t="n">
        <f>3620.83</f>
        <v>3620.83</v>
      </c>
      <c r="T67" s="32" t="n">
        <f>2738</f>
        <v>2738.0</v>
      </c>
      <c r="U67" s="32" t="str">
        <f>"－"</f>
        <v>－</v>
      </c>
      <c r="V67" s="32" t="n">
        <f>10009135</f>
        <v>1.0009135E7</v>
      </c>
      <c r="W67" s="32" t="str">
        <f>"－"</f>
        <v>－</v>
      </c>
      <c r="X67" s="36" t="n">
        <f>18</f>
        <v>18.0</v>
      </c>
    </row>
    <row r="68">
      <c r="A68" s="27" t="s">
        <v>42</v>
      </c>
      <c r="B68" s="27" t="s">
        <v>244</v>
      </c>
      <c r="C68" s="27" t="s">
        <v>245</v>
      </c>
      <c r="D68" s="27" t="s">
        <v>246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1050</f>
        <v>1050.0</v>
      </c>
      <c r="L68" s="34" t="s">
        <v>48</v>
      </c>
      <c r="M68" s="33" t="n">
        <f>1085</f>
        <v>1085.0</v>
      </c>
      <c r="N68" s="34" t="s">
        <v>48</v>
      </c>
      <c r="O68" s="33" t="n">
        <f>968</f>
        <v>968.0</v>
      </c>
      <c r="P68" s="34" t="s">
        <v>49</v>
      </c>
      <c r="Q68" s="33" t="n">
        <f>1043</f>
        <v>1043.0</v>
      </c>
      <c r="R68" s="34" t="s">
        <v>50</v>
      </c>
      <c r="S68" s="35" t="n">
        <f>1012.74</f>
        <v>1012.74</v>
      </c>
      <c r="T68" s="32" t="n">
        <f>61755</f>
        <v>61755.0</v>
      </c>
      <c r="U68" s="32" t="str">
        <f>"－"</f>
        <v>－</v>
      </c>
      <c r="V68" s="32" t="n">
        <f>62462949</f>
        <v>6.2462949E7</v>
      </c>
      <c r="W68" s="32" t="str">
        <f>"－"</f>
        <v>－</v>
      </c>
      <c r="X68" s="36" t="n">
        <f>19</f>
        <v>19.0</v>
      </c>
    </row>
    <row r="69">
      <c r="A69" s="27" t="s">
        <v>42</v>
      </c>
      <c r="B69" s="27" t="s">
        <v>247</v>
      </c>
      <c r="C69" s="27" t="s">
        <v>248</v>
      </c>
      <c r="D69" s="27" t="s">
        <v>249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1842</f>
        <v>1842.0</v>
      </c>
      <c r="L69" s="34" t="s">
        <v>48</v>
      </c>
      <c r="M69" s="33" t="n">
        <f>1905</f>
        <v>1905.0</v>
      </c>
      <c r="N69" s="34" t="s">
        <v>49</v>
      </c>
      <c r="O69" s="33" t="n">
        <f>1810</f>
        <v>1810.0</v>
      </c>
      <c r="P69" s="34" t="s">
        <v>48</v>
      </c>
      <c r="Q69" s="33" t="n">
        <f>1825</f>
        <v>1825.0</v>
      </c>
      <c r="R69" s="34" t="s">
        <v>50</v>
      </c>
      <c r="S69" s="35" t="n">
        <f>1863.05</f>
        <v>1863.05</v>
      </c>
      <c r="T69" s="32" t="n">
        <f>543370</f>
        <v>543370.0</v>
      </c>
      <c r="U69" s="32" t="n">
        <f>73530</f>
        <v>73530.0</v>
      </c>
      <c r="V69" s="32" t="n">
        <f>1002048952</f>
        <v>1.002048952E9</v>
      </c>
      <c r="W69" s="32" t="n">
        <f>134074602</f>
        <v>1.34074602E8</v>
      </c>
      <c r="X69" s="36" t="n">
        <f>19</f>
        <v>19.0</v>
      </c>
    </row>
    <row r="70">
      <c r="A70" s="27" t="s">
        <v>42</v>
      </c>
      <c r="B70" s="27" t="s">
        <v>250</v>
      </c>
      <c r="C70" s="27" t="s">
        <v>251</v>
      </c>
      <c r="D70" s="27" t="s">
        <v>252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17060</f>
        <v>17060.0</v>
      </c>
      <c r="L70" s="34" t="s">
        <v>48</v>
      </c>
      <c r="M70" s="33" t="n">
        <f>17230</f>
        <v>17230.0</v>
      </c>
      <c r="N70" s="34" t="s">
        <v>49</v>
      </c>
      <c r="O70" s="33" t="n">
        <f>16400</f>
        <v>16400.0</v>
      </c>
      <c r="P70" s="34" t="s">
        <v>48</v>
      </c>
      <c r="Q70" s="33" t="n">
        <f>16560</f>
        <v>16560.0</v>
      </c>
      <c r="R70" s="34" t="s">
        <v>50</v>
      </c>
      <c r="S70" s="35" t="n">
        <f>16853.68</f>
        <v>16853.68</v>
      </c>
      <c r="T70" s="32" t="n">
        <f>112244</f>
        <v>112244.0</v>
      </c>
      <c r="U70" s="32" t="n">
        <f>80400</f>
        <v>80400.0</v>
      </c>
      <c r="V70" s="32" t="n">
        <f>1886138070</f>
        <v>1.88613807E9</v>
      </c>
      <c r="W70" s="32" t="n">
        <f>1349194800</f>
        <v>1.3491948E9</v>
      </c>
      <c r="X70" s="36" t="n">
        <f>19</f>
        <v>19.0</v>
      </c>
    </row>
    <row r="71">
      <c r="A71" s="27" t="s">
        <v>42</v>
      </c>
      <c r="B71" s="27" t="s">
        <v>253</v>
      </c>
      <c r="C71" s="27" t="s">
        <v>254</v>
      </c>
      <c r="D71" s="27" t="s">
        <v>255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1857</f>
        <v>1857.0</v>
      </c>
      <c r="L71" s="34" t="s">
        <v>48</v>
      </c>
      <c r="M71" s="33" t="n">
        <f>1933</f>
        <v>1933.0</v>
      </c>
      <c r="N71" s="34" t="s">
        <v>49</v>
      </c>
      <c r="O71" s="33" t="n">
        <f>1820</f>
        <v>1820.0</v>
      </c>
      <c r="P71" s="34" t="s">
        <v>48</v>
      </c>
      <c r="Q71" s="33" t="n">
        <f>1848</f>
        <v>1848.0</v>
      </c>
      <c r="R71" s="34" t="s">
        <v>50</v>
      </c>
      <c r="S71" s="35" t="n">
        <f>1887.68</f>
        <v>1887.68</v>
      </c>
      <c r="T71" s="32" t="n">
        <f>3066793</f>
        <v>3066793.0</v>
      </c>
      <c r="U71" s="32" t="n">
        <f>11673</f>
        <v>11673.0</v>
      </c>
      <c r="V71" s="32" t="n">
        <f>5771079620</f>
        <v>5.77107962E9</v>
      </c>
      <c r="W71" s="32" t="n">
        <f>22317888</f>
        <v>2.2317888E7</v>
      </c>
      <c r="X71" s="36" t="n">
        <f>19</f>
        <v>19.0</v>
      </c>
    </row>
    <row r="72">
      <c r="A72" s="27" t="s">
        <v>42</v>
      </c>
      <c r="B72" s="27" t="s">
        <v>256</v>
      </c>
      <c r="C72" s="27" t="s">
        <v>257</v>
      </c>
      <c r="D72" s="27" t="s">
        <v>258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1856</f>
        <v>1856.0</v>
      </c>
      <c r="L72" s="34" t="s">
        <v>48</v>
      </c>
      <c r="M72" s="33" t="n">
        <f>1930</f>
        <v>1930.0</v>
      </c>
      <c r="N72" s="34" t="s">
        <v>50</v>
      </c>
      <c r="O72" s="33" t="n">
        <f>1803</f>
        <v>1803.0</v>
      </c>
      <c r="P72" s="34" t="s">
        <v>69</v>
      </c>
      <c r="Q72" s="33" t="n">
        <f>1899</f>
        <v>1899.0</v>
      </c>
      <c r="R72" s="34" t="s">
        <v>50</v>
      </c>
      <c r="S72" s="35" t="n">
        <f>1839.37</f>
        <v>1839.37</v>
      </c>
      <c r="T72" s="32" t="n">
        <f>4198576</f>
        <v>4198576.0</v>
      </c>
      <c r="U72" s="32" t="n">
        <f>1955550</f>
        <v>1955550.0</v>
      </c>
      <c r="V72" s="32" t="n">
        <f>7754947116</f>
        <v>7.754947116E9</v>
      </c>
      <c r="W72" s="32" t="n">
        <f>3618269933</f>
        <v>3.618269933E9</v>
      </c>
      <c r="X72" s="36" t="n">
        <f>19</f>
        <v>19.0</v>
      </c>
    </row>
    <row r="73">
      <c r="A73" s="27" t="s">
        <v>42</v>
      </c>
      <c r="B73" s="27" t="s">
        <v>259</v>
      </c>
      <c r="C73" s="27" t="s">
        <v>260</v>
      </c>
      <c r="D73" s="27" t="s">
        <v>261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1833</f>
        <v>1833.0</v>
      </c>
      <c r="L73" s="34" t="s">
        <v>48</v>
      </c>
      <c r="M73" s="33" t="n">
        <f>1887</f>
        <v>1887.0</v>
      </c>
      <c r="N73" s="34" t="s">
        <v>49</v>
      </c>
      <c r="O73" s="33" t="n">
        <f>1800</f>
        <v>1800.0</v>
      </c>
      <c r="P73" s="34" t="s">
        <v>48</v>
      </c>
      <c r="Q73" s="33" t="n">
        <f>1824</f>
        <v>1824.0</v>
      </c>
      <c r="R73" s="34" t="s">
        <v>50</v>
      </c>
      <c r="S73" s="35" t="n">
        <f>1849.84</f>
        <v>1849.84</v>
      </c>
      <c r="T73" s="32" t="n">
        <f>32366</f>
        <v>32366.0</v>
      </c>
      <c r="U73" s="32" t="n">
        <f>18776</f>
        <v>18776.0</v>
      </c>
      <c r="V73" s="32" t="n">
        <f>59310240</f>
        <v>5.931024E7</v>
      </c>
      <c r="W73" s="32" t="n">
        <f>34202703</f>
        <v>3.4202703E7</v>
      </c>
      <c r="X73" s="36" t="n">
        <f>19</f>
        <v>19.0</v>
      </c>
    </row>
    <row r="74">
      <c r="A74" s="27" t="s">
        <v>42</v>
      </c>
      <c r="B74" s="27" t="s">
        <v>262</v>
      </c>
      <c r="C74" s="27" t="s">
        <v>263</v>
      </c>
      <c r="D74" s="27" t="s">
        <v>264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1931</f>
        <v>1931.0</v>
      </c>
      <c r="L74" s="34" t="s">
        <v>48</v>
      </c>
      <c r="M74" s="33" t="n">
        <f>2038</f>
        <v>2038.0</v>
      </c>
      <c r="N74" s="34" t="s">
        <v>49</v>
      </c>
      <c r="O74" s="33" t="n">
        <f>1900</f>
        <v>1900.0</v>
      </c>
      <c r="P74" s="34" t="s">
        <v>48</v>
      </c>
      <c r="Q74" s="33" t="n">
        <f>1978</f>
        <v>1978.0</v>
      </c>
      <c r="R74" s="34" t="s">
        <v>50</v>
      </c>
      <c r="S74" s="35" t="n">
        <f>1993.89</f>
        <v>1993.89</v>
      </c>
      <c r="T74" s="32" t="n">
        <f>116806</f>
        <v>116806.0</v>
      </c>
      <c r="U74" s="32" t="str">
        <f>"－"</f>
        <v>－</v>
      </c>
      <c r="V74" s="32" t="n">
        <f>231820941</f>
        <v>2.31820941E8</v>
      </c>
      <c r="W74" s="32" t="str">
        <f>"－"</f>
        <v>－</v>
      </c>
      <c r="X74" s="36" t="n">
        <f>19</f>
        <v>19.0</v>
      </c>
    </row>
    <row r="75">
      <c r="A75" s="27" t="s">
        <v>42</v>
      </c>
      <c r="B75" s="27" t="s">
        <v>265</v>
      </c>
      <c r="C75" s="27" t="s">
        <v>266</v>
      </c>
      <c r="D75" s="27" t="s">
        <v>267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22020</f>
        <v>22020.0</v>
      </c>
      <c r="L75" s="34" t="s">
        <v>84</v>
      </c>
      <c r="M75" s="33" t="n">
        <f>22750</f>
        <v>22750.0</v>
      </c>
      <c r="N75" s="34" t="s">
        <v>268</v>
      </c>
      <c r="O75" s="33" t="n">
        <f>21960</f>
        <v>21960.0</v>
      </c>
      <c r="P75" s="34" t="s">
        <v>77</v>
      </c>
      <c r="Q75" s="33" t="n">
        <f>21990</f>
        <v>21990.0</v>
      </c>
      <c r="R75" s="34" t="s">
        <v>50</v>
      </c>
      <c r="S75" s="35" t="n">
        <f>22407.86</f>
        <v>22407.86</v>
      </c>
      <c r="T75" s="32" t="n">
        <f>12240</f>
        <v>12240.0</v>
      </c>
      <c r="U75" s="32" t="str">
        <f>"－"</f>
        <v>－</v>
      </c>
      <c r="V75" s="32" t="n">
        <f>277119780</f>
        <v>2.7711978E8</v>
      </c>
      <c r="W75" s="32" t="str">
        <f>"－"</f>
        <v>－</v>
      </c>
      <c r="X75" s="36" t="n">
        <f>14</f>
        <v>14.0</v>
      </c>
    </row>
    <row r="76">
      <c r="A76" s="27" t="s">
        <v>42</v>
      </c>
      <c r="B76" s="27" t="s">
        <v>269</v>
      </c>
      <c r="C76" s="27" t="s">
        <v>270</v>
      </c>
      <c r="D76" s="27" t="s">
        <v>271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18380</f>
        <v>18380.0</v>
      </c>
      <c r="L76" s="34" t="s">
        <v>48</v>
      </c>
      <c r="M76" s="33" t="n">
        <f>19050</f>
        <v>19050.0</v>
      </c>
      <c r="N76" s="34" t="s">
        <v>69</v>
      </c>
      <c r="O76" s="33" t="n">
        <f>18180</f>
        <v>18180.0</v>
      </c>
      <c r="P76" s="34" t="s">
        <v>77</v>
      </c>
      <c r="Q76" s="33" t="n">
        <f>18710</f>
        <v>18710.0</v>
      </c>
      <c r="R76" s="34" t="s">
        <v>88</v>
      </c>
      <c r="S76" s="35" t="n">
        <f>18758.75</f>
        <v>18758.75</v>
      </c>
      <c r="T76" s="32" t="n">
        <f>1768</f>
        <v>1768.0</v>
      </c>
      <c r="U76" s="32" t="str">
        <f>"－"</f>
        <v>－</v>
      </c>
      <c r="V76" s="32" t="n">
        <f>33307860</f>
        <v>3.330786E7</v>
      </c>
      <c r="W76" s="32" t="str">
        <f>"－"</f>
        <v>－</v>
      </c>
      <c r="X76" s="36" t="n">
        <f>16</f>
        <v>16.0</v>
      </c>
    </row>
    <row r="77">
      <c r="A77" s="27" t="s">
        <v>42</v>
      </c>
      <c r="B77" s="27" t="s">
        <v>272</v>
      </c>
      <c r="C77" s="27" t="s">
        <v>273</v>
      </c>
      <c r="D77" s="27" t="s">
        <v>274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1840</f>
        <v>1840.0</v>
      </c>
      <c r="L77" s="34" t="s">
        <v>48</v>
      </c>
      <c r="M77" s="33" t="n">
        <f>1875</f>
        <v>1875.0</v>
      </c>
      <c r="N77" s="34" t="s">
        <v>49</v>
      </c>
      <c r="O77" s="33" t="n">
        <f>1796</f>
        <v>1796.0</v>
      </c>
      <c r="P77" s="34" t="s">
        <v>50</v>
      </c>
      <c r="Q77" s="33" t="n">
        <f>1798</f>
        <v>1798.0</v>
      </c>
      <c r="R77" s="34" t="s">
        <v>50</v>
      </c>
      <c r="S77" s="35" t="n">
        <f>1836.53</f>
        <v>1836.53</v>
      </c>
      <c r="T77" s="32" t="n">
        <f>1744</f>
        <v>1744.0</v>
      </c>
      <c r="U77" s="32" t="str">
        <f>"－"</f>
        <v>－</v>
      </c>
      <c r="V77" s="32" t="n">
        <f>3202599</f>
        <v>3202599.0</v>
      </c>
      <c r="W77" s="32" t="str">
        <f>"－"</f>
        <v>－</v>
      </c>
      <c r="X77" s="36" t="n">
        <f>17</f>
        <v>17.0</v>
      </c>
    </row>
    <row r="78">
      <c r="A78" s="27" t="s">
        <v>42</v>
      </c>
      <c r="B78" s="27" t="s">
        <v>275</v>
      </c>
      <c r="C78" s="27" t="s">
        <v>276</v>
      </c>
      <c r="D78" s="27" t="s">
        <v>277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2478</f>
        <v>2478.0</v>
      </c>
      <c r="L78" s="34" t="s">
        <v>48</v>
      </c>
      <c r="M78" s="33" t="n">
        <f>2478</f>
        <v>2478.0</v>
      </c>
      <c r="N78" s="34" t="s">
        <v>48</v>
      </c>
      <c r="O78" s="33" t="n">
        <f>2414</f>
        <v>2414.0</v>
      </c>
      <c r="P78" s="34" t="s">
        <v>131</v>
      </c>
      <c r="Q78" s="33" t="n">
        <f>2437</f>
        <v>2437.0</v>
      </c>
      <c r="R78" s="34" t="s">
        <v>50</v>
      </c>
      <c r="S78" s="35" t="n">
        <f>2434.58</f>
        <v>2434.58</v>
      </c>
      <c r="T78" s="32" t="n">
        <f>2413109</f>
        <v>2413109.0</v>
      </c>
      <c r="U78" s="32" t="n">
        <f>162003</f>
        <v>162003.0</v>
      </c>
      <c r="V78" s="32" t="n">
        <f>5877867083</f>
        <v>5.877867083E9</v>
      </c>
      <c r="W78" s="32" t="n">
        <f>400017728</f>
        <v>4.00017728E8</v>
      </c>
      <c r="X78" s="36" t="n">
        <f>19</f>
        <v>19.0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1809</f>
        <v>1809.0</v>
      </c>
      <c r="L79" s="34" t="s">
        <v>48</v>
      </c>
      <c r="M79" s="33" t="n">
        <f>1850</f>
        <v>1850.0</v>
      </c>
      <c r="N79" s="34" t="s">
        <v>49</v>
      </c>
      <c r="O79" s="33" t="n">
        <f>1756</f>
        <v>1756.0</v>
      </c>
      <c r="P79" s="34" t="s">
        <v>48</v>
      </c>
      <c r="Q79" s="33" t="n">
        <f>1799</f>
        <v>1799.0</v>
      </c>
      <c r="R79" s="34" t="s">
        <v>50</v>
      </c>
      <c r="S79" s="35" t="n">
        <f>1815.16</f>
        <v>1815.16</v>
      </c>
      <c r="T79" s="32" t="n">
        <f>1123</f>
        <v>1123.0</v>
      </c>
      <c r="U79" s="32" t="str">
        <f>"－"</f>
        <v>－</v>
      </c>
      <c r="V79" s="32" t="n">
        <f>2042144</f>
        <v>2042144.0</v>
      </c>
      <c r="W79" s="32" t="str">
        <f>"－"</f>
        <v>－</v>
      </c>
      <c r="X79" s="36" t="n">
        <f>19</f>
        <v>19.0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1800</f>
        <v>1800.0</v>
      </c>
      <c r="L80" s="34" t="s">
        <v>48</v>
      </c>
      <c r="M80" s="33" t="n">
        <f>1838</f>
        <v>1838.0</v>
      </c>
      <c r="N80" s="34" t="s">
        <v>49</v>
      </c>
      <c r="O80" s="33" t="n">
        <f>1765</f>
        <v>1765.0</v>
      </c>
      <c r="P80" s="34" t="s">
        <v>96</v>
      </c>
      <c r="Q80" s="33" t="n">
        <f>1771</f>
        <v>1771.0</v>
      </c>
      <c r="R80" s="34" t="s">
        <v>50</v>
      </c>
      <c r="S80" s="35" t="n">
        <f>1813.11</f>
        <v>1813.11</v>
      </c>
      <c r="T80" s="32" t="n">
        <f>4140</f>
        <v>4140.0</v>
      </c>
      <c r="U80" s="32" t="str">
        <f>"－"</f>
        <v>－</v>
      </c>
      <c r="V80" s="32" t="n">
        <f>7506490</f>
        <v>7506490.0</v>
      </c>
      <c r="W80" s="32" t="str">
        <f>"－"</f>
        <v>－</v>
      </c>
      <c r="X80" s="36" t="n">
        <f>19</f>
        <v>19.0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29030</f>
        <v>29030.0</v>
      </c>
      <c r="L81" s="34" t="s">
        <v>48</v>
      </c>
      <c r="M81" s="33" t="n">
        <f>31500</f>
        <v>31500.0</v>
      </c>
      <c r="N81" s="34" t="s">
        <v>49</v>
      </c>
      <c r="O81" s="33" t="n">
        <f>29030</f>
        <v>29030.0</v>
      </c>
      <c r="P81" s="34" t="s">
        <v>48</v>
      </c>
      <c r="Q81" s="33" t="n">
        <f>29600</f>
        <v>29600.0</v>
      </c>
      <c r="R81" s="34" t="s">
        <v>50</v>
      </c>
      <c r="S81" s="35" t="n">
        <f>30275.45</f>
        <v>30275.45</v>
      </c>
      <c r="T81" s="32" t="n">
        <f>79</f>
        <v>79.0</v>
      </c>
      <c r="U81" s="32" t="str">
        <f>"－"</f>
        <v>－</v>
      </c>
      <c r="V81" s="32" t="n">
        <f>2404320</f>
        <v>2404320.0</v>
      </c>
      <c r="W81" s="32" t="str">
        <f>"－"</f>
        <v>－</v>
      </c>
      <c r="X81" s="36" t="n">
        <f>11</f>
        <v>11.0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21170</f>
        <v>21170.0</v>
      </c>
      <c r="L82" s="34" t="s">
        <v>48</v>
      </c>
      <c r="M82" s="33" t="n">
        <f>21170</f>
        <v>21170.0</v>
      </c>
      <c r="N82" s="34" t="s">
        <v>48</v>
      </c>
      <c r="O82" s="33" t="n">
        <f>20660</f>
        <v>20660.0</v>
      </c>
      <c r="P82" s="34" t="s">
        <v>92</v>
      </c>
      <c r="Q82" s="33" t="n">
        <f>21000</f>
        <v>21000.0</v>
      </c>
      <c r="R82" s="34" t="s">
        <v>50</v>
      </c>
      <c r="S82" s="35" t="n">
        <f>20841.58</f>
        <v>20841.58</v>
      </c>
      <c r="T82" s="32" t="n">
        <f>31776</f>
        <v>31776.0</v>
      </c>
      <c r="U82" s="32" t="n">
        <f>16900</f>
        <v>16900.0</v>
      </c>
      <c r="V82" s="32" t="n">
        <f>661728690</f>
        <v>6.6172869E8</v>
      </c>
      <c r="W82" s="32" t="n">
        <f>350772280</f>
        <v>3.5077228E8</v>
      </c>
      <c r="X82" s="36" t="n">
        <f>19</f>
        <v>19.0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19560</f>
        <v>19560.0</v>
      </c>
      <c r="L83" s="34" t="s">
        <v>48</v>
      </c>
      <c r="M83" s="33" t="n">
        <f>19560</f>
        <v>19560.0</v>
      </c>
      <c r="N83" s="34" t="s">
        <v>48</v>
      </c>
      <c r="O83" s="33" t="n">
        <f>18870</f>
        <v>18870.0</v>
      </c>
      <c r="P83" s="34" t="s">
        <v>131</v>
      </c>
      <c r="Q83" s="33" t="n">
        <f>19030</f>
        <v>19030.0</v>
      </c>
      <c r="R83" s="34" t="s">
        <v>50</v>
      </c>
      <c r="S83" s="35" t="n">
        <f>19020.53</f>
        <v>19020.53</v>
      </c>
      <c r="T83" s="32" t="n">
        <f>209872</f>
        <v>209872.0</v>
      </c>
      <c r="U83" s="32" t="n">
        <f>32000</f>
        <v>32000.0</v>
      </c>
      <c r="V83" s="32" t="n">
        <f>3982932080</f>
        <v>3.98293208E9</v>
      </c>
      <c r="W83" s="32" t="n">
        <f>609367300</f>
        <v>6.093673E8</v>
      </c>
      <c r="X83" s="36" t="n">
        <f>19</f>
        <v>19.0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1839</f>
        <v>1839.0</v>
      </c>
      <c r="L84" s="34" t="s">
        <v>48</v>
      </c>
      <c r="M84" s="33" t="n">
        <f>1911</f>
        <v>1911.0</v>
      </c>
      <c r="N84" s="34" t="s">
        <v>50</v>
      </c>
      <c r="O84" s="33" t="n">
        <f>1800</f>
        <v>1800.0</v>
      </c>
      <c r="P84" s="34" t="s">
        <v>48</v>
      </c>
      <c r="Q84" s="33" t="n">
        <f>1897</f>
        <v>1897.0</v>
      </c>
      <c r="R84" s="34" t="s">
        <v>50</v>
      </c>
      <c r="S84" s="35" t="n">
        <f>1837.05</f>
        <v>1837.05</v>
      </c>
      <c r="T84" s="32" t="n">
        <f>1129950</f>
        <v>1129950.0</v>
      </c>
      <c r="U84" s="32" t="n">
        <f>90040</f>
        <v>90040.0</v>
      </c>
      <c r="V84" s="32" t="n">
        <f>2078187080</f>
        <v>2.07818708E9</v>
      </c>
      <c r="W84" s="32" t="n">
        <f>164999750</f>
        <v>1.6499975E8</v>
      </c>
      <c r="X84" s="36" t="n">
        <f>19</f>
        <v>19.0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30050</f>
        <v>30050.0</v>
      </c>
      <c r="L85" s="34" t="s">
        <v>48</v>
      </c>
      <c r="M85" s="33" t="n">
        <f>31950</f>
        <v>31950.0</v>
      </c>
      <c r="N85" s="34" t="s">
        <v>69</v>
      </c>
      <c r="O85" s="33" t="n">
        <f>29420</f>
        <v>29420.0</v>
      </c>
      <c r="P85" s="34" t="s">
        <v>48</v>
      </c>
      <c r="Q85" s="33" t="n">
        <f>31000</f>
        <v>31000.0</v>
      </c>
      <c r="R85" s="34" t="s">
        <v>50</v>
      </c>
      <c r="S85" s="35" t="n">
        <f>31084.74</f>
        <v>31084.74</v>
      </c>
      <c r="T85" s="32" t="n">
        <f>39268</f>
        <v>39268.0</v>
      </c>
      <c r="U85" s="32" t="str">
        <f>"－"</f>
        <v>－</v>
      </c>
      <c r="V85" s="32" t="n">
        <f>1219759400</f>
        <v>1.2197594E9</v>
      </c>
      <c r="W85" s="32" t="str">
        <f>"－"</f>
        <v>－</v>
      </c>
      <c r="X85" s="36" t="n">
        <f>19</f>
        <v>19.0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7700</f>
        <v>7700.0</v>
      </c>
      <c r="L86" s="34" t="s">
        <v>48</v>
      </c>
      <c r="M86" s="33" t="n">
        <f>7750</f>
        <v>7750.0</v>
      </c>
      <c r="N86" s="34" t="s">
        <v>88</v>
      </c>
      <c r="O86" s="33" t="n">
        <f>7630</f>
        <v>7630.0</v>
      </c>
      <c r="P86" s="34" t="s">
        <v>49</v>
      </c>
      <c r="Q86" s="33" t="n">
        <f>7750</f>
        <v>7750.0</v>
      </c>
      <c r="R86" s="34" t="s">
        <v>88</v>
      </c>
      <c r="S86" s="35" t="n">
        <f>7684.29</f>
        <v>7684.29</v>
      </c>
      <c r="T86" s="32" t="n">
        <f>3070</f>
        <v>3070.0</v>
      </c>
      <c r="U86" s="32" t="str">
        <f>"－"</f>
        <v>－</v>
      </c>
      <c r="V86" s="32" t="n">
        <f>23577300</f>
        <v>2.35773E7</v>
      </c>
      <c r="W86" s="32" t="str">
        <f>"－"</f>
        <v>－</v>
      </c>
      <c r="X86" s="36" t="n">
        <f>7</f>
        <v>7.0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15070</f>
        <v>15070.0</v>
      </c>
      <c r="L87" s="34" t="s">
        <v>48</v>
      </c>
      <c r="M87" s="33" t="n">
        <f>15410</f>
        <v>15410.0</v>
      </c>
      <c r="N87" s="34" t="s">
        <v>240</v>
      </c>
      <c r="O87" s="33" t="n">
        <f>14830</f>
        <v>14830.0</v>
      </c>
      <c r="P87" s="34" t="s">
        <v>84</v>
      </c>
      <c r="Q87" s="33" t="n">
        <f>15080</f>
        <v>15080.0</v>
      </c>
      <c r="R87" s="34" t="s">
        <v>50</v>
      </c>
      <c r="S87" s="35" t="n">
        <f>15211.58</f>
        <v>15211.58</v>
      </c>
      <c r="T87" s="32" t="n">
        <f>712</f>
        <v>712.0</v>
      </c>
      <c r="U87" s="32" t="str">
        <f>"－"</f>
        <v>－</v>
      </c>
      <c r="V87" s="32" t="n">
        <f>10818710</f>
        <v>1.081871E7</v>
      </c>
      <c r="W87" s="32" t="str">
        <f>"－"</f>
        <v>－</v>
      </c>
      <c r="X87" s="36" t="n">
        <f>19</f>
        <v>19.0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15180</f>
        <v>15180.0</v>
      </c>
      <c r="L88" s="34" t="s">
        <v>48</v>
      </c>
      <c r="M88" s="33" t="n">
        <f>15480</f>
        <v>15480.0</v>
      </c>
      <c r="N88" s="34" t="s">
        <v>49</v>
      </c>
      <c r="O88" s="33" t="n">
        <f>14850</f>
        <v>14850.0</v>
      </c>
      <c r="P88" s="34" t="s">
        <v>48</v>
      </c>
      <c r="Q88" s="33" t="n">
        <f>15090</f>
        <v>15090.0</v>
      </c>
      <c r="R88" s="34" t="s">
        <v>50</v>
      </c>
      <c r="S88" s="35" t="n">
        <f>15264.21</f>
        <v>15264.21</v>
      </c>
      <c r="T88" s="32" t="n">
        <f>979</f>
        <v>979.0</v>
      </c>
      <c r="U88" s="32" t="str">
        <f>"－"</f>
        <v>－</v>
      </c>
      <c r="V88" s="32" t="n">
        <f>14932290</f>
        <v>1.493229E7</v>
      </c>
      <c r="W88" s="32" t="str">
        <f>"－"</f>
        <v>－</v>
      </c>
      <c r="X88" s="36" t="n">
        <f>19</f>
        <v>19.0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17290</f>
        <v>17290.0</v>
      </c>
      <c r="L89" s="34" t="s">
        <v>48</v>
      </c>
      <c r="M89" s="33" t="n">
        <f>18230</f>
        <v>18230.0</v>
      </c>
      <c r="N89" s="34" t="s">
        <v>49</v>
      </c>
      <c r="O89" s="33" t="n">
        <f>16950</f>
        <v>16950.0</v>
      </c>
      <c r="P89" s="34" t="s">
        <v>84</v>
      </c>
      <c r="Q89" s="33" t="n">
        <f>17600</f>
        <v>17600.0</v>
      </c>
      <c r="R89" s="34" t="s">
        <v>50</v>
      </c>
      <c r="S89" s="35" t="n">
        <f>17710.53</f>
        <v>17710.53</v>
      </c>
      <c r="T89" s="32" t="n">
        <f>1194</f>
        <v>1194.0</v>
      </c>
      <c r="U89" s="32" t="str">
        <f>"－"</f>
        <v>－</v>
      </c>
      <c r="V89" s="32" t="n">
        <f>21209190</f>
        <v>2.120919E7</v>
      </c>
      <c r="W89" s="32" t="str">
        <f>"－"</f>
        <v>－</v>
      </c>
      <c r="X89" s="36" t="n">
        <f>19</f>
        <v>19.0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10030</f>
        <v>10030.0</v>
      </c>
      <c r="L90" s="34" t="s">
        <v>48</v>
      </c>
      <c r="M90" s="33" t="n">
        <f>10500</f>
        <v>10500.0</v>
      </c>
      <c r="N90" s="34" t="s">
        <v>49</v>
      </c>
      <c r="O90" s="33" t="n">
        <f>9970</f>
        <v>9970.0</v>
      </c>
      <c r="P90" s="34" t="s">
        <v>88</v>
      </c>
      <c r="Q90" s="33" t="n">
        <f>10150</f>
        <v>10150.0</v>
      </c>
      <c r="R90" s="34" t="s">
        <v>50</v>
      </c>
      <c r="S90" s="35" t="n">
        <f>10243.68</f>
        <v>10243.68</v>
      </c>
      <c r="T90" s="32" t="n">
        <f>15630</f>
        <v>15630.0</v>
      </c>
      <c r="U90" s="32" t="str">
        <f>"－"</f>
        <v>－</v>
      </c>
      <c r="V90" s="32" t="n">
        <f>160146300</f>
        <v>1.601463E8</v>
      </c>
      <c r="W90" s="32" t="str">
        <f>"－"</f>
        <v>－</v>
      </c>
      <c r="X90" s="36" t="n">
        <f>19</f>
        <v>19.0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2702</f>
        <v>2702.0</v>
      </c>
      <c r="L91" s="34" t="s">
        <v>48</v>
      </c>
      <c r="M91" s="33" t="n">
        <f>2702</f>
        <v>2702.0</v>
      </c>
      <c r="N91" s="34" t="s">
        <v>48</v>
      </c>
      <c r="O91" s="33" t="n">
        <f>2614</f>
        <v>2614.0</v>
      </c>
      <c r="P91" s="34" t="s">
        <v>131</v>
      </c>
      <c r="Q91" s="33" t="n">
        <f>2632</f>
        <v>2632.0</v>
      </c>
      <c r="R91" s="34" t="s">
        <v>50</v>
      </c>
      <c r="S91" s="35" t="n">
        <f>2643.05</f>
        <v>2643.05</v>
      </c>
      <c r="T91" s="32" t="n">
        <f>209216</f>
        <v>209216.0</v>
      </c>
      <c r="U91" s="32" t="n">
        <f>123078</f>
        <v>123078.0</v>
      </c>
      <c r="V91" s="32" t="n">
        <f>554423536</f>
        <v>5.54423536E8</v>
      </c>
      <c r="W91" s="32" t="n">
        <f>326227298</f>
        <v>3.26227298E8</v>
      </c>
      <c r="X91" s="36" t="n">
        <f>19</f>
        <v>19.0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2390</f>
        <v>2390.0</v>
      </c>
      <c r="L92" s="34" t="s">
        <v>48</v>
      </c>
      <c r="M92" s="33" t="n">
        <f>2390</f>
        <v>2390.0</v>
      </c>
      <c r="N92" s="34" t="s">
        <v>48</v>
      </c>
      <c r="O92" s="33" t="n">
        <f>2340</f>
        <v>2340.0</v>
      </c>
      <c r="P92" s="34" t="s">
        <v>131</v>
      </c>
      <c r="Q92" s="33" t="n">
        <f>2348</f>
        <v>2348.0</v>
      </c>
      <c r="R92" s="34" t="s">
        <v>50</v>
      </c>
      <c r="S92" s="35" t="n">
        <f>2357.89</f>
        <v>2357.89</v>
      </c>
      <c r="T92" s="32" t="n">
        <f>99646</f>
        <v>99646.0</v>
      </c>
      <c r="U92" s="32" t="str">
        <f>"－"</f>
        <v>－</v>
      </c>
      <c r="V92" s="32" t="n">
        <f>235139442</f>
        <v>2.35139442E8</v>
      </c>
      <c r="W92" s="32" t="str">
        <f>"－"</f>
        <v>－</v>
      </c>
      <c r="X92" s="36" t="n">
        <f>19</f>
        <v>19.0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13740</f>
        <v>13740.0</v>
      </c>
      <c r="L93" s="34" t="s">
        <v>48</v>
      </c>
      <c r="M93" s="33" t="n">
        <f>14040</f>
        <v>14040.0</v>
      </c>
      <c r="N93" s="34" t="s">
        <v>49</v>
      </c>
      <c r="O93" s="33" t="n">
        <f>13460</f>
        <v>13460.0</v>
      </c>
      <c r="P93" s="34" t="s">
        <v>48</v>
      </c>
      <c r="Q93" s="33" t="n">
        <f>13510</f>
        <v>13510.0</v>
      </c>
      <c r="R93" s="34" t="s">
        <v>50</v>
      </c>
      <c r="S93" s="35" t="n">
        <f>13758.42</f>
        <v>13758.42</v>
      </c>
      <c r="T93" s="32" t="n">
        <f>2629</f>
        <v>2629.0</v>
      </c>
      <c r="U93" s="32" t="str">
        <f>"－"</f>
        <v>－</v>
      </c>
      <c r="V93" s="32" t="n">
        <f>36242410</f>
        <v>3.624241E7</v>
      </c>
      <c r="W93" s="32" t="str">
        <f>"－"</f>
        <v>－</v>
      </c>
      <c r="X93" s="36" t="n">
        <f>19</f>
        <v>19.0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7990</f>
        <v>7990.0</v>
      </c>
      <c r="L94" s="34" t="s">
        <v>48</v>
      </c>
      <c r="M94" s="33" t="n">
        <f>7990</f>
        <v>7990.0</v>
      </c>
      <c r="N94" s="34" t="s">
        <v>48</v>
      </c>
      <c r="O94" s="33" t="n">
        <f>7740</f>
        <v>7740.0</v>
      </c>
      <c r="P94" s="34" t="s">
        <v>84</v>
      </c>
      <c r="Q94" s="33" t="n">
        <f>7960</f>
        <v>7960.0</v>
      </c>
      <c r="R94" s="34" t="s">
        <v>50</v>
      </c>
      <c r="S94" s="35" t="n">
        <f>7865.79</f>
        <v>7865.79</v>
      </c>
      <c r="T94" s="32" t="n">
        <f>788</f>
        <v>788.0</v>
      </c>
      <c r="U94" s="32" t="str">
        <f>"－"</f>
        <v>－</v>
      </c>
      <c r="V94" s="32" t="n">
        <f>6203880</f>
        <v>6203880.0</v>
      </c>
      <c r="W94" s="32" t="str">
        <f>"－"</f>
        <v>－</v>
      </c>
      <c r="X94" s="36" t="n">
        <f>19</f>
        <v>19.0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6190</f>
        <v>6190.0</v>
      </c>
      <c r="L95" s="34" t="s">
        <v>48</v>
      </c>
      <c r="M95" s="33" t="n">
        <f>6290</f>
        <v>6290.0</v>
      </c>
      <c r="N95" s="34" t="s">
        <v>77</v>
      </c>
      <c r="O95" s="33" t="n">
        <f>5870</f>
        <v>5870.0</v>
      </c>
      <c r="P95" s="34" t="s">
        <v>100</v>
      </c>
      <c r="Q95" s="33" t="n">
        <f>5980</f>
        <v>5980.0</v>
      </c>
      <c r="R95" s="34" t="s">
        <v>50</v>
      </c>
      <c r="S95" s="35" t="n">
        <f>6033.68</f>
        <v>6033.68</v>
      </c>
      <c r="T95" s="32" t="n">
        <f>3171174</f>
        <v>3171174.0</v>
      </c>
      <c r="U95" s="32" t="n">
        <f>20676</f>
        <v>20676.0</v>
      </c>
      <c r="V95" s="32" t="n">
        <f>19160436287</f>
        <v>1.9160436287E10</v>
      </c>
      <c r="W95" s="32" t="n">
        <f>123660797</f>
        <v>1.23660797E8</v>
      </c>
      <c r="X95" s="36" t="n">
        <f>19</f>
        <v>19.0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3300</f>
        <v>3300.0</v>
      </c>
      <c r="L96" s="34" t="s">
        <v>48</v>
      </c>
      <c r="M96" s="33" t="n">
        <f>3485</f>
        <v>3485.0</v>
      </c>
      <c r="N96" s="34" t="s">
        <v>96</v>
      </c>
      <c r="O96" s="33" t="n">
        <f>3255</f>
        <v>3255.0</v>
      </c>
      <c r="P96" s="34" t="s">
        <v>84</v>
      </c>
      <c r="Q96" s="33" t="n">
        <f>3330</f>
        <v>3330.0</v>
      </c>
      <c r="R96" s="34" t="s">
        <v>50</v>
      </c>
      <c r="S96" s="35" t="n">
        <f>3373.42</f>
        <v>3373.42</v>
      </c>
      <c r="T96" s="32" t="n">
        <f>1465077</f>
        <v>1465077.0</v>
      </c>
      <c r="U96" s="32" t="n">
        <f>1</f>
        <v>1.0</v>
      </c>
      <c r="V96" s="32" t="n">
        <f>4935816100</f>
        <v>4.9358161E9</v>
      </c>
      <c r="W96" s="32" t="n">
        <f>3400</f>
        <v>3400.0</v>
      </c>
      <c r="X96" s="36" t="n">
        <f>19</f>
        <v>19.0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8950</f>
        <v>8950.0</v>
      </c>
      <c r="L97" s="34" t="s">
        <v>48</v>
      </c>
      <c r="M97" s="33" t="n">
        <f>9000</f>
        <v>9000.0</v>
      </c>
      <c r="N97" s="34" t="s">
        <v>48</v>
      </c>
      <c r="O97" s="33" t="n">
        <f>7650</f>
        <v>7650.0</v>
      </c>
      <c r="P97" s="34" t="s">
        <v>100</v>
      </c>
      <c r="Q97" s="33" t="n">
        <f>8340</f>
        <v>8340.0</v>
      </c>
      <c r="R97" s="34" t="s">
        <v>50</v>
      </c>
      <c r="S97" s="35" t="n">
        <f>8268.95</f>
        <v>8268.95</v>
      </c>
      <c r="T97" s="32" t="n">
        <f>499772</f>
        <v>499772.0</v>
      </c>
      <c r="U97" s="32" t="n">
        <f>7</f>
        <v>7.0</v>
      </c>
      <c r="V97" s="32" t="n">
        <f>4152485770</f>
        <v>4.15248577E9</v>
      </c>
      <c r="W97" s="32" t="n">
        <f>59250</f>
        <v>59250.0</v>
      </c>
      <c r="X97" s="36" t="n">
        <f>19</f>
        <v>19.0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69900</f>
        <v>69900.0</v>
      </c>
      <c r="L98" s="34" t="s">
        <v>48</v>
      </c>
      <c r="M98" s="33" t="n">
        <f>71500</f>
        <v>71500.0</v>
      </c>
      <c r="N98" s="34" t="s">
        <v>172</v>
      </c>
      <c r="O98" s="33" t="n">
        <f>66000</f>
        <v>66000.0</v>
      </c>
      <c r="P98" s="34" t="s">
        <v>73</v>
      </c>
      <c r="Q98" s="33" t="n">
        <f>68900</f>
        <v>68900.0</v>
      </c>
      <c r="R98" s="34" t="s">
        <v>50</v>
      </c>
      <c r="S98" s="35" t="n">
        <f>69142.11</f>
        <v>69142.11</v>
      </c>
      <c r="T98" s="32" t="n">
        <f>3664</f>
        <v>3664.0</v>
      </c>
      <c r="U98" s="32" t="n">
        <f>1</f>
        <v>1.0</v>
      </c>
      <c r="V98" s="32" t="n">
        <f>254358600</f>
        <v>2.543586E8</v>
      </c>
      <c r="W98" s="32" t="n">
        <f>69900</f>
        <v>69900.0</v>
      </c>
      <c r="X98" s="36" t="n">
        <f>19</f>
        <v>19.0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13450</f>
        <v>13450.0</v>
      </c>
      <c r="L99" s="34" t="s">
        <v>48</v>
      </c>
      <c r="M99" s="33" t="n">
        <f>14240</f>
        <v>14240.0</v>
      </c>
      <c r="N99" s="34" t="s">
        <v>73</v>
      </c>
      <c r="O99" s="33" t="n">
        <f>13100</f>
        <v>13100.0</v>
      </c>
      <c r="P99" s="34" t="s">
        <v>77</v>
      </c>
      <c r="Q99" s="33" t="n">
        <f>13750</f>
        <v>13750.0</v>
      </c>
      <c r="R99" s="34" t="s">
        <v>50</v>
      </c>
      <c r="S99" s="35" t="n">
        <f>13669.47</f>
        <v>13669.47</v>
      </c>
      <c r="T99" s="32" t="n">
        <f>1727446</f>
        <v>1727446.0</v>
      </c>
      <c r="U99" s="32" t="n">
        <f>65630</f>
        <v>65630.0</v>
      </c>
      <c r="V99" s="32" t="n">
        <f>23637062533</f>
        <v>2.3637062533E10</v>
      </c>
      <c r="W99" s="32" t="n">
        <f>909562103</f>
        <v>9.09562103E8</v>
      </c>
      <c r="X99" s="36" t="n">
        <f>19</f>
        <v>19.0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30750</f>
        <v>30750.0</v>
      </c>
      <c r="L100" s="34" t="s">
        <v>48</v>
      </c>
      <c r="M100" s="33" t="n">
        <f>31650</f>
        <v>31650.0</v>
      </c>
      <c r="N100" s="34" t="s">
        <v>96</v>
      </c>
      <c r="O100" s="33" t="n">
        <f>30250</f>
        <v>30250.0</v>
      </c>
      <c r="P100" s="34" t="s">
        <v>84</v>
      </c>
      <c r="Q100" s="33" t="n">
        <f>30800</f>
        <v>30800.0</v>
      </c>
      <c r="R100" s="34" t="s">
        <v>50</v>
      </c>
      <c r="S100" s="35" t="n">
        <f>31131.58</f>
        <v>31131.58</v>
      </c>
      <c r="T100" s="32" t="n">
        <f>153471</f>
        <v>153471.0</v>
      </c>
      <c r="U100" s="32" t="n">
        <f>6004</f>
        <v>6004.0</v>
      </c>
      <c r="V100" s="32" t="n">
        <f>4765824793</f>
        <v>4.765824793E9</v>
      </c>
      <c r="W100" s="32" t="n">
        <f>184523193</f>
        <v>1.84523193E8</v>
      </c>
      <c r="X100" s="36" t="n">
        <f>19</f>
        <v>19.0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4245</f>
        <v>4245.0</v>
      </c>
      <c r="L101" s="34" t="s">
        <v>48</v>
      </c>
      <c r="M101" s="33" t="n">
        <f>4350</f>
        <v>4350.0</v>
      </c>
      <c r="N101" s="34" t="s">
        <v>49</v>
      </c>
      <c r="O101" s="33" t="n">
        <f>4155</f>
        <v>4155.0</v>
      </c>
      <c r="P101" s="34" t="s">
        <v>77</v>
      </c>
      <c r="Q101" s="33" t="n">
        <f>4225</f>
        <v>4225.0</v>
      </c>
      <c r="R101" s="34" t="s">
        <v>50</v>
      </c>
      <c r="S101" s="35" t="n">
        <f>4272.89</f>
        <v>4272.89</v>
      </c>
      <c r="T101" s="32" t="n">
        <f>1189660</f>
        <v>1189660.0</v>
      </c>
      <c r="U101" s="32" t="n">
        <f>127220</f>
        <v>127220.0</v>
      </c>
      <c r="V101" s="32" t="n">
        <f>5092863181</f>
        <v>5.092863181E9</v>
      </c>
      <c r="W101" s="32" t="n">
        <f>545602531</f>
        <v>5.45602531E8</v>
      </c>
      <c r="X101" s="36" t="n">
        <f>19</f>
        <v>19.0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2808</f>
        <v>2808.0</v>
      </c>
      <c r="L102" s="34" t="s">
        <v>48</v>
      </c>
      <c r="M102" s="33" t="n">
        <f>2900</f>
        <v>2900.0</v>
      </c>
      <c r="N102" s="34" t="s">
        <v>176</v>
      </c>
      <c r="O102" s="33" t="n">
        <f>2768</f>
        <v>2768.0</v>
      </c>
      <c r="P102" s="34" t="s">
        <v>84</v>
      </c>
      <c r="Q102" s="33" t="n">
        <f>2842</f>
        <v>2842.0</v>
      </c>
      <c r="R102" s="34" t="s">
        <v>50</v>
      </c>
      <c r="S102" s="35" t="n">
        <f>2852.11</f>
        <v>2852.11</v>
      </c>
      <c r="T102" s="32" t="n">
        <f>117310</f>
        <v>117310.0</v>
      </c>
      <c r="U102" s="32" t="n">
        <f>17260</f>
        <v>17260.0</v>
      </c>
      <c r="V102" s="32" t="n">
        <f>334927060</f>
        <v>3.3492706E8</v>
      </c>
      <c r="W102" s="32" t="n">
        <f>49951070</f>
        <v>4.995107E7</v>
      </c>
      <c r="X102" s="36" t="n">
        <f>19</f>
        <v>19.0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5190</f>
        <v>5190.0</v>
      </c>
      <c r="L103" s="34" t="s">
        <v>48</v>
      </c>
      <c r="M103" s="33" t="n">
        <f>5470</f>
        <v>5470.0</v>
      </c>
      <c r="N103" s="34" t="s">
        <v>49</v>
      </c>
      <c r="O103" s="33" t="n">
        <f>5010</f>
        <v>5010.0</v>
      </c>
      <c r="P103" s="34" t="s">
        <v>50</v>
      </c>
      <c r="Q103" s="33" t="n">
        <f>5060</f>
        <v>5060.0</v>
      </c>
      <c r="R103" s="34" t="s">
        <v>50</v>
      </c>
      <c r="S103" s="35" t="n">
        <f>5267.37</f>
        <v>5267.37</v>
      </c>
      <c r="T103" s="32" t="n">
        <f>21560</f>
        <v>21560.0</v>
      </c>
      <c r="U103" s="32" t="str">
        <f>"－"</f>
        <v>－</v>
      </c>
      <c r="V103" s="32" t="n">
        <f>113435300</f>
        <v>1.134353E8</v>
      </c>
      <c r="W103" s="32" t="str">
        <f>"－"</f>
        <v>－</v>
      </c>
      <c r="X103" s="36" t="n">
        <f>19</f>
        <v>19.0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5570</f>
        <v>5570.0</v>
      </c>
      <c r="L104" s="34" t="s">
        <v>48</v>
      </c>
      <c r="M104" s="33" t="n">
        <f>7040</f>
        <v>7040.0</v>
      </c>
      <c r="N104" s="34" t="s">
        <v>50</v>
      </c>
      <c r="O104" s="33" t="n">
        <f>5370</f>
        <v>5370.0</v>
      </c>
      <c r="P104" s="34" t="s">
        <v>176</v>
      </c>
      <c r="Q104" s="33" t="n">
        <f>6990</f>
        <v>6990.0</v>
      </c>
      <c r="R104" s="34" t="s">
        <v>50</v>
      </c>
      <c r="S104" s="35" t="n">
        <f>5738.42</f>
        <v>5738.42</v>
      </c>
      <c r="T104" s="32" t="n">
        <f>13244222</f>
        <v>1.3244222E7</v>
      </c>
      <c r="U104" s="32" t="n">
        <f>244277</f>
        <v>244277.0</v>
      </c>
      <c r="V104" s="32" t="n">
        <f>77931099342</f>
        <v>7.7931099342E10</v>
      </c>
      <c r="W104" s="32" t="n">
        <f>1416940712</f>
        <v>1.416940712E9</v>
      </c>
      <c r="X104" s="36" t="n">
        <f>19</f>
        <v>19.0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2500</f>
        <v>2500.0</v>
      </c>
      <c r="L105" s="34" t="s">
        <v>48</v>
      </c>
      <c r="M105" s="33" t="n">
        <f>2579</f>
        <v>2579.0</v>
      </c>
      <c r="N105" s="34" t="s">
        <v>49</v>
      </c>
      <c r="O105" s="33" t="n">
        <f>2451</f>
        <v>2451.0</v>
      </c>
      <c r="P105" s="34" t="s">
        <v>84</v>
      </c>
      <c r="Q105" s="33" t="n">
        <f>2471</f>
        <v>2471.0</v>
      </c>
      <c r="R105" s="34" t="s">
        <v>50</v>
      </c>
      <c r="S105" s="35" t="n">
        <f>2524.37</f>
        <v>2524.37</v>
      </c>
      <c r="T105" s="32" t="n">
        <f>95900</f>
        <v>95900.0</v>
      </c>
      <c r="U105" s="32" t="n">
        <f>10</f>
        <v>10.0</v>
      </c>
      <c r="V105" s="32" t="n">
        <f>241842580</f>
        <v>2.4184258E8</v>
      </c>
      <c r="W105" s="32" t="n">
        <f>24900</f>
        <v>24900.0</v>
      </c>
      <c r="X105" s="36" t="n">
        <f>19</f>
        <v>19.0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1563</f>
        <v>1563.0</v>
      </c>
      <c r="L106" s="34" t="s">
        <v>48</v>
      </c>
      <c r="M106" s="33" t="n">
        <f>1564</f>
        <v>1564.0</v>
      </c>
      <c r="N106" s="34" t="s">
        <v>48</v>
      </c>
      <c r="O106" s="33" t="n">
        <f>1455</f>
        <v>1455.0</v>
      </c>
      <c r="P106" s="34" t="s">
        <v>88</v>
      </c>
      <c r="Q106" s="33" t="n">
        <f>1482</f>
        <v>1482.0</v>
      </c>
      <c r="R106" s="34" t="s">
        <v>50</v>
      </c>
      <c r="S106" s="35" t="n">
        <f>1501.26</f>
        <v>1501.26</v>
      </c>
      <c r="T106" s="32" t="n">
        <f>241550</f>
        <v>241550.0</v>
      </c>
      <c r="U106" s="32" t="n">
        <f>60</f>
        <v>60.0</v>
      </c>
      <c r="V106" s="32" t="n">
        <f>362023040</f>
        <v>3.6202304E8</v>
      </c>
      <c r="W106" s="32" t="n">
        <f>90380</f>
        <v>90380.0</v>
      </c>
      <c r="X106" s="36" t="n">
        <f>19</f>
        <v>19.0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38600</f>
        <v>38600.0</v>
      </c>
      <c r="L107" s="34" t="s">
        <v>48</v>
      </c>
      <c r="M107" s="33" t="n">
        <f>39950</f>
        <v>39950.0</v>
      </c>
      <c r="N107" s="34" t="s">
        <v>176</v>
      </c>
      <c r="O107" s="33" t="n">
        <f>37850</f>
        <v>37850.0</v>
      </c>
      <c r="P107" s="34" t="s">
        <v>77</v>
      </c>
      <c r="Q107" s="33" t="n">
        <f>39000</f>
        <v>39000.0</v>
      </c>
      <c r="R107" s="34" t="s">
        <v>50</v>
      </c>
      <c r="S107" s="35" t="n">
        <f>39184.21</f>
        <v>39184.21</v>
      </c>
      <c r="T107" s="32" t="n">
        <f>174754</f>
        <v>174754.0</v>
      </c>
      <c r="U107" s="32" t="n">
        <f>39000</f>
        <v>39000.0</v>
      </c>
      <c r="V107" s="32" t="n">
        <f>6839936372</f>
        <v>6.839936372E9</v>
      </c>
      <c r="W107" s="32" t="n">
        <f>1526314022</f>
        <v>1.526314022E9</v>
      </c>
      <c r="X107" s="36" t="n">
        <f>19</f>
        <v>19.0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2900</f>
        <v>2900.0</v>
      </c>
      <c r="L108" s="34" t="s">
        <v>48</v>
      </c>
      <c r="M108" s="33" t="n">
        <f>3065</f>
        <v>3065.0</v>
      </c>
      <c r="N108" s="34" t="s">
        <v>240</v>
      </c>
      <c r="O108" s="33" t="n">
        <f>2880</f>
        <v>2880.0</v>
      </c>
      <c r="P108" s="34" t="s">
        <v>84</v>
      </c>
      <c r="Q108" s="33" t="n">
        <f>2951</f>
        <v>2951.0</v>
      </c>
      <c r="R108" s="34" t="s">
        <v>50</v>
      </c>
      <c r="S108" s="35" t="n">
        <f>2983.89</f>
        <v>2983.89</v>
      </c>
      <c r="T108" s="32" t="n">
        <f>11163</f>
        <v>11163.0</v>
      </c>
      <c r="U108" s="32" t="n">
        <f>1</f>
        <v>1.0</v>
      </c>
      <c r="V108" s="32" t="n">
        <f>33383584</f>
        <v>3.3383584E7</v>
      </c>
      <c r="W108" s="32" t="n">
        <f>2968</f>
        <v>2968.0</v>
      </c>
      <c r="X108" s="36" t="n">
        <f>19</f>
        <v>19.0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4240</f>
        <v>4240.0</v>
      </c>
      <c r="L109" s="34" t="s">
        <v>48</v>
      </c>
      <c r="M109" s="33" t="n">
        <f>4280</f>
        <v>4280.0</v>
      </c>
      <c r="N109" s="34" t="s">
        <v>371</v>
      </c>
      <c r="O109" s="33" t="n">
        <f>4020</f>
        <v>4020.0</v>
      </c>
      <c r="P109" s="34" t="s">
        <v>84</v>
      </c>
      <c r="Q109" s="33" t="n">
        <f>4100</f>
        <v>4100.0</v>
      </c>
      <c r="R109" s="34" t="s">
        <v>50</v>
      </c>
      <c r="S109" s="35" t="n">
        <f>4113.95</f>
        <v>4113.95</v>
      </c>
      <c r="T109" s="32" t="n">
        <f>6827</f>
        <v>6827.0</v>
      </c>
      <c r="U109" s="32" t="str">
        <f>"－"</f>
        <v>－</v>
      </c>
      <c r="V109" s="32" t="n">
        <f>28273820</f>
        <v>2.827382E7</v>
      </c>
      <c r="W109" s="32" t="str">
        <f>"－"</f>
        <v>－</v>
      </c>
      <c r="X109" s="36" t="n">
        <f>19</f>
        <v>19.0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3575</f>
        <v>3575.0</v>
      </c>
      <c r="L110" s="34" t="s">
        <v>48</v>
      </c>
      <c r="M110" s="33" t="n">
        <f>3580</f>
        <v>3580.0</v>
      </c>
      <c r="N110" s="34" t="s">
        <v>48</v>
      </c>
      <c r="O110" s="33" t="n">
        <f>3275</f>
        <v>3275.0</v>
      </c>
      <c r="P110" s="34" t="s">
        <v>50</v>
      </c>
      <c r="Q110" s="33" t="n">
        <f>3300</f>
        <v>3300.0</v>
      </c>
      <c r="R110" s="34" t="s">
        <v>50</v>
      </c>
      <c r="S110" s="35" t="n">
        <f>3453.16</f>
        <v>3453.16</v>
      </c>
      <c r="T110" s="32" t="n">
        <f>254605</f>
        <v>254605.0</v>
      </c>
      <c r="U110" s="32" t="n">
        <f>1</f>
        <v>1.0</v>
      </c>
      <c r="V110" s="32" t="n">
        <f>879438855</f>
        <v>8.79438855E8</v>
      </c>
      <c r="W110" s="32" t="n">
        <f>3405</f>
        <v>3405.0</v>
      </c>
      <c r="X110" s="36" t="n">
        <f>19</f>
        <v>19.0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45200</f>
        <v>45200.0</v>
      </c>
      <c r="L111" s="34" t="s">
        <v>48</v>
      </c>
      <c r="M111" s="33" t="n">
        <f>45250</f>
        <v>45250.0</v>
      </c>
      <c r="N111" s="34" t="s">
        <v>48</v>
      </c>
      <c r="O111" s="33" t="n">
        <f>44300</f>
        <v>44300.0</v>
      </c>
      <c r="P111" s="34" t="s">
        <v>240</v>
      </c>
      <c r="Q111" s="33" t="n">
        <f>44500</f>
        <v>44500.0</v>
      </c>
      <c r="R111" s="34" t="s">
        <v>50</v>
      </c>
      <c r="S111" s="35" t="n">
        <f>44692.11</f>
        <v>44692.11</v>
      </c>
      <c r="T111" s="32" t="n">
        <f>16501</f>
        <v>16501.0</v>
      </c>
      <c r="U111" s="32" t="n">
        <f>5</f>
        <v>5.0</v>
      </c>
      <c r="V111" s="32" t="n">
        <f>738462550</f>
        <v>7.3846255E8</v>
      </c>
      <c r="W111" s="32" t="n">
        <f>223900</f>
        <v>223900.0</v>
      </c>
      <c r="X111" s="36" t="n">
        <f>19</f>
        <v>19.0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str">
        <f>"－"</f>
        <v>－</v>
      </c>
      <c r="L112" s="34"/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5" t="str">
        <f>"－"</f>
        <v>－</v>
      </c>
      <c r="T112" s="32" t="str">
        <f>"－"</f>
        <v>－</v>
      </c>
      <c r="U112" s="32" t="str">
        <f>"－"</f>
        <v>－</v>
      </c>
      <c r="V112" s="32" t="str">
        <f>"－"</f>
        <v>－</v>
      </c>
      <c r="W112" s="32" t="str">
        <f>"－"</f>
        <v>－</v>
      </c>
      <c r="X112" s="36" t="str">
        <f>"－"</f>
        <v>－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20660</f>
        <v>20660.0</v>
      </c>
      <c r="L113" s="34" t="s">
        <v>48</v>
      </c>
      <c r="M113" s="33" t="n">
        <f>22360</f>
        <v>22360.0</v>
      </c>
      <c r="N113" s="34" t="s">
        <v>49</v>
      </c>
      <c r="O113" s="33" t="n">
        <f>19820</f>
        <v>19820.0</v>
      </c>
      <c r="P113" s="34" t="s">
        <v>48</v>
      </c>
      <c r="Q113" s="33" t="n">
        <f>20490</f>
        <v>20490.0</v>
      </c>
      <c r="R113" s="34" t="s">
        <v>50</v>
      </c>
      <c r="S113" s="35" t="n">
        <f>21310</f>
        <v>21310.0</v>
      </c>
      <c r="T113" s="32" t="n">
        <f>2481610</f>
        <v>2481610.0</v>
      </c>
      <c r="U113" s="32" t="n">
        <f>49230</f>
        <v>49230.0</v>
      </c>
      <c r="V113" s="32" t="n">
        <f>52729648050</f>
        <v>5.272964805E10</v>
      </c>
      <c r="W113" s="32" t="n">
        <f>1006337850</f>
        <v>1.00633785E9</v>
      </c>
      <c r="X113" s="36" t="n">
        <f>19</f>
        <v>19.0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2469</f>
        <v>2469.0</v>
      </c>
      <c r="L114" s="34" t="s">
        <v>48</v>
      </c>
      <c r="M114" s="33" t="n">
        <f>2513</f>
        <v>2513.0</v>
      </c>
      <c r="N114" s="34" t="s">
        <v>48</v>
      </c>
      <c r="O114" s="33" t="n">
        <f>2364</f>
        <v>2364.0</v>
      </c>
      <c r="P114" s="34" t="s">
        <v>49</v>
      </c>
      <c r="Q114" s="33" t="n">
        <f>2463</f>
        <v>2463.0</v>
      </c>
      <c r="R114" s="34" t="s">
        <v>50</v>
      </c>
      <c r="S114" s="35" t="n">
        <f>2421.26</f>
        <v>2421.26</v>
      </c>
      <c r="T114" s="32" t="n">
        <f>527990</f>
        <v>527990.0</v>
      </c>
      <c r="U114" s="32" t="n">
        <f>3580</f>
        <v>3580.0</v>
      </c>
      <c r="V114" s="32" t="n">
        <f>1284007640</f>
        <v>1.28400764E9</v>
      </c>
      <c r="W114" s="32" t="n">
        <f>8671020</f>
        <v>8671020.0</v>
      </c>
      <c r="X114" s="36" t="n">
        <f>19</f>
        <v>19.0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29220</f>
        <v>29220.0</v>
      </c>
      <c r="L115" s="34" t="s">
        <v>48</v>
      </c>
      <c r="M115" s="33" t="n">
        <f>32150</f>
        <v>32150.0</v>
      </c>
      <c r="N115" s="34" t="s">
        <v>49</v>
      </c>
      <c r="O115" s="33" t="n">
        <f>27920</f>
        <v>27920.0</v>
      </c>
      <c r="P115" s="34" t="s">
        <v>77</v>
      </c>
      <c r="Q115" s="33" t="n">
        <f>29190</f>
        <v>29190.0</v>
      </c>
      <c r="R115" s="34" t="s">
        <v>50</v>
      </c>
      <c r="S115" s="35" t="n">
        <f>30412.63</f>
        <v>30412.63</v>
      </c>
      <c r="T115" s="32" t="n">
        <f>73555260</f>
        <v>7.355526E7</v>
      </c>
      <c r="U115" s="32" t="n">
        <f>53975</f>
        <v>53975.0</v>
      </c>
      <c r="V115" s="32" t="n">
        <f>2205710164417</f>
        <v>2.205710164417E12</v>
      </c>
      <c r="W115" s="32" t="n">
        <f>1684307827</f>
        <v>1.684307827E9</v>
      </c>
      <c r="X115" s="36" t="n">
        <f>19</f>
        <v>19.0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1089</f>
        <v>1089.0</v>
      </c>
      <c r="L116" s="34" t="s">
        <v>48</v>
      </c>
      <c r="M116" s="33" t="n">
        <f>1114</f>
        <v>1114.0</v>
      </c>
      <c r="N116" s="34" t="s">
        <v>77</v>
      </c>
      <c r="O116" s="33" t="n">
        <f>1035</f>
        <v>1035.0</v>
      </c>
      <c r="P116" s="34" t="s">
        <v>49</v>
      </c>
      <c r="Q116" s="33" t="n">
        <f>1084</f>
        <v>1084.0</v>
      </c>
      <c r="R116" s="34" t="s">
        <v>50</v>
      </c>
      <c r="S116" s="35" t="n">
        <f>1065.32</f>
        <v>1065.32</v>
      </c>
      <c r="T116" s="32" t="n">
        <f>12372000</f>
        <v>1.2372E7</v>
      </c>
      <c r="U116" s="32" t="n">
        <f>4</f>
        <v>4.0</v>
      </c>
      <c r="V116" s="32" t="n">
        <f>13107793990</f>
        <v>1.310779399E10</v>
      </c>
      <c r="W116" s="32" t="n">
        <f>4319</f>
        <v>4319.0</v>
      </c>
      <c r="X116" s="36" t="n">
        <f>19</f>
        <v>19.0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10620</f>
        <v>10620.0</v>
      </c>
      <c r="L117" s="34" t="s">
        <v>48</v>
      </c>
      <c r="M117" s="33" t="n">
        <f>13600</f>
        <v>13600.0</v>
      </c>
      <c r="N117" s="34" t="s">
        <v>132</v>
      </c>
      <c r="O117" s="33" t="n">
        <f>10520</f>
        <v>10520.0</v>
      </c>
      <c r="P117" s="34" t="s">
        <v>84</v>
      </c>
      <c r="Q117" s="33" t="n">
        <f>12110</f>
        <v>12110.0</v>
      </c>
      <c r="R117" s="34" t="s">
        <v>50</v>
      </c>
      <c r="S117" s="35" t="n">
        <f>12080</f>
        <v>12080.0</v>
      </c>
      <c r="T117" s="32" t="n">
        <f>27440</f>
        <v>27440.0</v>
      </c>
      <c r="U117" s="32" t="str">
        <f>"－"</f>
        <v>－</v>
      </c>
      <c r="V117" s="32" t="n">
        <f>339706800</f>
        <v>3.397068E8</v>
      </c>
      <c r="W117" s="32" t="str">
        <f>"－"</f>
        <v>－</v>
      </c>
      <c r="X117" s="36" t="n">
        <f>19</f>
        <v>19.0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6500</f>
        <v>6500.0</v>
      </c>
      <c r="L118" s="34" t="s">
        <v>48</v>
      </c>
      <c r="M118" s="33" t="n">
        <f>6520</f>
        <v>6520.0</v>
      </c>
      <c r="N118" s="34" t="s">
        <v>48</v>
      </c>
      <c r="O118" s="33" t="n">
        <f>5800</f>
        <v>5800.0</v>
      </c>
      <c r="P118" s="34" t="s">
        <v>268</v>
      </c>
      <c r="Q118" s="33" t="n">
        <f>6150</f>
        <v>6150.0</v>
      </c>
      <c r="R118" s="34" t="s">
        <v>50</v>
      </c>
      <c r="S118" s="35" t="n">
        <f>6157.89</f>
        <v>6157.89</v>
      </c>
      <c r="T118" s="32" t="n">
        <f>9610</f>
        <v>9610.0</v>
      </c>
      <c r="U118" s="32" t="str">
        <f>"－"</f>
        <v>－</v>
      </c>
      <c r="V118" s="32" t="n">
        <f>59216300</f>
        <v>5.92163E7</v>
      </c>
      <c r="W118" s="32" t="str">
        <f>"－"</f>
        <v>－</v>
      </c>
      <c r="X118" s="36" t="n">
        <f>19</f>
        <v>19.0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1580</f>
        <v>1580.0</v>
      </c>
      <c r="L119" s="34" t="s">
        <v>131</v>
      </c>
      <c r="M119" s="33" t="n">
        <f>1665</f>
        <v>1665.0</v>
      </c>
      <c r="N119" s="34" t="s">
        <v>92</v>
      </c>
      <c r="O119" s="33" t="n">
        <f>1550</f>
        <v>1550.0</v>
      </c>
      <c r="P119" s="34" t="s">
        <v>268</v>
      </c>
      <c r="Q119" s="33" t="n">
        <f>1550</f>
        <v>1550.0</v>
      </c>
      <c r="R119" s="34" t="s">
        <v>268</v>
      </c>
      <c r="S119" s="35" t="n">
        <f>1598.33</f>
        <v>1598.33</v>
      </c>
      <c r="T119" s="32" t="n">
        <f>120</f>
        <v>120.0</v>
      </c>
      <c r="U119" s="32" t="str">
        <f>"－"</f>
        <v>－</v>
      </c>
      <c r="V119" s="32" t="n">
        <f>187450</f>
        <v>187450.0</v>
      </c>
      <c r="W119" s="32" t="str">
        <f>"－"</f>
        <v>－</v>
      </c>
      <c r="X119" s="36" t="n">
        <f>3</f>
        <v>3.0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813</f>
        <v>813.0</v>
      </c>
      <c r="L120" s="34" t="s">
        <v>48</v>
      </c>
      <c r="M120" s="33" t="n">
        <f>1126</f>
        <v>1126.0</v>
      </c>
      <c r="N120" s="34" t="s">
        <v>50</v>
      </c>
      <c r="O120" s="33" t="n">
        <f>786</f>
        <v>786.0</v>
      </c>
      <c r="P120" s="34" t="s">
        <v>84</v>
      </c>
      <c r="Q120" s="33" t="n">
        <f>982</f>
        <v>982.0</v>
      </c>
      <c r="R120" s="34" t="s">
        <v>50</v>
      </c>
      <c r="S120" s="35" t="n">
        <f>884.37</f>
        <v>884.37</v>
      </c>
      <c r="T120" s="32" t="n">
        <f>39460</f>
        <v>39460.0</v>
      </c>
      <c r="U120" s="32" t="str">
        <f>"－"</f>
        <v>－</v>
      </c>
      <c r="V120" s="32" t="n">
        <f>35662700</f>
        <v>3.56627E7</v>
      </c>
      <c r="W120" s="32" t="str">
        <f>"－"</f>
        <v>－</v>
      </c>
      <c r="X120" s="36" t="n">
        <f>19</f>
        <v>19.0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779</f>
        <v>779.0</v>
      </c>
      <c r="L121" s="34" t="s">
        <v>48</v>
      </c>
      <c r="M121" s="33" t="n">
        <f>977</f>
        <v>977.0</v>
      </c>
      <c r="N121" s="34" t="s">
        <v>100</v>
      </c>
      <c r="O121" s="33" t="n">
        <f>779</f>
        <v>779.0</v>
      </c>
      <c r="P121" s="34" t="s">
        <v>48</v>
      </c>
      <c r="Q121" s="33" t="n">
        <f>823</f>
        <v>823.0</v>
      </c>
      <c r="R121" s="34" t="s">
        <v>50</v>
      </c>
      <c r="S121" s="35" t="n">
        <f>830</f>
        <v>830.0</v>
      </c>
      <c r="T121" s="32" t="n">
        <f>33680</f>
        <v>33680.0</v>
      </c>
      <c r="U121" s="32" t="str">
        <f>"－"</f>
        <v>－</v>
      </c>
      <c r="V121" s="32" t="n">
        <f>28361790</f>
        <v>2.836179E7</v>
      </c>
      <c r="W121" s="32" t="str">
        <f>"－"</f>
        <v>－</v>
      </c>
      <c r="X121" s="36" t="n">
        <f>19</f>
        <v>19.0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19760</f>
        <v>19760.0</v>
      </c>
      <c r="L122" s="34" t="s">
        <v>48</v>
      </c>
      <c r="M122" s="33" t="n">
        <f>20850</f>
        <v>20850.0</v>
      </c>
      <c r="N122" s="34" t="s">
        <v>49</v>
      </c>
      <c r="O122" s="33" t="n">
        <f>19320</f>
        <v>19320.0</v>
      </c>
      <c r="P122" s="34" t="s">
        <v>84</v>
      </c>
      <c r="Q122" s="33" t="n">
        <f>20270</f>
        <v>20270.0</v>
      </c>
      <c r="R122" s="34" t="s">
        <v>50</v>
      </c>
      <c r="S122" s="35" t="n">
        <f>20342.63</f>
        <v>20342.63</v>
      </c>
      <c r="T122" s="32" t="n">
        <f>41364</f>
        <v>41364.0</v>
      </c>
      <c r="U122" s="32" t="n">
        <f>2508</f>
        <v>2508.0</v>
      </c>
      <c r="V122" s="32" t="n">
        <f>833888894</f>
        <v>8.33888894E8</v>
      </c>
      <c r="W122" s="32" t="n">
        <f>51500144</f>
        <v>5.1500144E7</v>
      </c>
      <c r="X122" s="36" t="n">
        <f>19</f>
        <v>19.0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2213</f>
        <v>2213.0</v>
      </c>
      <c r="L123" s="34" t="s">
        <v>48</v>
      </c>
      <c r="M123" s="33" t="n">
        <f>2303</f>
        <v>2303.0</v>
      </c>
      <c r="N123" s="34" t="s">
        <v>49</v>
      </c>
      <c r="O123" s="33" t="n">
        <f>2165</f>
        <v>2165.0</v>
      </c>
      <c r="P123" s="34" t="s">
        <v>77</v>
      </c>
      <c r="Q123" s="33" t="n">
        <f>2244</f>
        <v>2244.0</v>
      </c>
      <c r="R123" s="34" t="s">
        <v>50</v>
      </c>
      <c r="S123" s="35" t="n">
        <f>2247.84</f>
        <v>2247.84</v>
      </c>
      <c r="T123" s="32" t="n">
        <f>40827</f>
        <v>40827.0</v>
      </c>
      <c r="U123" s="32" t="n">
        <f>1</f>
        <v>1.0</v>
      </c>
      <c r="V123" s="32" t="n">
        <f>91621875</f>
        <v>9.1621875E7</v>
      </c>
      <c r="W123" s="32" t="n">
        <f>2272</f>
        <v>2272.0</v>
      </c>
      <c r="X123" s="36" t="n">
        <f>19</f>
        <v>19.0</v>
      </c>
    </row>
    <row r="124">
      <c r="A124" s="27" t="s">
        <v>42</v>
      </c>
      <c r="B124" s="27" t="s">
        <v>414</v>
      </c>
      <c r="C124" s="27" t="s">
        <v>415</v>
      </c>
      <c r="D124" s="27" t="s">
        <v>416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31150</f>
        <v>31150.0</v>
      </c>
      <c r="L124" s="34" t="s">
        <v>48</v>
      </c>
      <c r="M124" s="33" t="n">
        <f>34250</f>
        <v>34250.0</v>
      </c>
      <c r="N124" s="34" t="s">
        <v>49</v>
      </c>
      <c r="O124" s="33" t="n">
        <f>29730</f>
        <v>29730.0</v>
      </c>
      <c r="P124" s="34" t="s">
        <v>77</v>
      </c>
      <c r="Q124" s="33" t="n">
        <f>31100</f>
        <v>31100.0</v>
      </c>
      <c r="R124" s="34" t="s">
        <v>50</v>
      </c>
      <c r="S124" s="35" t="n">
        <f>32368.42</f>
        <v>32368.42</v>
      </c>
      <c r="T124" s="32" t="n">
        <f>5795590</f>
        <v>5795590.0</v>
      </c>
      <c r="U124" s="32" t="n">
        <f>9820</f>
        <v>9820.0</v>
      </c>
      <c r="V124" s="32" t="n">
        <f>186599091627</f>
        <v>1.86599091627E11</v>
      </c>
      <c r="W124" s="32" t="n">
        <f>307827127</f>
        <v>3.07827127E8</v>
      </c>
      <c r="X124" s="36" t="n">
        <f>19</f>
        <v>19.0</v>
      </c>
    </row>
    <row r="125">
      <c r="A125" s="27" t="s">
        <v>42</v>
      </c>
      <c r="B125" s="27" t="s">
        <v>417</v>
      </c>
      <c r="C125" s="27" t="s">
        <v>418</v>
      </c>
      <c r="D125" s="27" t="s">
        <v>419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2902</f>
        <v>2902.0</v>
      </c>
      <c r="L125" s="34" t="s">
        <v>48</v>
      </c>
      <c r="M125" s="33" t="n">
        <f>2968</f>
        <v>2968.0</v>
      </c>
      <c r="N125" s="34" t="s">
        <v>77</v>
      </c>
      <c r="O125" s="33" t="n">
        <f>2760</f>
        <v>2760.0</v>
      </c>
      <c r="P125" s="34" t="s">
        <v>49</v>
      </c>
      <c r="Q125" s="33" t="n">
        <f>2889</f>
        <v>2889.0</v>
      </c>
      <c r="R125" s="34" t="s">
        <v>50</v>
      </c>
      <c r="S125" s="35" t="n">
        <f>2840.74</f>
        <v>2840.74</v>
      </c>
      <c r="T125" s="32" t="n">
        <f>1081600</f>
        <v>1081600.0</v>
      </c>
      <c r="U125" s="32" t="n">
        <f>30</f>
        <v>30.0</v>
      </c>
      <c r="V125" s="32" t="n">
        <f>3073419450</f>
        <v>3.07341945E9</v>
      </c>
      <c r="W125" s="32" t="n">
        <f>87080</f>
        <v>87080.0</v>
      </c>
      <c r="X125" s="36" t="n">
        <f>19</f>
        <v>19.0</v>
      </c>
    </row>
    <row r="126">
      <c r="A126" s="27" t="s">
        <v>42</v>
      </c>
      <c r="B126" s="27" t="s">
        <v>420</v>
      </c>
      <c r="C126" s="27" t="s">
        <v>421</v>
      </c>
      <c r="D126" s="27" t="s">
        <v>422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903</f>
        <v>903.0</v>
      </c>
      <c r="L126" s="34" t="s">
        <v>48</v>
      </c>
      <c r="M126" s="33" t="n">
        <f>1169</f>
        <v>1169.0</v>
      </c>
      <c r="N126" s="34" t="s">
        <v>176</v>
      </c>
      <c r="O126" s="33" t="n">
        <f>903</f>
        <v>903.0</v>
      </c>
      <c r="P126" s="34" t="s">
        <v>48</v>
      </c>
      <c r="Q126" s="33" t="n">
        <f>947</f>
        <v>947.0</v>
      </c>
      <c r="R126" s="34" t="s">
        <v>50</v>
      </c>
      <c r="S126" s="35" t="n">
        <f>1011.11</f>
        <v>1011.11</v>
      </c>
      <c r="T126" s="32" t="n">
        <f>17930</f>
        <v>17930.0</v>
      </c>
      <c r="U126" s="32" t="n">
        <f>10</f>
        <v>10.0</v>
      </c>
      <c r="V126" s="32" t="n">
        <f>18499240</f>
        <v>1.849924E7</v>
      </c>
      <c r="W126" s="32" t="n">
        <f>10000</f>
        <v>10000.0</v>
      </c>
      <c r="X126" s="36" t="n">
        <f>19</f>
        <v>19.0</v>
      </c>
    </row>
    <row r="127">
      <c r="A127" s="27" t="s">
        <v>42</v>
      </c>
      <c r="B127" s="27" t="s">
        <v>423</v>
      </c>
      <c r="C127" s="27" t="s">
        <v>424</v>
      </c>
      <c r="D127" s="27" t="s">
        <v>425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1450</f>
        <v>1450.0</v>
      </c>
      <c r="L127" s="34" t="s">
        <v>96</v>
      </c>
      <c r="M127" s="33" t="n">
        <f>1480</f>
        <v>1480.0</v>
      </c>
      <c r="N127" s="34" t="s">
        <v>49</v>
      </c>
      <c r="O127" s="33" t="n">
        <f>1441</f>
        <v>1441.0</v>
      </c>
      <c r="P127" s="34" t="s">
        <v>88</v>
      </c>
      <c r="Q127" s="33" t="n">
        <f>1441</f>
        <v>1441.0</v>
      </c>
      <c r="R127" s="34" t="s">
        <v>88</v>
      </c>
      <c r="S127" s="35" t="n">
        <f>1462.88</f>
        <v>1462.88</v>
      </c>
      <c r="T127" s="32" t="n">
        <f>78910</f>
        <v>78910.0</v>
      </c>
      <c r="U127" s="32" t="n">
        <f>78000</f>
        <v>78000.0</v>
      </c>
      <c r="V127" s="32" t="n">
        <f>114479490</f>
        <v>1.1447949E8</v>
      </c>
      <c r="W127" s="32" t="n">
        <f>113150630</f>
        <v>1.1315063E8</v>
      </c>
      <c r="X127" s="36" t="n">
        <f>8</f>
        <v>8.0</v>
      </c>
    </row>
    <row r="128">
      <c r="A128" s="27" t="s">
        <v>42</v>
      </c>
      <c r="B128" s="27" t="s">
        <v>426</v>
      </c>
      <c r="C128" s="27" t="s">
        <v>427</v>
      </c>
      <c r="D128" s="27" t="s">
        <v>428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1633</f>
        <v>1633.0</v>
      </c>
      <c r="L128" s="34" t="s">
        <v>48</v>
      </c>
      <c r="M128" s="33" t="n">
        <f>1756</f>
        <v>1756.0</v>
      </c>
      <c r="N128" s="34" t="s">
        <v>84</v>
      </c>
      <c r="O128" s="33" t="n">
        <f>1550</f>
        <v>1550.0</v>
      </c>
      <c r="P128" s="34" t="s">
        <v>131</v>
      </c>
      <c r="Q128" s="33" t="n">
        <f>1620</f>
        <v>1620.0</v>
      </c>
      <c r="R128" s="34" t="s">
        <v>50</v>
      </c>
      <c r="S128" s="35" t="n">
        <f>1623.71</f>
        <v>1623.71</v>
      </c>
      <c r="T128" s="32" t="n">
        <f>2039</f>
        <v>2039.0</v>
      </c>
      <c r="U128" s="32" t="str">
        <f>"－"</f>
        <v>－</v>
      </c>
      <c r="V128" s="32" t="n">
        <f>3309047</f>
        <v>3309047.0</v>
      </c>
      <c r="W128" s="32" t="str">
        <f>"－"</f>
        <v>－</v>
      </c>
      <c r="X128" s="36" t="n">
        <f>17</f>
        <v>17.0</v>
      </c>
    </row>
    <row r="129">
      <c r="A129" s="27" t="s">
        <v>42</v>
      </c>
      <c r="B129" s="27" t="s">
        <v>429</v>
      </c>
      <c r="C129" s="27" t="s">
        <v>430</v>
      </c>
      <c r="D129" s="27" t="s">
        <v>431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16440</f>
        <v>16440.0</v>
      </c>
      <c r="L129" s="34" t="s">
        <v>48</v>
      </c>
      <c r="M129" s="33" t="n">
        <f>17190</f>
        <v>17190.0</v>
      </c>
      <c r="N129" s="34" t="s">
        <v>49</v>
      </c>
      <c r="O129" s="33" t="n">
        <f>16140</f>
        <v>16140.0</v>
      </c>
      <c r="P129" s="34" t="s">
        <v>48</v>
      </c>
      <c r="Q129" s="33" t="n">
        <f>16480</f>
        <v>16480.0</v>
      </c>
      <c r="R129" s="34" t="s">
        <v>50</v>
      </c>
      <c r="S129" s="35" t="n">
        <f>16767.89</f>
        <v>16767.89</v>
      </c>
      <c r="T129" s="32" t="n">
        <f>88422</f>
        <v>88422.0</v>
      </c>
      <c r="U129" s="32" t="n">
        <f>3</f>
        <v>3.0</v>
      </c>
      <c r="V129" s="32" t="n">
        <f>1489071783</f>
        <v>1.489071783E9</v>
      </c>
      <c r="W129" s="32" t="n">
        <f>50793</f>
        <v>50793.0</v>
      </c>
      <c r="X129" s="36" t="n">
        <f>19</f>
        <v>19.0</v>
      </c>
    </row>
    <row r="130">
      <c r="A130" s="27" t="s">
        <v>42</v>
      </c>
      <c r="B130" s="27" t="s">
        <v>432</v>
      </c>
      <c r="C130" s="27" t="s">
        <v>433</v>
      </c>
      <c r="D130" s="27" t="s">
        <v>434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1516</f>
        <v>1516.0</v>
      </c>
      <c r="L130" s="34" t="s">
        <v>48</v>
      </c>
      <c r="M130" s="33" t="n">
        <f>1568</f>
        <v>1568.0</v>
      </c>
      <c r="N130" s="34" t="s">
        <v>49</v>
      </c>
      <c r="O130" s="33" t="n">
        <f>1486</f>
        <v>1486.0</v>
      </c>
      <c r="P130" s="34" t="s">
        <v>48</v>
      </c>
      <c r="Q130" s="33" t="n">
        <f>1506</f>
        <v>1506.0</v>
      </c>
      <c r="R130" s="34" t="s">
        <v>50</v>
      </c>
      <c r="S130" s="35" t="n">
        <f>1532.26</f>
        <v>1532.26</v>
      </c>
      <c r="T130" s="32" t="n">
        <f>158627</f>
        <v>158627.0</v>
      </c>
      <c r="U130" s="32" t="str">
        <f>"－"</f>
        <v>－</v>
      </c>
      <c r="V130" s="32" t="n">
        <f>242173370</f>
        <v>2.4217337E8</v>
      </c>
      <c r="W130" s="32" t="str">
        <f>"－"</f>
        <v>－</v>
      </c>
      <c r="X130" s="36" t="n">
        <f>19</f>
        <v>19.0</v>
      </c>
    </row>
    <row r="131">
      <c r="A131" s="27" t="s">
        <v>42</v>
      </c>
      <c r="B131" s="27" t="s">
        <v>435</v>
      </c>
      <c r="C131" s="27" t="s">
        <v>436</v>
      </c>
      <c r="D131" s="27" t="s">
        <v>437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16940</f>
        <v>16940.0</v>
      </c>
      <c r="L131" s="34" t="s">
        <v>48</v>
      </c>
      <c r="M131" s="33" t="n">
        <f>17520</f>
        <v>17520.0</v>
      </c>
      <c r="N131" s="34" t="s">
        <v>49</v>
      </c>
      <c r="O131" s="33" t="n">
        <f>16590</f>
        <v>16590.0</v>
      </c>
      <c r="P131" s="34" t="s">
        <v>48</v>
      </c>
      <c r="Q131" s="33" t="n">
        <f>16790</f>
        <v>16790.0</v>
      </c>
      <c r="R131" s="34" t="s">
        <v>50</v>
      </c>
      <c r="S131" s="35" t="n">
        <f>17137.37</f>
        <v>17137.37</v>
      </c>
      <c r="T131" s="32" t="n">
        <f>35463</f>
        <v>35463.0</v>
      </c>
      <c r="U131" s="32" t="n">
        <f>6706</f>
        <v>6706.0</v>
      </c>
      <c r="V131" s="32" t="n">
        <f>608641600</f>
        <v>6.086416E8</v>
      </c>
      <c r="W131" s="32" t="n">
        <f>115611340</f>
        <v>1.1561134E8</v>
      </c>
      <c r="X131" s="36" t="n">
        <f>19</f>
        <v>19.0</v>
      </c>
    </row>
    <row r="132">
      <c r="A132" s="27" t="s">
        <v>42</v>
      </c>
      <c r="B132" s="27" t="s">
        <v>438</v>
      </c>
      <c r="C132" s="27" t="s">
        <v>439</v>
      </c>
      <c r="D132" s="27" t="s">
        <v>440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1826</f>
        <v>1826.0</v>
      </c>
      <c r="L132" s="34" t="s">
        <v>48</v>
      </c>
      <c r="M132" s="33" t="n">
        <f>1880</f>
        <v>1880.0</v>
      </c>
      <c r="N132" s="34" t="s">
        <v>50</v>
      </c>
      <c r="O132" s="33" t="n">
        <f>1775</f>
        <v>1775.0</v>
      </c>
      <c r="P132" s="34" t="s">
        <v>69</v>
      </c>
      <c r="Q132" s="33" t="n">
        <f>1871</f>
        <v>1871.0</v>
      </c>
      <c r="R132" s="34" t="s">
        <v>50</v>
      </c>
      <c r="S132" s="35" t="n">
        <f>1814.79</f>
        <v>1814.79</v>
      </c>
      <c r="T132" s="32" t="n">
        <f>668000</f>
        <v>668000.0</v>
      </c>
      <c r="U132" s="32" t="n">
        <f>190020</f>
        <v>190020.0</v>
      </c>
      <c r="V132" s="32" t="n">
        <f>1206905920</f>
        <v>1.20690592E9</v>
      </c>
      <c r="W132" s="32" t="n">
        <f>342098320</f>
        <v>3.4209832E8</v>
      </c>
      <c r="X132" s="36" t="n">
        <f>19</f>
        <v>19.0</v>
      </c>
    </row>
    <row r="133">
      <c r="A133" s="27" t="s">
        <v>42</v>
      </c>
      <c r="B133" s="27" t="s">
        <v>441</v>
      </c>
      <c r="C133" s="27" t="s">
        <v>442</v>
      </c>
      <c r="D133" s="27" t="s">
        <v>443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1654</f>
        <v>1654.0</v>
      </c>
      <c r="L133" s="34" t="s">
        <v>131</v>
      </c>
      <c r="M133" s="33" t="n">
        <f>1662</f>
        <v>1662.0</v>
      </c>
      <c r="N133" s="34" t="s">
        <v>92</v>
      </c>
      <c r="O133" s="33" t="n">
        <f>1620</f>
        <v>1620.0</v>
      </c>
      <c r="P133" s="34" t="s">
        <v>88</v>
      </c>
      <c r="Q133" s="33" t="n">
        <f>1631</f>
        <v>1631.0</v>
      </c>
      <c r="R133" s="34" t="s">
        <v>50</v>
      </c>
      <c r="S133" s="35" t="n">
        <f>1645.88</f>
        <v>1645.88</v>
      </c>
      <c r="T133" s="32" t="n">
        <f>140</f>
        <v>140.0</v>
      </c>
      <c r="U133" s="32" t="str">
        <f>"－"</f>
        <v>－</v>
      </c>
      <c r="V133" s="32" t="n">
        <f>230620</f>
        <v>230620.0</v>
      </c>
      <c r="W133" s="32" t="str">
        <f>"－"</f>
        <v>－</v>
      </c>
      <c r="X133" s="36" t="n">
        <f>8</f>
        <v>8.0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1827</f>
        <v>1827.0</v>
      </c>
      <c r="L134" s="34" t="s">
        <v>48</v>
      </c>
      <c r="M134" s="33" t="n">
        <f>1902</f>
        <v>1902.0</v>
      </c>
      <c r="N134" s="34" t="s">
        <v>50</v>
      </c>
      <c r="O134" s="33" t="n">
        <f>1789</f>
        <v>1789.0</v>
      </c>
      <c r="P134" s="34" t="s">
        <v>48</v>
      </c>
      <c r="Q134" s="33" t="n">
        <f>1889</f>
        <v>1889.0</v>
      </c>
      <c r="R134" s="34" t="s">
        <v>50</v>
      </c>
      <c r="S134" s="35" t="n">
        <f>1824.63</f>
        <v>1824.63</v>
      </c>
      <c r="T134" s="32" t="n">
        <f>333030</f>
        <v>333030.0</v>
      </c>
      <c r="U134" s="32" t="n">
        <f>50</f>
        <v>50.0</v>
      </c>
      <c r="V134" s="32" t="n">
        <f>613864080</f>
        <v>6.1386408E8</v>
      </c>
      <c r="W134" s="32" t="n">
        <f>90400</f>
        <v>90400.0</v>
      </c>
      <c r="X134" s="36" t="n">
        <f>19</f>
        <v>19.0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17350</f>
        <v>17350.0</v>
      </c>
      <c r="L135" s="34" t="s">
        <v>77</v>
      </c>
      <c r="M135" s="33" t="n">
        <f>18270</f>
        <v>18270.0</v>
      </c>
      <c r="N135" s="34" t="s">
        <v>268</v>
      </c>
      <c r="O135" s="33" t="n">
        <f>17350</f>
        <v>17350.0</v>
      </c>
      <c r="P135" s="34" t="s">
        <v>77</v>
      </c>
      <c r="Q135" s="33" t="n">
        <f>18270</f>
        <v>18270.0</v>
      </c>
      <c r="R135" s="34" t="s">
        <v>268</v>
      </c>
      <c r="S135" s="35" t="n">
        <f>17942.5</f>
        <v>17942.5</v>
      </c>
      <c r="T135" s="32" t="n">
        <f>19</f>
        <v>19.0</v>
      </c>
      <c r="U135" s="32" t="str">
        <f>"－"</f>
        <v>－</v>
      </c>
      <c r="V135" s="32" t="n">
        <f>343140</f>
        <v>343140.0</v>
      </c>
      <c r="W135" s="32" t="str">
        <f>"－"</f>
        <v>－</v>
      </c>
      <c r="X135" s="36" t="n">
        <f>4</f>
        <v>4.0</v>
      </c>
    </row>
    <row r="136">
      <c r="A136" s="27" t="s">
        <v>42</v>
      </c>
      <c r="B136" s="27" t="s">
        <v>450</v>
      </c>
      <c r="C136" s="27" t="s">
        <v>451</v>
      </c>
      <c r="D136" s="27" t="s">
        <v>452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16720</f>
        <v>16720.0</v>
      </c>
      <c r="L136" s="34" t="s">
        <v>48</v>
      </c>
      <c r="M136" s="33" t="n">
        <f>17300</f>
        <v>17300.0</v>
      </c>
      <c r="N136" s="34" t="s">
        <v>49</v>
      </c>
      <c r="O136" s="33" t="n">
        <f>16430</f>
        <v>16430.0</v>
      </c>
      <c r="P136" s="34" t="s">
        <v>48</v>
      </c>
      <c r="Q136" s="33" t="n">
        <f>16690</f>
        <v>16690.0</v>
      </c>
      <c r="R136" s="34" t="s">
        <v>50</v>
      </c>
      <c r="S136" s="35" t="n">
        <f>16945.79</f>
        <v>16945.79</v>
      </c>
      <c r="T136" s="32" t="n">
        <f>8350</f>
        <v>8350.0</v>
      </c>
      <c r="U136" s="32" t="str">
        <f>"－"</f>
        <v>－</v>
      </c>
      <c r="V136" s="32" t="n">
        <f>142129110</f>
        <v>1.4212911E8</v>
      </c>
      <c r="W136" s="32" t="str">
        <f>"－"</f>
        <v>－</v>
      </c>
      <c r="X136" s="36" t="n">
        <f>19</f>
        <v>19.0</v>
      </c>
    </row>
    <row r="137">
      <c r="A137" s="27" t="s">
        <v>42</v>
      </c>
      <c r="B137" s="27" t="s">
        <v>453</v>
      </c>
      <c r="C137" s="27" t="s">
        <v>454</v>
      </c>
      <c r="D137" s="27" t="s">
        <v>455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123</f>
        <v>123.0</v>
      </c>
      <c r="L137" s="34" t="s">
        <v>48</v>
      </c>
      <c r="M137" s="33" t="n">
        <f>136</f>
        <v>136.0</v>
      </c>
      <c r="N137" s="34" t="s">
        <v>49</v>
      </c>
      <c r="O137" s="33" t="n">
        <f>121</f>
        <v>121.0</v>
      </c>
      <c r="P137" s="34" t="s">
        <v>48</v>
      </c>
      <c r="Q137" s="33" t="n">
        <f>125</f>
        <v>125.0</v>
      </c>
      <c r="R137" s="34" t="s">
        <v>50</v>
      </c>
      <c r="S137" s="35" t="n">
        <f>129.16</f>
        <v>129.16</v>
      </c>
      <c r="T137" s="32" t="n">
        <f>74984200</f>
        <v>7.49842E7</v>
      </c>
      <c r="U137" s="32" t="n">
        <f>5500</f>
        <v>5500.0</v>
      </c>
      <c r="V137" s="32" t="n">
        <f>9785032400</f>
        <v>9.7850324E9</v>
      </c>
      <c r="W137" s="32" t="n">
        <f>727700</f>
        <v>727700.0</v>
      </c>
      <c r="X137" s="36" t="n">
        <f>19</f>
        <v>19.0</v>
      </c>
    </row>
    <row r="138">
      <c r="A138" s="27" t="s">
        <v>42</v>
      </c>
      <c r="B138" s="27" t="s">
        <v>456</v>
      </c>
      <c r="C138" s="27" t="s">
        <v>457</v>
      </c>
      <c r="D138" s="27" t="s">
        <v>458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26830</f>
        <v>26830.0</v>
      </c>
      <c r="L138" s="34" t="s">
        <v>48</v>
      </c>
      <c r="M138" s="33" t="n">
        <f>27890</f>
        <v>27890.0</v>
      </c>
      <c r="N138" s="34" t="s">
        <v>49</v>
      </c>
      <c r="O138" s="33" t="n">
        <f>26650</f>
        <v>26650.0</v>
      </c>
      <c r="P138" s="34" t="s">
        <v>77</v>
      </c>
      <c r="Q138" s="33" t="n">
        <f>27290</f>
        <v>27290.0</v>
      </c>
      <c r="R138" s="34" t="s">
        <v>50</v>
      </c>
      <c r="S138" s="35" t="n">
        <f>27304.12</f>
        <v>27304.12</v>
      </c>
      <c r="T138" s="32" t="n">
        <f>661</f>
        <v>661.0</v>
      </c>
      <c r="U138" s="32" t="str">
        <f>"－"</f>
        <v>－</v>
      </c>
      <c r="V138" s="32" t="n">
        <f>17971840</f>
        <v>1.797184E7</v>
      </c>
      <c r="W138" s="32" t="str">
        <f>"－"</f>
        <v>－</v>
      </c>
      <c r="X138" s="36" t="n">
        <f>17</f>
        <v>17.0</v>
      </c>
    </row>
    <row r="139">
      <c r="A139" s="27" t="s">
        <v>42</v>
      </c>
      <c r="B139" s="27" t="s">
        <v>459</v>
      </c>
      <c r="C139" s="27" t="s">
        <v>460</v>
      </c>
      <c r="D139" s="27" t="s">
        <v>461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7890</f>
        <v>7890.0</v>
      </c>
      <c r="L139" s="34" t="s">
        <v>48</v>
      </c>
      <c r="M139" s="33" t="n">
        <f>9080</f>
        <v>9080.0</v>
      </c>
      <c r="N139" s="34" t="s">
        <v>69</v>
      </c>
      <c r="O139" s="33" t="n">
        <f>7670</f>
        <v>7670.0</v>
      </c>
      <c r="P139" s="34" t="s">
        <v>48</v>
      </c>
      <c r="Q139" s="33" t="n">
        <f>8710</f>
        <v>8710.0</v>
      </c>
      <c r="R139" s="34" t="s">
        <v>50</v>
      </c>
      <c r="S139" s="35" t="n">
        <f>8630</f>
        <v>8630.0</v>
      </c>
      <c r="T139" s="32" t="n">
        <f>24189</f>
        <v>24189.0</v>
      </c>
      <c r="U139" s="32" t="str">
        <f>"－"</f>
        <v>－</v>
      </c>
      <c r="V139" s="32" t="n">
        <f>208125570</f>
        <v>2.0812557E8</v>
      </c>
      <c r="W139" s="32" t="str">
        <f>"－"</f>
        <v>－</v>
      </c>
      <c r="X139" s="36" t="n">
        <f>19</f>
        <v>19.0</v>
      </c>
    </row>
    <row r="140">
      <c r="A140" s="27" t="s">
        <v>42</v>
      </c>
      <c r="B140" s="27" t="s">
        <v>462</v>
      </c>
      <c r="C140" s="27" t="s">
        <v>463</v>
      </c>
      <c r="D140" s="27" t="s">
        <v>464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20000</f>
        <v>20000.0</v>
      </c>
      <c r="L140" s="34" t="s">
        <v>48</v>
      </c>
      <c r="M140" s="33" t="n">
        <f>20850</f>
        <v>20850.0</v>
      </c>
      <c r="N140" s="34" t="s">
        <v>49</v>
      </c>
      <c r="O140" s="33" t="n">
        <f>19770</f>
        <v>19770.0</v>
      </c>
      <c r="P140" s="34" t="s">
        <v>84</v>
      </c>
      <c r="Q140" s="33" t="n">
        <f>20350</f>
        <v>20350.0</v>
      </c>
      <c r="R140" s="34" t="s">
        <v>88</v>
      </c>
      <c r="S140" s="35" t="n">
        <f>20402.22</f>
        <v>20402.22</v>
      </c>
      <c r="T140" s="32" t="n">
        <f>798</f>
        <v>798.0</v>
      </c>
      <c r="U140" s="32" t="str">
        <f>"－"</f>
        <v>－</v>
      </c>
      <c r="V140" s="32" t="n">
        <f>16211090</f>
        <v>1.621109E7</v>
      </c>
      <c r="W140" s="32" t="str">
        <f>"－"</f>
        <v>－</v>
      </c>
      <c r="X140" s="36" t="n">
        <f>18</f>
        <v>18.0</v>
      </c>
    </row>
    <row r="141">
      <c r="A141" s="27" t="s">
        <v>42</v>
      </c>
      <c r="B141" s="27" t="s">
        <v>465</v>
      </c>
      <c r="C141" s="27" t="s">
        <v>466</v>
      </c>
      <c r="D141" s="27" t="s">
        <v>467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26610</f>
        <v>26610.0</v>
      </c>
      <c r="L141" s="34" t="s">
        <v>48</v>
      </c>
      <c r="M141" s="33" t="n">
        <f>27500</f>
        <v>27500.0</v>
      </c>
      <c r="N141" s="34" t="s">
        <v>69</v>
      </c>
      <c r="O141" s="33" t="n">
        <f>26130</f>
        <v>26130.0</v>
      </c>
      <c r="P141" s="34" t="s">
        <v>77</v>
      </c>
      <c r="Q141" s="33" t="n">
        <f>26770</f>
        <v>26770.0</v>
      </c>
      <c r="R141" s="34" t="s">
        <v>50</v>
      </c>
      <c r="S141" s="35" t="n">
        <f>26897.37</f>
        <v>26897.37</v>
      </c>
      <c r="T141" s="32" t="n">
        <f>2089</f>
        <v>2089.0</v>
      </c>
      <c r="U141" s="32" t="str">
        <f>"－"</f>
        <v>－</v>
      </c>
      <c r="V141" s="32" t="n">
        <f>56000330</f>
        <v>5.600033E7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468</v>
      </c>
      <c r="C142" s="27" t="s">
        <v>469</v>
      </c>
      <c r="D142" s="27" t="s">
        <v>470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24890</f>
        <v>24890.0</v>
      </c>
      <c r="L142" s="34" t="s">
        <v>48</v>
      </c>
      <c r="M142" s="33" t="n">
        <f>26000</f>
        <v>26000.0</v>
      </c>
      <c r="N142" s="34" t="s">
        <v>131</v>
      </c>
      <c r="O142" s="33" t="n">
        <f>24390</f>
        <v>24390.0</v>
      </c>
      <c r="P142" s="34" t="s">
        <v>77</v>
      </c>
      <c r="Q142" s="33" t="n">
        <f>25050</f>
        <v>25050.0</v>
      </c>
      <c r="R142" s="34" t="s">
        <v>50</v>
      </c>
      <c r="S142" s="35" t="n">
        <f>25188.42</f>
        <v>25188.42</v>
      </c>
      <c r="T142" s="32" t="n">
        <f>2966</f>
        <v>2966.0</v>
      </c>
      <c r="U142" s="32" t="n">
        <f>1</f>
        <v>1.0</v>
      </c>
      <c r="V142" s="32" t="n">
        <f>74837120</f>
        <v>7.483712E7</v>
      </c>
      <c r="W142" s="32" t="n">
        <f>25420</f>
        <v>25420.0</v>
      </c>
      <c r="X142" s="36" t="n">
        <f>19</f>
        <v>19.0</v>
      </c>
    </row>
    <row r="143">
      <c r="A143" s="27" t="s">
        <v>42</v>
      </c>
      <c r="B143" s="27" t="s">
        <v>471</v>
      </c>
      <c r="C143" s="27" t="s">
        <v>472</v>
      </c>
      <c r="D143" s="27" t="s">
        <v>473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20190</f>
        <v>20190.0</v>
      </c>
      <c r="L143" s="34" t="s">
        <v>48</v>
      </c>
      <c r="M143" s="33" t="n">
        <f>20190</f>
        <v>20190.0</v>
      </c>
      <c r="N143" s="34" t="s">
        <v>48</v>
      </c>
      <c r="O143" s="33" t="n">
        <f>19040</f>
        <v>19040.0</v>
      </c>
      <c r="P143" s="34" t="s">
        <v>50</v>
      </c>
      <c r="Q143" s="33" t="n">
        <f>19040</f>
        <v>19040.0</v>
      </c>
      <c r="R143" s="34" t="s">
        <v>50</v>
      </c>
      <c r="S143" s="35" t="n">
        <f>19710.53</f>
        <v>19710.53</v>
      </c>
      <c r="T143" s="32" t="n">
        <f>2473</f>
        <v>2473.0</v>
      </c>
      <c r="U143" s="32" t="str">
        <f>"－"</f>
        <v>－</v>
      </c>
      <c r="V143" s="32" t="n">
        <f>48701050</f>
        <v>4.870105E7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474</v>
      </c>
      <c r="C144" s="27" t="s">
        <v>475</v>
      </c>
      <c r="D144" s="27" t="s">
        <v>476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13180</f>
        <v>13180.0</v>
      </c>
      <c r="L144" s="34" t="s">
        <v>48</v>
      </c>
      <c r="M144" s="33" t="n">
        <f>14320</f>
        <v>14320.0</v>
      </c>
      <c r="N144" s="34" t="s">
        <v>92</v>
      </c>
      <c r="O144" s="33" t="n">
        <f>12840</f>
        <v>12840.0</v>
      </c>
      <c r="P144" s="34" t="s">
        <v>48</v>
      </c>
      <c r="Q144" s="33" t="n">
        <f>12860</f>
        <v>12860.0</v>
      </c>
      <c r="R144" s="34" t="s">
        <v>50</v>
      </c>
      <c r="S144" s="35" t="n">
        <f>13620</f>
        <v>13620.0</v>
      </c>
      <c r="T144" s="32" t="n">
        <f>7465</f>
        <v>7465.0</v>
      </c>
      <c r="U144" s="32" t="str">
        <f>"－"</f>
        <v>－</v>
      </c>
      <c r="V144" s="32" t="n">
        <f>101895970</f>
        <v>1.0189597E8</v>
      </c>
      <c r="W144" s="32" t="str">
        <f>"－"</f>
        <v>－</v>
      </c>
      <c r="X144" s="36" t="n">
        <f>19</f>
        <v>19.0</v>
      </c>
    </row>
    <row r="145">
      <c r="A145" s="27" t="s">
        <v>42</v>
      </c>
      <c r="B145" s="27" t="s">
        <v>477</v>
      </c>
      <c r="C145" s="27" t="s">
        <v>478</v>
      </c>
      <c r="D145" s="27" t="s">
        <v>479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38650</f>
        <v>38650.0</v>
      </c>
      <c r="L145" s="34" t="s">
        <v>48</v>
      </c>
      <c r="M145" s="33" t="n">
        <f>41300</f>
        <v>41300.0</v>
      </c>
      <c r="N145" s="34" t="s">
        <v>49</v>
      </c>
      <c r="O145" s="33" t="n">
        <f>38200</f>
        <v>38200.0</v>
      </c>
      <c r="P145" s="34" t="s">
        <v>48</v>
      </c>
      <c r="Q145" s="33" t="n">
        <f>38850</f>
        <v>38850.0</v>
      </c>
      <c r="R145" s="34" t="s">
        <v>50</v>
      </c>
      <c r="S145" s="35" t="n">
        <f>39982.35</f>
        <v>39982.35</v>
      </c>
      <c r="T145" s="32" t="n">
        <f>607</f>
        <v>607.0</v>
      </c>
      <c r="U145" s="32" t="str">
        <f>"－"</f>
        <v>－</v>
      </c>
      <c r="V145" s="32" t="n">
        <f>24388300</f>
        <v>2.43883E7</v>
      </c>
      <c r="W145" s="32" t="str">
        <f>"－"</f>
        <v>－</v>
      </c>
      <c r="X145" s="36" t="n">
        <f>17</f>
        <v>17.0</v>
      </c>
    </row>
    <row r="146">
      <c r="A146" s="27" t="s">
        <v>42</v>
      </c>
      <c r="B146" s="27" t="s">
        <v>480</v>
      </c>
      <c r="C146" s="27" t="s">
        <v>481</v>
      </c>
      <c r="D146" s="27" t="s">
        <v>482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26820</f>
        <v>26820.0</v>
      </c>
      <c r="L146" s="34" t="s">
        <v>48</v>
      </c>
      <c r="M146" s="33" t="n">
        <f>28350</f>
        <v>28350.0</v>
      </c>
      <c r="N146" s="34" t="s">
        <v>176</v>
      </c>
      <c r="O146" s="33" t="n">
        <f>25800</f>
        <v>25800.0</v>
      </c>
      <c r="P146" s="34" t="s">
        <v>48</v>
      </c>
      <c r="Q146" s="33" t="n">
        <f>26840</f>
        <v>26840.0</v>
      </c>
      <c r="R146" s="34" t="s">
        <v>50</v>
      </c>
      <c r="S146" s="35" t="n">
        <f>27286.84</f>
        <v>27286.84</v>
      </c>
      <c r="T146" s="32" t="n">
        <f>5908</f>
        <v>5908.0</v>
      </c>
      <c r="U146" s="32" t="str">
        <f>"－"</f>
        <v>－</v>
      </c>
      <c r="V146" s="32" t="n">
        <f>162498190</f>
        <v>1.6249819E8</v>
      </c>
      <c r="W146" s="32" t="str">
        <f>"－"</f>
        <v>－</v>
      </c>
      <c r="X146" s="36" t="n">
        <f>19</f>
        <v>19.0</v>
      </c>
    </row>
    <row r="147">
      <c r="A147" s="27" t="s">
        <v>42</v>
      </c>
      <c r="B147" s="27" t="s">
        <v>483</v>
      </c>
      <c r="C147" s="27" t="s">
        <v>484</v>
      </c>
      <c r="D147" s="27" t="s">
        <v>485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29000</f>
        <v>29000.0</v>
      </c>
      <c r="L147" s="34" t="s">
        <v>48</v>
      </c>
      <c r="M147" s="33" t="n">
        <f>29940</f>
        <v>29940.0</v>
      </c>
      <c r="N147" s="34" t="s">
        <v>371</v>
      </c>
      <c r="O147" s="33" t="n">
        <f>28400</f>
        <v>28400.0</v>
      </c>
      <c r="P147" s="34" t="s">
        <v>48</v>
      </c>
      <c r="Q147" s="33" t="n">
        <f>28430</f>
        <v>28430.0</v>
      </c>
      <c r="R147" s="34" t="s">
        <v>50</v>
      </c>
      <c r="S147" s="35" t="n">
        <f>29164.21</f>
        <v>29164.21</v>
      </c>
      <c r="T147" s="32" t="n">
        <f>4896</f>
        <v>4896.0</v>
      </c>
      <c r="U147" s="32" t="str">
        <f>"－"</f>
        <v>－</v>
      </c>
      <c r="V147" s="32" t="n">
        <f>143167860</f>
        <v>1.4316786E8</v>
      </c>
      <c r="W147" s="32" t="str">
        <f>"－"</f>
        <v>－</v>
      </c>
      <c r="X147" s="36" t="n">
        <f>19</f>
        <v>19.0</v>
      </c>
    </row>
    <row r="148">
      <c r="A148" s="27" t="s">
        <v>42</v>
      </c>
      <c r="B148" s="27" t="s">
        <v>486</v>
      </c>
      <c r="C148" s="27" t="s">
        <v>487</v>
      </c>
      <c r="D148" s="27" t="s">
        <v>488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6110</f>
        <v>6110.0</v>
      </c>
      <c r="L148" s="34" t="s">
        <v>48</v>
      </c>
      <c r="M148" s="33" t="n">
        <f>6650</f>
        <v>6650.0</v>
      </c>
      <c r="N148" s="34" t="s">
        <v>73</v>
      </c>
      <c r="O148" s="33" t="n">
        <f>6040</f>
        <v>6040.0</v>
      </c>
      <c r="P148" s="34" t="s">
        <v>48</v>
      </c>
      <c r="Q148" s="33" t="n">
        <f>6280</f>
        <v>6280.0</v>
      </c>
      <c r="R148" s="34" t="s">
        <v>50</v>
      </c>
      <c r="S148" s="35" t="n">
        <f>6336.84</f>
        <v>6336.84</v>
      </c>
      <c r="T148" s="32" t="n">
        <f>16405</f>
        <v>16405.0</v>
      </c>
      <c r="U148" s="32" t="str">
        <f>"－"</f>
        <v>－</v>
      </c>
      <c r="V148" s="32" t="n">
        <f>104352970</f>
        <v>1.0435297E8</v>
      </c>
      <c r="W148" s="32" t="str">
        <f>"－"</f>
        <v>－</v>
      </c>
      <c r="X148" s="36" t="n">
        <f>19</f>
        <v>19.0</v>
      </c>
    </row>
    <row r="149">
      <c r="A149" s="27" t="s">
        <v>42</v>
      </c>
      <c r="B149" s="27" t="s">
        <v>489</v>
      </c>
      <c r="C149" s="27" t="s">
        <v>490</v>
      </c>
      <c r="D149" s="27" t="s">
        <v>491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14110</f>
        <v>14110.0</v>
      </c>
      <c r="L149" s="34" t="s">
        <v>48</v>
      </c>
      <c r="M149" s="33" t="n">
        <f>14500</f>
        <v>14500.0</v>
      </c>
      <c r="N149" s="34" t="s">
        <v>100</v>
      </c>
      <c r="O149" s="33" t="n">
        <f>13570</f>
        <v>13570.0</v>
      </c>
      <c r="P149" s="34" t="s">
        <v>88</v>
      </c>
      <c r="Q149" s="33" t="n">
        <f>13780</f>
        <v>13780.0</v>
      </c>
      <c r="R149" s="34" t="s">
        <v>50</v>
      </c>
      <c r="S149" s="35" t="n">
        <f>13998.42</f>
        <v>13998.42</v>
      </c>
      <c r="T149" s="32" t="n">
        <f>19034</f>
        <v>19034.0</v>
      </c>
      <c r="U149" s="32" t="str">
        <f>"－"</f>
        <v>－</v>
      </c>
      <c r="V149" s="32" t="n">
        <f>265678410</f>
        <v>2.6567841E8</v>
      </c>
      <c r="W149" s="32" t="str">
        <f>"－"</f>
        <v>－</v>
      </c>
      <c r="X149" s="36" t="n">
        <f>19</f>
        <v>19.0</v>
      </c>
    </row>
    <row r="150">
      <c r="A150" s="27" t="s">
        <v>42</v>
      </c>
      <c r="B150" s="27" t="s">
        <v>492</v>
      </c>
      <c r="C150" s="27" t="s">
        <v>493</v>
      </c>
      <c r="D150" s="27" t="s">
        <v>494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34300</f>
        <v>34300.0</v>
      </c>
      <c r="L150" s="34" t="s">
        <v>48</v>
      </c>
      <c r="M150" s="33" t="n">
        <f>36700</f>
        <v>36700.0</v>
      </c>
      <c r="N150" s="34" t="s">
        <v>92</v>
      </c>
      <c r="O150" s="33" t="n">
        <f>33550</f>
        <v>33550.0</v>
      </c>
      <c r="P150" s="34" t="s">
        <v>48</v>
      </c>
      <c r="Q150" s="33" t="n">
        <f>34800</f>
        <v>34800.0</v>
      </c>
      <c r="R150" s="34" t="s">
        <v>50</v>
      </c>
      <c r="S150" s="35" t="n">
        <f>35152.63</f>
        <v>35152.63</v>
      </c>
      <c r="T150" s="32" t="n">
        <f>3335</f>
        <v>3335.0</v>
      </c>
      <c r="U150" s="32" t="str">
        <f>"－"</f>
        <v>－</v>
      </c>
      <c r="V150" s="32" t="n">
        <f>117366500</f>
        <v>1.173665E8</v>
      </c>
      <c r="W150" s="32" t="str">
        <f>"－"</f>
        <v>－</v>
      </c>
      <c r="X150" s="36" t="n">
        <f>19</f>
        <v>19.0</v>
      </c>
    </row>
    <row r="151">
      <c r="A151" s="27" t="s">
        <v>42</v>
      </c>
      <c r="B151" s="27" t="s">
        <v>495</v>
      </c>
      <c r="C151" s="27" t="s">
        <v>496</v>
      </c>
      <c r="D151" s="27" t="s">
        <v>497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22660</f>
        <v>22660.0</v>
      </c>
      <c r="L151" s="34" t="s">
        <v>48</v>
      </c>
      <c r="M151" s="33" t="n">
        <f>22940</f>
        <v>22940.0</v>
      </c>
      <c r="N151" s="34" t="s">
        <v>240</v>
      </c>
      <c r="O151" s="33" t="n">
        <f>22200</f>
        <v>22200.0</v>
      </c>
      <c r="P151" s="34" t="s">
        <v>77</v>
      </c>
      <c r="Q151" s="33" t="n">
        <f>22800</f>
        <v>22800.0</v>
      </c>
      <c r="R151" s="34" t="s">
        <v>240</v>
      </c>
      <c r="S151" s="35" t="n">
        <f>22586.67</f>
        <v>22586.67</v>
      </c>
      <c r="T151" s="32" t="n">
        <f>132</f>
        <v>132.0</v>
      </c>
      <c r="U151" s="32" t="str">
        <f>"－"</f>
        <v>－</v>
      </c>
      <c r="V151" s="32" t="n">
        <f>2992970</f>
        <v>2992970.0</v>
      </c>
      <c r="W151" s="32" t="str">
        <f>"－"</f>
        <v>－</v>
      </c>
      <c r="X151" s="36" t="n">
        <f>12</f>
        <v>12.0</v>
      </c>
    </row>
    <row r="152">
      <c r="A152" s="27" t="s">
        <v>42</v>
      </c>
      <c r="B152" s="27" t="s">
        <v>498</v>
      </c>
      <c r="C152" s="27" t="s">
        <v>499</v>
      </c>
      <c r="D152" s="27" t="s">
        <v>500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6430</f>
        <v>6430.0</v>
      </c>
      <c r="L152" s="34" t="s">
        <v>48</v>
      </c>
      <c r="M152" s="33" t="n">
        <f>7050</f>
        <v>7050.0</v>
      </c>
      <c r="N152" s="34" t="s">
        <v>69</v>
      </c>
      <c r="O152" s="33" t="n">
        <f>6310</f>
        <v>6310.0</v>
      </c>
      <c r="P152" s="34" t="s">
        <v>48</v>
      </c>
      <c r="Q152" s="33" t="n">
        <f>6540</f>
        <v>6540.0</v>
      </c>
      <c r="R152" s="34" t="s">
        <v>50</v>
      </c>
      <c r="S152" s="35" t="n">
        <f>6695.79</f>
        <v>6695.79</v>
      </c>
      <c r="T152" s="32" t="n">
        <f>37762</f>
        <v>37762.0</v>
      </c>
      <c r="U152" s="32" t="n">
        <f>1</f>
        <v>1.0</v>
      </c>
      <c r="V152" s="32" t="n">
        <f>253861130</f>
        <v>2.5386113E8</v>
      </c>
      <c r="W152" s="32" t="n">
        <f>6900</f>
        <v>6900.0</v>
      </c>
      <c r="X152" s="36" t="n">
        <f>19</f>
        <v>19.0</v>
      </c>
    </row>
    <row r="153">
      <c r="A153" s="27" t="s">
        <v>42</v>
      </c>
      <c r="B153" s="27" t="s">
        <v>501</v>
      </c>
      <c r="C153" s="27" t="s">
        <v>502</v>
      </c>
      <c r="D153" s="27" t="s">
        <v>503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11720</f>
        <v>11720.0</v>
      </c>
      <c r="L153" s="34" t="s">
        <v>48</v>
      </c>
      <c r="M153" s="33" t="n">
        <f>12820</f>
        <v>12820.0</v>
      </c>
      <c r="N153" s="34" t="s">
        <v>49</v>
      </c>
      <c r="O153" s="33" t="n">
        <f>11640</f>
        <v>11640.0</v>
      </c>
      <c r="P153" s="34" t="s">
        <v>48</v>
      </c>
      <c r="Q153" s="33" t="n">
        <f>11850</f>
        <v>11850.0</v>
      </c>
      <c r="R153" s="34" t="s">
        <v>50</v>
      </c>
      <c r="S153" s="35" t="n">
        <f>12301.05</f>
        <v>12301.05</v>
      </c>
      <c r="T153" s="32" t="n">
        <f>3989</f>
        <v>3989.0</v>
      </c>
      <c r="U153" s="32" t="str">
        <f>"－"</f>
        <v>－</v>
      </c>
      <c r="V153" s="32" t="n">
        <f>49645310</f>
        <v>4.964531E7</v>
      </c>
      <c r="W153" s="32" t="str">
        <f>"－"</f>
        <v>－</v>
      </c>
      <c r="X153" s="36" t="n">
        <f>19</f>
        <v>19.0</v>
      </c>
    </row>
    <row r="154">
      <c r="A154" s="27" t="s">
        <v>42</v>
      </c>
      <c r="B154" s="27" t="s">
        <v>504</v>
      </c>
      <c r="C154" s="27" t="s">
        <v>505</v>
      </c>
      <c r="D154" s="27" t="s">
        <v>506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25970</f>
        <v>25970.0</v>
      </c>
      <c r="L154" s="34" t="s">
        <v>48</v>
      </c>
      <c r="M154" s="33" t="n">
        <f>26690</f>
        <v>26690.0</v>
      </c>
      <c r="N154" s="34" t="s">
        <v>172</v>
      </c>
      <c r="O154" s="33" t="n">
        <f>25310</f>
        <v>25310.0</v>
      </c>
      <c r="P154" s="34" t="s">
        <v>84</v>
      </c>
      <c r="Q154" s="33" t="n">
        <f>25940</f>
        <v>25940.0</v>
      </c>
      <c r="R154" s="34" t="s">
        <v>50</v>
      </c>
      <c r="S154" s="35" t="n">
        <f>25802.63</f>
        <v>25802.63</v>
      </c>
      <c r="T154" s="32" t="n">
        <f>2390</f>
        <v>2390.0</v>
      </c>
      <c r="U154" s="32" t="str">
        <f>"－"</f>
        <v>－</v>
      </c>
      <c r="V154" s="32" t="n">
        <f>61649740</f>
        <v>6.164974E7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507</v>
      </c>
      <c r="C155" s="27" t="s">
        <v>508</v>
      </c>
      <c r="D155" s="27" t="s">
        <v>509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917</f>
        <v>917.0</v>
      </c>
      <c r="L155" s="34" t="s">
        <v>48</v>
      </c>
      <c r="M155" s="33" t="n">
        <f>974</f>
        <v>974.0</v>
      </c>
      <c r="N155" s="34" t="s">
        <v>49</v>
      </c>
      <c r="O155" s="33" t="n">
        <f>899</f>
        <v>899.0</v>
      </c>
      <c r="P155" s="34" t="s">
        <v>48</v>
      </c>
      <c r="Q155" s="33" t="n">
        <f>925</f>
        <v>925.0</v>
      </c>
      <c r="R155" s="34" t="s">
        <v>50</v>
      </c>
      <c r="S155" s="35" t="n">
        <f>945.95</f>
        <v>945.95</v>
      </c>
      <c r="T155" s="32" t="n">
        <f>67700</f>
        <v>67700.0</v>
      </c>
      <c r="U155" s="32" t="str">
        <f>"－"</f>
        <v>－</v>
      </c>
      <c r="V155" s="32" t="n">
        <f>64285930</f>
        <v>6.428593E7</v>
      </c>
      <c r="W155" s="32" t="str">
        <f>"－"</f>
        <v>－</v>
      </c>
      <c r="X155" s="36" t="n">
        <f>19</f>
        <v>19.0</v>
      </c>
    </row>
    <row r="156">
      <c r="A156" s="27" t="s">
        <v>42</v>
      </c>
      <c r="B156" s="27" t="s">
        <v>510</v>
      </c>
      <c r="C156" s="27" t="s">
        <v>511</v>
      </c>
      <c r="D156" s="27" t="s">
        <v>512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2250</f>
        <v>2250.0</v>
      </c>
      <c r="L156" s="34" t="s">
        <v>48</v>
      </c>
      <c r="M156" s="33" t="n">
        <f>2374</f>
        <v>2374.0</v>
      </c>
      <c r="N156" s="34" t="s">
        <v>49</v>
      </c>
      <c r="O156" s="33" t="n">
        <f>2250</f>
        <v>2250.0</v>
      </c>
      <c r="P156" s="34" t="s">
        <v>48</v>
      </c>
      <c r="Q156" s="33" t="n">
        <f>2284</f>
        <v>2284.0</v>
      </c>
      <c r="R156" s="34" t="s">
        <v>50</v>
      </c>
      <c r="S156" s="35" t="n">
        <f>2313.88</f>
        <v>2313.88</v>
      </c>
      <c r="T156" s="32" t="n">
        <f>67230</f>
        <v>67230.0</v>
      </c>
      <c r="U156" s="32" t="str">
        <f>"－"</f>
        <v>－</v>
      </c>
      <c r="V156" s="32" t="n">
        <f>156217830</f>
        <v>1.5621783E8</v>
      </c>
      <c r="W156" s="32" t="str">
        <f>"－"</f>
        <v>－</v>
      </c>
      <c r="X156" s="36" t="n">
        <f>16</f>
        <v>16.0</v>
      </c>
    </row>
    <row r="157">
      <c r="A157" s="27" t="s">
        <v>42</v>
      </c>
      <c r="B157" s="27" t="s">
        <v>513</v>
      </c>
      <c r="C157" s="27" t="s">
        <v>514</v>
      </c>
      <c r="D157" s="27" t="s">
        <v>515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2353</f>
        <v>2353.0</v>
      </c>
      <c r="L157" s="34" t="s">
        <v>48</v>
      </c>
      <c r="M157" s="33" t="n">
        <f>2405</f>
        <v>2405.0</v>
      </c>
      <c r="N157" s="34" t="s">
        <v>49</v>
      </c>
      <c r="O157" s="33" t="n">
        <f>2310</f>
        <v>2310.0</v>
      </c>
      <c r="P157" s="34" t="s">
        <v>50</v>
      </c>
      <c r="Q157" s="33" t="n">
        <f>2318</f>
        <v>2318.0</v>
      </c>
      <c r="R157" s="34" t="s">
        <v>50</v>
      </c>
      <c r="S157" s="35" t="n">
        <f>2365.32</f>
        <v>2365.32</v>
      </c>
      <c r="T157" s="32" t="n">
        <f>58850</f>
        <v>58850.0</v>
      </c>
      <c r="U157" s="32" t="n">
        <f>42000</f>
        <v>42000.0</v>
      </c>
      <c r="V157" s="32" t="n">
        <f>140020790</f>
        <v>1.4002079E8</v>
      </c>
      <c r="W157" s="32" t="n">
        <f>100351020</f>
        <v>1.0035102E8</v>
      </c>
      <c r="X157" s="36" t="n">
        <f>19</f>
        <v>19.0</v>
      </c>
    </row>
    <row r="158">
      <c r="A158" s="27" t="s">
        <v>42</v>
      </c>
      <c r="B158" s="27" t="s">
        <v>516</v>
      </c>
      <c r="C158" s="27" t="s">
        <v>517</v>
      </c>
      <c r="D158" s="27" t="s">
        <v>518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1351</f>
        <v>1351.0</v>
      </c>
      <c r="L158" s="34" t="s">
        <v>48</v>
      </c>
      <c r="M158" s="33" t="n">
        <f>1420</f>
        <v>1420.0</v>
      </c>
      <c r="N158" s="34" t="s">
        <v>49</v>
      </c>
      <c r="O158" s="33" t="n">
        <f>1351</f>
        <v>1351.0</v>
      </c>
      <c r="P158" s="34" t="s">
        <v>48</v>
      </c>
      <c r="Q158" s="33" t="n">
        <f>1390</f>
        <v>1390.0</v>
      </c>
      <c r="R158" s="34" t="s">
        <v>50</v>
      </c>
      <c r="S158" s="35" t="n">
        <f>1388.46</f>
        <v>1388.46</v>
      </c>
      <c r="T158" s="32" t="n">
        <f>14730</f>
        <v>14730.0</v>
      </c>
      <c r="U158" s="32" t="str">
        <f>"－"</f>
        <v>－</v>
      </c>
      <c r="V158" s="32" t="n">
        <f>20148680</f>
        <v>2.014868E7</v>
      </c>
      <c r="W158" s="32" t="str">
        <f>"－"</f>
        <v>－</v>
      </c>
      <c r="X158" s="36" t="n">
        <f>13</f>
        <v>13.0</v>
      </c>
    </row>
    <row r="159">
      <c r="A159" s="27" t="s">
        <v>42</v>
      </c>
      <c r="B159" s="27" t="s">
        <v>519</v>
      </c>
      <c r="C159" s="27" t="s">
        <v>520</v>
      </c>
      <c r="D159" s="27" t="s">
        <v>521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2781</f>
        <v>2781.0</v>
      </c>
      <c r="L159" s="34" t="s">
        <v>48</v>
      </c>
      <c r="M159" s="33" t="n">
        <f>2872</f>
        <v>2872.0</v>
      </c>
      <c r="N159" s="34" t="s">
        <v>176</v>
      </c>
      <c r="O159" s="33" t="n">
        <f>2724</f>
        <v>2724.0</v>
      </c>
      <c r="P159" s="34" t="s">
        <v>77</v>
      </c>
      <c r="Q159" s="33" t="n">
        <f>2802</f>
        <v>2802.0</v>
      </c>
      <c r="R159" s="34" t="s">
        <v>50</v>
      </c>
      <c r="S159" s="35" t="n">
        <f>2819.16</f>
        <v>2819.16</v>
      </c>
      <c r="T159" s="32" t="n">
        <f>2616407</f>
        <v>2616407.0</v>
      </c>
      <c r="U159" s="32" t="n">
        <f>544707</f>
        <v>544707.0</v>
      </c>
      <c r="V159" s="32" t="n">
        <f>7358499686</f>
        <v>7.358499686E9</v>
      </c>
      <c r="W159" s="32" t="n">
        <f>1546664291</f>
        <v>1.546664291E9</v>
      </c>
      <c r="X159" s="36" t="n">
        <f>19</f>
        <v>19.0</v>
      </c>
    </row>
    <row r="160">
      <c r="A160" s="27" t="s">
        <v>42</v>
      </c>
      <c r="B160" s="27" t="s">
        <v>522</v>
      </c>
      <c r="C160" s="27" t="s">
        <v>523</v>
      </c>
      <c r="D160" s="27" t="s">
        <v>524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2566</f>
        <v>2566.0</v>
      </c>
      <c r="L160" s="34" t="s">
        <v>48</v>
      </c>
      <c r="M160" s="33" t="n">
        <f>2572</f>
        <v>2572.0</v>
      </c>
      <c r="N160" s="34" t="s">
        <v>88</v>
      </c>
      <c r="O160" s="33" t="n">
        <f>2527</f>
        <v>2527.0</v>
      </c>
      <c r="P160" s="34" t="s">
        <v>92</v>
      </c>
      <c r="Q160" s="33" t="n">
        <f>2570</f>
        <v>2570.0</v>
      </c>
      <c r="R160" s="34" t="s">
        <v>50</v>
      </c>
      <c r="S160" s="35" t="n">
        <f>2545.74</f>
        <v>2545.74</v>
      </c>
      <c r="T160" s="32" t="n">
        <f>860718</f>
        <v>860718.0</v>
      </c>
      <c r="U160" s="32" t="str">
        <f>"－"</f>
        <v>－</v>
      </c>
      <c r="V160" s="32" t="n">
        <f>2187019640</f>
        <v>2.18701964E9</v>
      </c>
      <c r="W160" s="32" t="str">
        <f>"－"</f>
        <v>－</v>
      </c>
      <c r="X160" s="36" t="n">
        <f>19</f>
        <v>19.0</v>
      </c>
    </row>
    <row r="161">
      <c r="A161" s="27" t="s">
        <v>42</v>
      </c>
      <c r="B161" s="27" t="s">
        <v>525</v>
      </c>
      <c r="C161" s="27" t="s">
        <v>526</v>
      </c>
      <c r="D161" s="27" t="s">
        <v>527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2504</f>
        <v>2504.0</v>
      </c>
      <c r="L161" s="34" t="s">
        <v>48</v>
      </c>
      <c r="M161" s="33" t="n">
        <f>2585</f>
        <v>2585.0</v>
      </c>
      <c r="N161" s="34" t="s">
        <v>268</v>
      </c>
      <c r="O161" s="33" t="n">
        <f>2470</f>
        <v>2470.0</v>
      </c>
      <c r="P161" s="34" t="s">
        <v>77</v>
      </c>
      <c r="Q161" s="33" t="n">
        <f>2520</f>
        <v>2520.0</v>
      </c>
      <c r="R161" s="34" t="s">
        <v>50</v>
      </c>
      <c r="S161" s="35" t="n">
        <f>2542.26</f>
        <v>2542.26</v>
      </c>
      <c r="T161" s="32" t="n">
        <f>85968</f>
        <v>85968.0</v>
      </c>
      <c r="U161" s="32" t="str">
        <f>"－"</f>
        <v>－</v>
      </c>
      <c r="V161" s="32" t="n">
        <f>219028077</f>
        <v>2.19028077E8</v>
      </c>
      <c r="W161" s="32" t="str">
        <f>"－"</f>
        <v>－</v>
      </c>
      <c r="X161" s="36" t="n">
        <f>19</f>
        <v>19.0</v>
      </c>
    </row>
    <row r="162">
      <c r="A162" s="27" t="s">
        <v>42</v>
      </c>
      <c r="B162" s="27" t="s">
        <v>528</v>
      </c>
      <c r="C162" s="27" t="s">
        <v>529</v>
      </c>
      <c r="D162" s="27" t="s">
        <v>530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2174</f>
        <v>2174.0</v>
      </c>
      <c r="L162" s="34" t="s">
        <v>48</v>
      </c>
      <c r="M162" s="33" t="n">
        <f>2375</f>
        <v>2375.0</v>
      </c>
      <c r="N162" s="34" t="s">
        <v>176</v>
      </c>
      <c r="O162" s="33" t="n">
        <f>2155</f>
        <v>2155.0</v>
      </c>
      <c r="P162" s="34" t="s">
        <v>48</v>
      </c>
      <c r="Q162" s="33" t="n">
        <f>2264</f>
        <v>2264.0</v>
      </c>
      <c r="R162" s="34" t="s">
        <v>50</v>
      </c>
      <c r="S162" s="35" t="n">
        <f>2287</f>
        <v>2287.0</v>
      </c>
      <c r="T162" s="32" t="n">
        <f>251878</f>
        <v>251878.0</v>
      </c>
      <c r="U162" s="32" t="n">
        <f>6</f>
        <v>6.0</v>
      </c>
      <c r="V162" s="32" t="n">
        <f>575385831</f>
        <v>5.75385831E8</v>
      </c>
      <c r="W162" s="32" t="n">
        <f>13488</f>
        <v>13488.0</v>
      </c>
      <c r="X162" s="36" t="n">
        <f>19</f>
        <v>19.0</v>
      </c>
    </row>
    <row r="163">
      <c r="A163" s="27" t="s">
        <v>42</v>
      </c>
      <c r="B163" s="27" t="s">
        <v>531</v>
      </c>
      <c r="C163" s="27" t="s">
        <v>532</v>
      </c>
      <c r="D163" s="27" t="s">
        <v>533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1877</f>
        <v>1877.0</v>
      </c>
      <c r="L163" s="34" t="s">
        <v>48</v>
      </c>
      <c r="M163" s="33" t="n">
        <f>1921</f>
        <v>1921.0</v>
      </c>
      <c r="N163" s="34" t="s">
        <v>50</v>
      </c>
      <c r="O163" s="33" t="n">
        <f>1793</f>
        <v>1793.0</v>
      </c>
      <c r="P163" s="34" t="s">
        <v>77</v>
      </c>
      <c r="Q163" s="33" t="n">
        <f>1902</f>
        <v>1902.0</v>
      </c>
      <c r="R163" s="34" t="s">
        <v>50</v>
      </c>
      <c r="S163" s="35" t="n">
        <f>1865.53</f>
        <v>1865.53</v>
      </c>
      <c r="T163" s="32" t="n">
        <f>828090</f>
        <v>828090.0</v>
      </c>
      <c r="U163" s="32" t="n">
        <f>1</f>
        <v>1.0</v>
      </c>
      <c r="V163" s="32" t="n">
        <f>1544761879</f>
        <v>1.544761879E9</v>
      </c>
      <c r="W163" s="32" t="n">
        <f>1894</f>
        <v>1894.0</v>
      </c>
      <c r="X163" s="36" t="n">
        <f>19</f>
        <v>19.0</v>
      </c>
    </row>
    <row r="164">
      <c r="A164" s="27" t="s">
        <v>42</v>
      </c>
      <c r="B164" s="27" t="s">
        <v>534</v>
      </c>
      <c r="C164" s="27" t="s">
        <v>535</v>
      </c>
      <c r="D164" s="27" t="s">
        <v>536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10050</f>
        <v>10050.0</v>
      </c>
      <c r="L164" s="34" t="s">
        <v>48</v>
      </c>
      <c r="M164" s="33" t="n">
        <f>10360</f>
        <v>10360.0</v>
      </c>
      <c r="N164" s="34" t="s">
        <v>77</v>
      </c>
      <c r="O164" s="33" t="n">
        <f>9710</f>
        <v>9710.0</v>
      </c>
      <c r="P164" s="34" t="s">
        <v>100</v>
      </c>
      <c r="Q164" s="33" t="n">
        <f>10260</f>
        <v>10260.0</v>
      </c>
      <c r="R164" s="34" t="s">
        <v>50</v>
      </c>
      <c r="S164" s="35" t="n">
        <f>9997.89</f>
        <v>9997.89</v>
      </c>
      <c r="T164" s="32" t="n">
        <f>61433</f>
        <v>61433.0</v>
      </c>
      <c r="U164" s="32" t="n">
        <f>5</f>
        <v>5.0</v>
      </c>
      <c r="V164" s="32" t="n">
        <f>610687160</f>
        <v>6.1068716E8</v>
      </c>
      <c r="W164" s="32" t="n">
        <f>49650</f>
        <v>49650.0</v>
      </c>
      <c r="X164" s="36" t="n">
        <f>19</f>
        <v>19.0</v>
      </c>
    </row>
    <row r="165">
      <c r="A165" s="27" t="s">
        <v>42</v>
      </c>
      <c r="B165" s="27" t="s">
        <v>537</v>
      </c>
      <c r="C165" s="27" t="s">
        <v>538</v>
      </c>
      <c r="D165" s="27" t="s">
        <v>539</v>
      </c>
      <c r="E165" s="28" t="s">
        <v>46</v>
      </c>
      <c r="F165" s="29" t="s">
        <v>46</v>
      </c>
      <c r="G165" s="30" t="s">
        <v>46</v>
      </c>
      <c r="H165" s="31" t="s">
        <v>540</v>
      </c>
      <c r="I165" s="31" t="s">
        <v>47</v>
      </c>
      <c r="J165" s="32" t="n">
        <v>100.0</v>
      </c>
      <c r="K165" s="33" t="n">
        <f>123</f>
        <v>123.0</v>
      </c>
      <c r="L165" s="34" t="s">
        <v>48</v>
      </c>
      <c r="M165" s="33" t="n">
        <f>126</f>
        <v>126.0</v>
      </c>
      <c r="N165" s="34" t="s">
        <v>92</v>
      </c>
      <c r="O165" s="33" t="n">
        <f>120</f>
        <v>120.0</v>
      </c>
      <c r="P165" s="34" t="s">
        <v>48</v>
      </c>
      <c r="Q165" s="33" t="n">
        <f>122</f>
        <v>122.0</v>
      </c>
      <c r="R165" s="34" t="s">
        <v>50</v>
      </c>
      <c r="S165" s="35" t="n">
        <f>123.21</f>
        <v>123.21</v>
      </c>
      <c r="T165" s="32" t="n">
        <f>105900</f>
        <v>105900.0</v>
      </c>
      <c r="U165" s="32" t="str">
        <f>"－"</f>
        <v>－</v>
      </c>
      <c r="V165" s="32" t="n">
        <f>13083300</f>
        <v>1.30833E7</v>
      </c>
      <c r="W165" s="32" t="str">
        <f>"－"</f>
        <v>－</v>
      </c>
      <c r="X165" s="36" t="n">
        <f>19</f>
        <v>19.0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961</f>
        <v>961.0</v>
      </c>
      <c r="L166" s="34" t="s">
        <v>48</v>
      </c>
      <c r="M166" s="33" t="n">
        <f>1066</f>
        <v>1066.0</v>
      </c>
      <c r="N166" s="34" t="s">
        <v>69</v>
      </c>
      <c r="O166" s="33" t="n">
        <f>940</f>
        <v>940.0</v>
      </c>
      <c r="P166" s="34" t="s">
        <v>84</v>
      </c>
      <c r="Q166" s="33" t="n">
        <f>1038</f>
        <v>1038.0</v>
      </c>
      <c r="R166" s="34" t="s">
        <v>50</v>
      </c>
      <c r="S166" s="35" t="n">
        <f>1027.32</f>
        <v>1027.32</v>
      </c>
      <c r="T166" s="32" t="n">
        <f>26592150</f>
        <v>2.659215E7</v>
      </c>
      <c r="U166" s="32" t="n">
        <f>68858</f>
        <v>68858.0</v>
      </c>
      <c r="V166" s="32" t="n">
        <f>27074859233</f>
        <v>2.7074859233E10</v>
      </c>
      <c r="W166" s="32" t="n">
        <f>66891993</f>
        <v>6.6891993E7</v>
      </c>
      <c r="X166" s="36" t="n">
        <f>19</f>
        <v>19.0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18870</f>
        <v>18870.0</v>
      </c>
      <c r="L167" s="34" t="s">
        <v>48</v>
      </c>
      <c r="M167" s="33" t="n">
        <f>19100</f>
        <v>19100.0</v>
      </c>
      <c r="N167" s="34" t="s">
        <v>77</v>
      </c>
      <c r="O167" s="33" t="n">
        <f>17900</f>
        <v>17900.0</v>
      </c>
      <c r="P167" s="34" t="s">
        <v>100</v>
      </c>
      <c r="Q167" s="33" t="n">
        <f>18260</f>
        <v>18260.0</v>
      </c>
      <c r="R167" s="34" t="s">
        <v>50</v>
      </c>
      <c r="S167" s="35" t="n">
        <f>18428.42</f>
        <v>18428.42</v>
      </c>
      <c r="T167" s="32" t="n">
        <f>7405</f>
        <v>7405.0</v>
      </c>
      <c r="U167" s="32" t="str">
        <f>"－"</f>
        <v>－</v>
      </c>
      <c r="V167" s="32" t="n">
        <f>136819540</f>
        <v>1.3681954E8</v>
      </c>
      <c r="W167" s="32" t="str">
        <f>"－"</f>
        <v>－</v>
      </c>
      <c r="X167" s="36" t="n">
        <f>19</f>
        <v>19.0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2631</f>
        <v>2631.0</v>
      </c>
      <c r="L168" s="34" t="s">
        <v>48</v>
      </c>
      <c r="M168" s="33" t="n">
        <f>2685</f>
        <v>2685.0</v>
      </c>
      <c r="N168" s="34" t="s">
        <v>77</v>
      </c>
      <c r="O168" s="33" t="n">
        <f>2380</f>
        <v>2380.0</v>
      </c>
      <c r="P168" s="34" t="s">
        <v>100</v>
      </c>
      <c r="Q168" s="33" t="n">
        <f>2568</f>
        <v>2568.0</v>
      </c>
      <c r="R168" s="34" t="s">
        <v>50</v>
      </c>
      <c r="S168" s="35" t="n">
        <f>2518.32</f>
        <v>2518.32</v>
      </c>
      <c r="T168" s="32" t="n">
        <f>62670</f>
        <v>62670.0</v>
      </c>
      <c r="U168" s="32" t="str">
        <f>"－"</f>
        <v>－</v>
      </c>
      <c r="V168" s="32" t="n">
        <f>158672360</f>
        <v>1.5867236E8</v>
      </c>
      <c r="W168" s="32" t="str">
        <f>"－"</f>
        <v>－</v>
      </c>
      <c r="X168" s="36" t="n">
        <f>19</f>
        <v>19.0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10480</f>
        <v>10480.0</v>
      </c>
      <c r="L169" s="34" t="s">
        <v>48</v>
      </c>
      <c r="M169" s="33" t="n">
        <f>11030</f>
        <v>11030.0</v>
      </c>
      <c r="N169" s="34" t="s">
        <v>132</v>
      </c>
      <c r="O169" s="33" t="n">
        <f>10040</f>
        <v>10040.0</v>
      </c>
      <c r="P169" s="34" t="s">
        <v>88</v>
      </c>
      <c r="Q169" s="33" t="n">
        <f>10550</f>
        <v>10550.0</v>
      </c>
      <c r="R169" s="34" t="s">
        <v>50</v>
      </c>
      <c r="S169" s="35" t="n">
        <f>10603.68</f>
        <v>10603.68</v>
      </c>
      <c r="T169" s="32" t="n">
        <f>9259</f>
        <v>9259.0</v>
      </c>
      <c r="U169" s="32" t="str">
        <f>"－"</f>
        <v>－</v>
      </c>
      <c r="V169" s="32" t="n">
        <f>98389000</f>
        <v>9.8389E7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23760</f>
        <v>23760.0</v>
      </c>
      <c r="L170" s="34" t="s">
        <v>48</v>
      </c>
      <c r="M170" s="33" t="n">
        <f>24490</f>
        <v>24490.0</v>
      </c>
      <c r="N170" s="34" t="s">
        <v>69</v>
      </c>
      <c r="O170" s="33" t="n">
        <f>22600</f>
        <v>22600.0</v>
      </c>
      <c r="P170" s="34" t="s">
        <v>88</v>
      </c>
      <c r="Q170" s="33" t="n">
        <f>23390</f>
        <v>23390.0</v>
      </c>
      <c r="R170" s="34" t="s">
        <v>50</v>
      </c>
      <c r="S170" s="35" t="n">
        <f>23360</f>
        <v>23360.0</v>
      </c>
      <c r="T170" s="32" t="n">
        <f>449</f>
        <v>449.0</v>
      </c>
      <c r="U170" s="32" t="str">
        <f>"－"</f>
        <v>－</v>
      </c>
      <c r="V170" s="32" t="n">
        <f>10618780</f>
        <v>1.061878E7</v>
      </c>
      <c r="W170" s="32" t="str">
        <f>"－"</f>
        <v>－</v>
      </c>
      <c r="X170" s="36" t="n">
        <f>17</f>
        <v>17.0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15620</f>
        <v>15620.0</v>
      </c>
      <c r="L171" s="34" t="s">
        <v>88</v>
      </c>
      <c r="M171" s="33" t="n">
        <f>16030</f>
        <v>16030.0</v>
      </c>
      <c r="N171" s="34" t="s">
        <v>50</v>
      </c>
      <c r="O171" s="33" t="n">
        <f>15620</f>
        <v>15620.0</v>
      </c>
      <c r="P171" s="34" t="s">
        <v>88</v>
      </c>
      <c r="Q171" s="33" t="n">
        <f>16030</f>
        <v>16030.0</v>
      </c>
      <c r="R171" s="34" t="s">
        <v>50</v>
      </c>
      <c r="S171" s="35" t="n">
        <f>15825</f>
        <v>15825.0</v>
      </c>
      <c r="T171" s="32" t="n">
        <f>60</f>
        <v>60.0</v>
      </c>
      <c r="U171" s="32" t="str">
        <f>"－"</f>
        <v>－</v>
      </c>
      <c r="V171" s="32" t="n">
        <f>961390</f>
        <v>961390.0</v>
      </c>
      <c r="W171" s="32" t="str">
        <f>"－"</f>
        <v>－</v>
      </c>
      <c r="X171" s="36" t="n">
        <f>2</f>
        <v>2.0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51400</f>
        <v>51400.0</v>
      </c>
      <c r="L172" s="34" t="s">
        <v>48</v>
      </c>
      <c r="M172" s="33" t="n">
        <f>51400</f>
        <v>51400.0</v>
      </c>
      <c r="N172" s="34" t="s">
        <v>48</v>
      </c>
      <c r="O172" s="33" t="n">
        <f>50700</f>
        <v>50700.0</v>
      </c>
      <c r="P172" s="34" t="s">
        <v>132</v>
      </c>
      <c r="Q172" s="33" t="n">
        <f>51200</f>
        <v>51200.0</v>
      </c>
      <c r="R172" s="34" t="s">
        <v>50</v>
      </c>
      <c r="S172" s="35" t="n">
        <f>51042.11</f>
        <v>51042.11</v>
      </c>
      <c r="T172" s="32" t="n">
        <f>13330</f>
        <v>13330.0</v>
      </c>
      <c r="U172" s="32" t="n">
        <f>9000</f>
        <v>9000.0</v>
      </c>
      <c r="V172" s="32" t="n">
        <f>679738300</f>
        <v>6.797383E8</v>
      </c>
      <c r="W172" s="32" t="n">
        <f>458817300</f>
        <v>4.588173E8</v>
      </c>
      <c r="X172" s="36" t="n">
        <f>19</f>
        <v>19.0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177</f>
        <v>177.0</v>
      </c>
      <c r="L173" s="34" t="s">
        <v>48</v>
      </c>
      <c r="M173" s="33" t="n">
        <f>191</f>
        <v>191.0</v>
      </c>
      <c r="N173" s="34" t="s">
        <v>92</v>
      </c>
      <c r="O173" s="33" t="n">
        <f>175</f>
        <v>175.0</v>
      </c>
      <c r="P173" s="34" t="s">
        <v>88</v>
      </c>
      <c r="Q173" s="33" t="n">
        <f>177</f>
        <v>177.0</v>
      </c>
      <c r="R173" s="34" t="s">
        <v>50</v>
      </c>
      <c r="S173" s="35" t="n">
        <f>182.32</f>
        <v>182.32</v>
      </c>
      <c r="T173" s="32" t="n">
        <f>9857400</f>
        <v>9857400.0</v>
      </c>
      <c r="U173" s="32" t="n">
        <f>24300</f>
        <v>24300.0</v>
      </c>
      <c r="V173" s="32" t="n">
        <f>1797296500</f>
        <v>1.7972965E9</v>
      </c>
      <c r="W173" s="32" t="n">
        <f>4450400</f>
        <v>4450400.0</v>
      </c>
      <c r="X173" s="36" t="n">
        <f>19</f>
        <v>19.0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27760</f>
        <v>27760.0</v>
      </c>
      <c r="L174" s="34" t="s">
        <v>48</v>
      </c>
      <c r="M174" s="33" t="n">
        <f>28630</f>
        <v>28630.0</v>
      </c>
      <c r="N174" s="34" t="s">
        <v>49</v>
      </c>
      <c r="O174" s="33" t="n">
        <f>27360</f>
        <v>27360.0</v>
      </c>
      <c r="P174" s="34" t="s">
        <v>84</v>
      </c>
      <c r="Q174" s="33" t="n">
        <f>27850</f>
        <v>27850.0</v>
      </c>
      <c r="R174" s="34" t="s">
        <v>50</v>
      </c>
      <c r="S174" s="35" t="n">
        <f>28146.84</f>
        <v>28146.84</v>
      </c>
      <c r="T174" s="32" t="n">
        <f>9800</f>
        <v>9800.0</v>
      </c>
      <c r="U174" s="32" t="str">
        <f>"－"</f>
        <v>－</v>
      </c>
      <c r="V174" s="32" t="n">
        <f>274459300</f>
        <v>2.744593E8</v>
      </c>
      <c r="W174" s="32" t="str">
        <f>"－"</f>
        <v>－</v>
      </c>
      <c r="X174" s="36" t="n">
        <f>19</f>
        <v>19.0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2915</f>
        <v>2915.0</v>
      </c>
      <c r="L175" s="34" t="s">
        <v>48</v>
      </c>
      <c r="M175" s="33" t="n">
        <f>2994</f>
        <v>2994.0</v>
      </c>
      <c r="N175" s="34" t="s">
        <v>49</v>
      </c>
      <c r="O175" s="33" t="n">
        <f>2857</f>
        <v>2857.0</v>
      </c>
      <c r="P175" s="34" t="s">
        <v>88</v>
      </c>
      <c r="Q175" s="33" t="n">
        <f>2885</f>
        <v>2885.0</v>
      </c>
      <c r="R175" s="34" t="s">
        <v>50</v>
      </c>
      <c r="S175" s="35" t="n">
        <f>2936.63</f>
        <v>2936.63</v>
      </c>
      <c r="T175" s="32" t="n">
        <f>99400</f>
        <v>99400.0</v>
      </c>
      <c r="U175" s="32" t="str">
        <f>"－"</f>
        <v>－</v>
      </c>
      <c r="V175" s="32" t="n">
        <f>292090040</f>
        <v>2.9209004E8</v>
      </c>
      <c r="W175" s="32" t="str">
        <f>"－"</f>
        <v>－</v>
      </c>
      <c r="X175" s="36" t="n">
        <f>19</f>
        <v>19.0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1683</f>
        <v>1683.0</v>
      </c>
      <c r="L176" s="34" t="s">
        <v>48</v>
      </c>
      <c r="M176" s="33" t="n">
        <f>1830</f>
        <v>1830.0</v>
      </c>
      <c r="N176" s="34" t="s">
        <v>176</v>
      </c>
      <c r="O176" s="33" t="n">
        <f>1682</f>
        <v>1682.0</v>
      </c>
      <c r="P176" s="34" t="s">
        <v>48</v>
      </c>
      <c r="Q176" s="33" t="n">
        <f>1734</f>
        <v>1734.0</v>
      </c>
      <c r="R176" s="34" t="s">
        <v>50</v>
      </c>
      <c r="S176" s="35" t="n">
        <f>1773</f>
        <v>1773.0</v>
      </c>
      <c r="T176" s="32" t="n">
        <f>162130</f>
        <v>162130.0</v>
      </c>
      <c r="U176" s="32" t="n">
        <f>50</f>
        <v>50.0</v>
      </c>
      <c r="V176" s="32" t="n">
        <f>284988360</f>
        <v>2.8498836E8</v>
      </c>
      <c r="W176" s="32" t="n">
        <f>87920</f>
        <v>87920.0</v>
      </c>
      <c r="X176" s="36" t="n">
        <f>19</f>
        <v>19.0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189</f>
        <v>189.0</v>
      </c>
      <c r="L177" s="34" t="s">
        <v>48</v>
      </c>
      <c r="M177" s="33" t="n">
        <f>200</f>
        <v>200.0</v>
      </c>
      <c r="N177" s="34" t="s">
        <v>96</v>
      </c>
      <c r="O177" s="33" t="n">
        <f>187</f>
        <v>187.0</v>
      </c>
      <c r="P177" s="34" t="s">
        <v>84</v>
      </c>
      <c r="Q177" s="33" t="n">
        <f>190</f>
        <v>190.0</v>
      </c>
      <c r="R177" s="34" t="s">
        <v>50</v>
      </c>
      <c r="S177" s="35" t="n">
        <f>193.11</f>
        <v>193.11</v>
      </c>
      <c r="T177" s="32" t="n">
        <f>575000</f>
        <v>575000.0</v>
      </c>
      <c r="U177" s="32" t="str">
        <f>"－"</f>
        <v>－</v>
      </c>
      <c r="V177" s="32" t="n">
        <f>110761200</f>
        <v>1.107612E8</v>
      </c>
      <c r="W177" s="32" t="str">
        <f>"－"</f>
        <v>－</v>
      </c>
      <c r="X177" s="36" t="n">
        <f>19</f>
        <v>19.0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822</f>
        <v>822.0</v>
      </c>
      <c r="L178" s="34" t="s">
        <v>48</v>
      </c>
      <c r="M178" s="33" t="n">
        <f>892</f>
        <v>892.0</v>
      </c>
      <c r="N178" s="34" t="s">
        <v>96</v>
      </c>
      <c r="O178" s="33" t="n">
        <f>822</f>
        <v>822.0</v>
      </c>
      <c r="P178" s="34" t="s">
        <v>48</v>
      </c>
      <c r="Q178" s="33" t="n">
        <f>871</f>
        <v>871.0</v>
      </c>
      <c r="R178" s="34" t="s">
        <v>50</v>
      </c>
      <c r="S178" s="35" t="n">
        <f>848</f>
        <v>848.0</v>
      </c>
      <c r="T178" s="32" t="n">
        <f>2940</f>
        <v>2940.0</v>
      </c>
      <c r="U178" s="32" t="n">
        <f>820</f>
        <v>820.0</v>
      </c>
      <c r="V178" s="32" t="n">
        <f>2511710</f>
        <v>2511710.0</v>
      </c>
      <c r="W178" s="32" t="n">
        <f>683880</f>
        <v>683880.0</v>
      </c>
      <c r="X178" s="36" t="n">
        <f>6</f>
        <v>6.0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227</f>
        <v>227.0</v>
      </c>
      <c r="L179" s="34" t="s">
        <v>48</v>
      </c>
      <c r="M179" s="33" t="n">
        <f>247</f>
        <v>247.0</v>
      </c>
      <c r="N179" s="34" t="s">
        <v>49</v>
      </c>
      <c r="O179" s="33" t="n">
        <f>225</f>
        <v>225.0</v>
      </c>
      <c r="P179" s="34" t="s">
        <v>48</v>
      </c>
      <c r="Q179" s="33" t="n">
        <f>240</f>
        <v>240.0</v>
      </c>
      <c r="R179" s="34" t="s">
        <v>50</v>
      </c>
      <c r="S179" s="35" t="n">
        <f>237.89</f>
        <v>237.89</v>
      </c>
      <c r="T179" s="32" t="n">
        <f>42100</f>
        <v>42100.0</v>
      </c>
      <c r="U179" s="32" t="str">
        <f>"－"</f>
        <v>－</v>
      </c>
      <c r="V179" s="32" t="n">
        <f>10051890</f>
        <v>1.005189E7</v>
      </c>
      <c r="W179" s="32" t="str">
        <f>"－"</f>
        <v>－</v>
      </c>
      <c r="X179" s="36" t="n">
        <f>19</f>
        <v>19.0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1430</f>
        <v>1430.0</v>
      </c>
      <c r="L180" s="34" t="s">
        <v>48</v>
      </c>
      <c r="M180" s="33" t="n">
        <f>1676</f>
        <v>1676.0</v>
      </c>
      <c r="N180" s="34" t="s">
        <v>69</v>
      </c>
      <c r="O180" s="33" t="n">
        <f>1389</f>
        <v>1389.0</v>
      </c>
      <c r="P180" s="34" t="s">
        <v>96</v>
      </c>
      <c r="Q180" s="33" t="n">
        <f>1398</f>
        <v>1398.0</v>
      </c>
      <c r="R180" s="34" t="s">
        <v>50</v>
      </c>
      <c r="S180" s="35" t="n">
        <f>1428.83</f>
        <v>1428.83</v>
      </c>
      <c r="T180" s="32" t="n">
        <f>1110</f>
        <v>1110.0</v>
      </c>
      <c r="U180" s="32" t="str">
        <f>"－"</f>
        <v>－</v>
      </c>
      <c r="V180" s="32" t="n">
        <f>1726160</f>
        <v>1726160.0</v>
      </c>
      <c r="W180" s="32" t="str">
        <f>"－"</f>
        <v>－</v>
      </c>
      <c r="X180" s="36" t="n">
        <f>12</f>
        <v>12.0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491</f>
        <v>491.0</v>
      </c>
      <c r="L181" s="34" t="s">
        <v>48</v>
      </c>
      <c r="M181" s="33" t="n">
        <f>592</f>
        <v>592.0</v>
      </c>
      <c r="N181" s="34" t="s">
        <v>131</v>
      </c>
      <c r="O181" s="33" t="n">
        <f>483</f>
        <v>483.0</v>
      </c>
      <c r="P181" s="34" t="s">
        <v>176</v>
      </c>
      <c r="Q181" s="33" t="n">
        <f>512</f>
        <v>512.0</v>
      </c>
      <c r="R181" s="34" t="s">
        <v>50</v>
      </c>
      <c r="S181" s="35" t="n">
        <f>518.32</f>
        <v>518.32</v>
      </c>
      <c r="T181" s="32" t="n">
        <f>113570</f>
        <v>113570.0</v>
      </c>
      <c r="U181" s="32" t="str">
        <f>"－"</f>
        <v>－</v>
      </c>
      <c r="V181" s="32" t="n">
        <f>59843530</f>
        <v>5.984353E7</v>
      </c>
      <c r="W181" s="32" t="str">
        <f>"－"</f>
        <v>－</v>
      </c>
      <c r="X181" s="36" t="n">
        <f>19</f>
        <v>19.0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369</f>
        <v>369.0</v>
      </c>
      <c r="L182" s="34" t="s">
        <v>48</v>
      </c>
      <c r="M182" s="33" t="n">
        <f>400</f>
        <v>400.0</v>
      </c>
      <c r="N182" s="34" t="s">
        <v>69</v>
      </c>
      <c r="O182" s="33" t="n">
        <f>358</f>
        <v>358.0</v>
      </c>
      <c r="P182" s="34" t="s">
        <v>48</v>
      </c>
      <c r="Q182" s="33" t="n">
        <f>388</f>
        <v>388.0</v>
      </c>
      <c r="R182" s="34" t="s">
        <v>50</v>
      </c>
      <c r="S182" s="35" t="n">
        <f>384</f>
        <v>384.0</v>
      </c>
      <c r="T182" s="32" t="n">
        <f>490720</f>
        <v>490720.0</v>
      </c>
      <c r="U182" s="32" t="str">
        <f>"－"</f>
        <v>－</v>
      </c>
      <c r="V182" s="32" t="n">
        <f>188036420</f>
        <v>1.8803642E8</v>
      </c>
      <c r="W182" s="32" t="str">
        <f>"－"</f>
        <v>－</v>
      </c>
      <c r="X182" s="36" t="n">
        <f>19</f>
        <v>19.0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2</f>
        <v>2.0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2</f>
        <v>2.0</v>
      </c>
      <c r="R183" s="34" t="s">
        <v>50</v>
      </c>
      <c r="S183" s="35" t="n">
        <f>1.74</f>
        <v>1.74</v>
      </c>
      <c r="T183" s="32" t="n">
        <f>135000100</f>
        <v>1.350001E8</v>
      </c>
      <c r="U183" s="32" t="str">
        <f>"－"</f>
        <v>－</v>
      </c>
      <c r="V183" s="32" t="n">
        <f>217640500</f>
        <v>2.176405E8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446</f>
        <v>446.0</v>
      </c>
      <c r="L184" s="34" t="s">
        <v>48</v>
      </c>
      <c r="M184" s="33" t="n">
        <f>498</f>
        <v>498.0</v>
      </c>
      <c r="N184" s="34" t="s">
        <v>92</v>
      </c>
      <c r="O184" s="33" t="n">
        <f>437</f>
        <v>437.0</v>
      </c>
      <c r="P184" s="34" t="s">
        <v>84</v>
      </c>
      <c r="Q184" s="33" t="n">
        <f>482</f>
        <v>482.0</v>
      </c>
      <c r="R184" s="34" t="s">
        <v>50</v>
      </c>
      <c r="S184" s="35" t="n">
        <f>478.37</f>
        <v>478.37</v>
      </c>
      <c r="T184" s="32" t="n">
        <f>663260</f>
        <v>663260.0</v>
      </c>
      <c r="U184" s="32" t="str">
        <f>"－"</f>
        <v>－</v>
      </c>
      <c r="V184" s="32" t="n">
        <f>312343690</f>
        <v>3.1234369E8</v>
      </c>
      <c r="W184" s="32" t="str">
        <f>"－"</f>
        <v>－</v>
      </c>
      <c r="X184" s="36" t="n">
        <f>19</f>
        <v>19.0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1917</f>
        <v>1917.0</v>
      </c>
      <c r="L185" s="34" t="s">
        <v>48</v>
      </c>
      <c r="M185" s="33" t="n">
        <f>2222</f>
        <v>2222.0</v>
      </c>
      <c r="N185" s="34" t="s">
        <v>50</v>
      </c>
      <c r="O185" s="33" t="n">
        <f>1916</f>
        <v>1916.0</v>
      </c>
      <c r="P185" s="34" t="s">
        <v>84</v>
      </c>
      <c r="Q185" s="33" t="n">
        <f>2157</f>
        <v>2157.0</v>
      </c>
      <c r="R185" s="34" t="s">
        <v>50</v>
      </c>
      <c r="S185" s="35" t="n">
        <f>2074.71</f>
        <v>2074.71</v>
      </c>
      <c r="T185" s="32" t="n">
        <f>956</f>
        <v>956.0</v>
      </c>
      <c r="U185" s="32" t="str">
        <f>"－"</f>
        <v>－</v>
      </c>
      <c r="V185" s="32" t="n">
        <f>1976983</f>
        <v>1976983.0</v>
      </c>
      <c r="W185" s="32" t="str">
        <f>"－"</f>
        <v>－</v>
      </c>
      <c r="X185" s="36" t="n">
        <f>14</f>
        <v>14.0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312</f>
        <v>312.0</v>
      </c>
      <c r="L186" s="34" t="s">
        <v>48</v>
      </c>
      <c r="M186" s="33" t="n">
        <f>323</f>
        <v>323.0</v>
      </c>
      <c r="N186" s="34" t="s">
        <v>69</v>
      </c>
      <c r="O186" s="33" t="n">
        <f>298</f>
        <v>298.0</v>
      </c>
      <c r="P186" s="34" t="s">
        <v>132</v>
      </c>
      <c r="Q186" s="33" t="n">
        <f>305</f>
        <v>305.0</v>
      </c>
      <c r="R186" s="34" t="s">
        <v>88</v>
      </c>
      <c r="S186" s="35" t="n">
        <f>312</f>
        <v>312.0</v>
      </c>
      <c r="T186" s="32" t="n">
        <f>9100</f>
        <v>9100.0</v>
      </c>
      <c r="U186" s="32" t="str">
        <f>"－"</f>
        <v>－</v>
      </c>
      <c r="V186" s="32" t="n">
        <f>2838400</f>
        <v>2838400.0</v>
      </c>
      <c r="W186" s="32" t="str">
        <f>"－"</f>
        <v>－</v>
      </c>
      <c r="X186" s="36" t="n">
        <f>15</f>
        <v>15.0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3335</f>
        <v>3335.0</v>
      </c>
      <c r="L187" s="34" t="s">
        <v>48</v>
      </c>
      <c r="M187" s="33" t="n">
        <f>3475</f>
        <v>3475.0</v>
      </c>
      <c r="N187" s="34" t="s">
        <v>96</v>
      </c>
      <c r="O187" s="33" t="n">
        <f>3270</f>
        <v>3270.0</v>
      </c>
      <c r="P187" s="34" t="s">
        <v>88</v>
      </c>
      <c r="Q187" s="33" t="n">
        <f>3295</f>
        <v>3295.0</v>
      </c>
      <c r="R187" s="34" t="s">
        <v>50</v>
      </c>
      <c r="S187" s="35" t="n">
        <f>3378.16</f>
        <v>3378.16</v>
      </c>
      <c r="T187" s="32" t="n">
        <f>33810</f>
        <v>33810.0</v>
      </c>
      <c r="U187" s="32" t="str">
        <f>"－"</f>
        <v>－</v>
      </c>
      <c r="V187" s="32" t="n">
        <f>114145800</f>
        <v>1.141458E8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2024</f>
        <v>2024.0</v>
      </c>
      <c r="L188" s="34" t="s">
        <v>48</v>
      </c>
      <c r="M188" s="33" t="n">
        <f>2500</f>
        <v>2500.0</v>
      </c>
      <c r="N188" s="34" t="s">
        <v>84</v>
      </c>
      <c r="O188" s="33" t="n">
        <f>1726</f>
        <v>1726.0</v>
      </c>
      <c r="P188" s="34" t="s">
        <v>88</v>
      </c>
      <c r="Q188" s="33" t="n">
        <f>1749</f>
        <v>1749.0</v>
      </c>
      <c r="R188" s="34" t="s">
        <v>50</v>
      </c>
      <c r="S188" s="35" t="n">
        <f>1841.95</f>
        <v>1841.95</v>
      </c>
      <c r="T188" s="32" t="n">
        <f>25450</f>
        <v>25450.0</v>
      </c>
      <c r="U188" s="32" t="n">
        <f>10</f>
        <v>10.0</v>
      </c>
      <c r="V188" s="32" t="n">
        <f>48007610</f>
        <v>4.800761E7</v>
      </c>
      <c r="W188" s="32" t="n">
        <f>17820</f>
        <v>17820.0</v>
      </c>
      <c r="X188" s="36" t="n">
        <f>19</f>
        <v>19.0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74</f>
        <v>74.0</v>
      </c>
      <c r="L189" s="34" t="s">
        <v>48</v>
      </c>
      <c r="M189" s="33" t="n">
        <f>81</f>
        <v>81.0</v>
      </c>
      <c r="N189" s="34" t="s">
        <v>613</v>
      </c>
      <c r="O189" s="33" t="n">
        <f>73</f>
        <v>73.0</v>
      </c>
      <c r="P189" s="34" t="s">
        <v>176</v>
      </c>
      <c r="Q189" s="33" t="n">
        <f>75</f>
        <v>75.0</v>
      </c>
      <c r="R189" s="34" t="s">
        <v>50</v>
      </c>
      <c r="S189" s="35" t="n">
        <f>76.16</f>
        <v>76.16</v>
      </c>
      <c r="T189" s="32" t="n">
        <f>7609800</f>
        <v>7609800.0</v>
      </c>
      <c r="U189" s="32" t="str">
        <f>"－"</f>
        <v>－</v>
      </c>
      <c r="V189" s="32" t="n">
        <f>584422500</f>
        <v>5.844225E8</v>
      </c>
      <c r="W189" s="32" t="str">
        <f>"－"</f>
        <v>－</v>
      </c>
      <c r="X189" s="36" t="n">
        <f>19</f>
        <v>19.0</v>
      </c>
    </row>
    <row r="190">
      <c r="A190" s="27" t="s">
        <v>42</v>
      </c>
      <c r="B190" s="27" t="s">
        <v>614</v>
      </c>
      <c r="C190" s="27" t="s">
        <v>615</v>
      </c>
      <c r="D190" s="27" t="s">
        <v>616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86</f>
        <v>86.0</v>
      </c>
      <c r="L190" s="34" t="s">
        <v>48</v>
      </c>
      <c r="M190" s="33" t="n">
        <f>98</f>
        <v>98.0</v>
      </c>
      <c r="N190" s="34" t="s">
        <v>50</v>
      </c>
      <c r="O190" s="33" t="n">
        <f>85</f>
        <v>85.0</v>
      </c>
      <c r="P190" s="34" t="s">
        <v>84</v>
      </c>
      <c r="Q190" s="33" t="n">
        <f>97</f>
        <v>97.0</v>
      </c>
      <c r="R190" s="34" t="s">
        <v>50</v>
      </c>
      <c r="S190" s="35" t="n">
        <f>92.16</f>
        <v>92.16</v>
      </c>
      <c r="T190" s="32" t="n">
        <f>4121200</f>
        <v>4121200.0</v>
      </c>
      <c r="U190" s="32" t="str">
        <f>"－"</f>
        <v>－</v>
      </c>
      <c r="V190" s="32" t="n">
        <f>379775700</f>
        <v>3.797757E8</v>
      </c>
      <c r="W190" s="32" t="str">
        <f>"－"</f>
        <v>－</v>
      </c>
      <c r="X190" s="36" t="n">
        <f>19</f>
        <v>19.0</v>
      </c>
    </row>
    <row r="191">
      <c r="A191" s="27" t="s">
        <v>42</v>
      </c>
      <c r="B191" s="27" t="s">
        <v>617</v>
      </c>
      <c r="C191" s="27" t="s">
        <v>618</v>
      </c>
      <c r="D191" s="27" t="s">
        <v>619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2383</f>
        <v>2383.0</v>
      </c>
      <c r="L191" s="34" t="s">
        <v>48</v>
      </c>
      <c r="M191" s="33" t="n">
        <f>2598</f>
        <v>2598.0</v>
      </c>
      <c r="N191" s="34" t="s">
        <v>69</v>
      </c>
      <c r="O191" s="33" t="n">
        <f>2327</f>
        <v>2327.0</v>
      </c>
      <c r="P191" s="34" t="s">
        <v>176</v>
      </c>
      <c r="Q191" s="33" t="n">
        <f>2449</f>
        <v>2449.0</v>
      </c>
      <c r="R191" s="34" t="s">
        <v>50</v>
      </c>
      <c r="S191" s="35" t="n">
        <f>2468.42</f>
        <v>2468.42</v>
      </c>
      <c r="T191" s="32" t="n">
        <f>36020</f>
        <v>36020.0</v>
      </c>
      <c r="U191" s="32" t="str">
        <f>"－"</f>
        <v>－</v>
      </c>
      <c r="V191" s="32" t="n">
        <f>89231500</f>
        <v>8.92315E7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620</v>
      </c>
      <c r="C192" s="27" t="s">
        <v>621</v>
      </c>
      <c r="D192" s="27" t="s">
        <v>622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1581</f>
        <v>1581.0</v>
      </c>
      <c r="L192" s="34" t="s">
        <v>48</v>
      </c>
      <c r="M192" s="33" t="n">
        <f>1629</f>
        <v>1629.0</v>
      </c>
      <c r="N192" s="34" t="s">
        <v>268</v>
      </c>
      <c r="O192" s="33" t="n">
        <f>1548</f>
        <v>1548.0</v>
      </c>
      <c r="P192" s="34" t="s">
        <v>84</v>
      </c>
      <c r="Q192" s="33" t="n">
        <f>1599</f>
        <v>1599.0</v>
      </c>
      <c r="R192" s="34" t="s">
        <v>50</v>
      </c>
      <c r="S192" s="35" t="n">
        <f>1598.68</f>
        <v>1598.68</v>
      </c>
      <c r="T192" s="32" t="n">
        <f>22010</f>
        <v>22010.0</v>
      </c>
      <c r="U192" s="32" t="n">
        <f>10</f>
        <v>10.0</v>
      </c>
      <c r="V192" s="32" t="n">
        <f>34934630</f>
        <v>3.493463E7</v>
      </c>
      <c r="W192" s="32" t="n">
        <f>16140</f>
        <v>16140.0</v>
      </c>
      <c r="X192" s="36" t="n">
        <f>19</f>
        <v>19.0</v>
      </c>
    </row>
    <row r="193">
      <c r="A193" s="27" t="s">
        <v>42</v>
      </c>
      <c r="B193" s="27" t="s">
        <v>623</v>
      </c>
      <c r="C193" s="27" t="s">
        <v>624</v>
      </c>
      <c r="D193" s="27" t="s">
        <v>625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117</f>
        <v>117.0</v>
      </c>
      <c r="L193" s="34" t="s">
        <v>48</v>
      </c>
      <c r="M193" s="33" t="n">
        <f>131</f>
        <v>131.0</v>
      </c>
      <c r="N193" s="34" t="s">
        <v>92</v>
      </c>
      <c r="O193" s="33" t="n">
        <f>115</f>
        <v>115.0</v>
      </c>
      <c r="P193" s="34" t="s">
        <v>84</v>
      </c>
      <c r="Q193" s="33" t="n">
        <f>127</f>
        <v>127.0</v>
      </c>
      <c r="R193" s="34" t="s">
        <v>50</v>
      </c>
      <c r="S193" s="35" t="n">
        <f>125.53</f>
        <v>125.53</v>
      </c>
      <c r="T193" s="32" t="n">
        <f>152401560</f>
        <v>1.5240156E8</v>
      </c>
      <c r="U193" s="32" t="n">
        <f>81610</f>
        <v>81610.0</v>
      </c>
      <c r="V193" s="32" t="n">
        <f>18999971320</f>
        <v>1.899997132E10</v>
      </c>
      <c r="W193" s="32" t="n">
        <f>10344030</f>
        <v>1.034403E7</v>
      </c>
      <c r="X193" s="36" t="n">
        <f>19</f>
        <v>19.0</v>
      </c>
    </row>
    <row r="19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31"/>
      <c r="I194" s="31" t="s">
        <v>629</v>
      </c>
      <c r="J194" s="32" t="n">
        <v>1.0</v>
      </c>
      <c r="K194" s="33" t="n">
        <f>10590</f>
        <v>10590.0</v>
      </c>
      <c r="L194" s="34" t="s">
        <v>48</v>
      </c>
      <c r="M194" s="33" t="n">
        <f>12750</f>
        <v>12750.0</v>
      </c>
      <c r="N194" s="34" t="s">
        <v>268</v>
      </c>
      <c r="O194" s="33" t="n">
        <f>10060</f>
        <v>10060.0</v>
      </c>
      <c r="P194" s="34" t="s">
        <v>48</v>
      </c>
      <c r="Q194" s="33" t="n">
        <f>11260</f>
        <v>11260.0</v>
      </c>
      <c r="R194" s="34" t="s">
        <v>50</v>
      </c>
      <c r="S194" s="35" t="n">
        <f>11434.74</f>
        <v>11434.74</v>
      </c>
      <c r="T194" s="32" t="n">
        <f>11611</f>
        <v>11611.0</v>
      </c>
      <c r="U194" s="32" t="n">
        <f>5</f>
        <v>5.0</v>
      </c>
      <c r="V194" s="32" t="n">
        <f>135130740</f>
        <v>1.3513074E8</v>
      </c>
      <c r="W194" s="32" t="n">
        <f>53160</f>
        <v>53160.0</v>
      </c>
      <c r="X194" s="36" t="n">
        <f>19</f>
        <v>19.0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629</v>
      </c>
      <c r="J195" s="32" t="n">
        <v>1.0</v>
      </c>
      <c r="K195" s="33" t="n">
        <f>5390</f>
        <v>5390.0</v>
      </c>
      <c r="L195" s="34" t="s">
        <v>48</v>
      </c>
      <c r="M195" s="33" t="n">
        <f>5420</f>
        <v>5420.0</v>
      </c>
      <c r="N195" s="34" t="s">
        <v>84</v>
      </c>
      <c r="O195" s="33" t="n">
        <f>4845</f>
        <v>4845.0</v>
      </c>
      <c r="P195" s="34" t="s">
        <v>176</v>
      </c>
      <c r="Q195" s="33" t="n">
        <f>5200</f>
        <v>5200.0</v>
      </c>
      <c r="R195" s="34" t="s">
        <v>50</v>
      </c>
      <c r="S195" s="35" t="n">
        <f>5125.79</f>
        <v>5125.79</v>
      </c>
      <c r="T195" s="32" t="n">
        <f>2035</f>
        <v>2035.0</v>
      </c>
      <c r="U195" s="32" t="str">
        <f>"－"</f>
        <v>－</v>
      </c>
      <c r="V195" s="32" t="n">
        <f>10220480</f>
        <v>1.022048E7</v>
      </c>
      <c r="W195" s="32" t="str">
        <f>"－"</f>
        <v>－</v>
      </c>
      <c r="X195" s="36" t="n">
        <f>19</f>
        <v>19.0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629</v>
      </c>
      <c r="J196" s="32" t="n">
        <v>1.0</v>
      </c>
      <c r="K196" s="33" t="n">
        <f>15780</f>
        <v>15780.0</v>
      </c>
      <c r="L196" s="34" t="s">
        <v>48</v>
      </c>
      <c r="M196" s="33" t="n">
        <f>20530</f>
        <v>20530.0</v>
      </c>
      <c r="N196" s="34" t="s">
        <v>240</v>
      </c>
      <c r="O196" s="33" t="n">
        <f>15780</f>
        <v>15780.0</v>
      </c>
      <c r="P196" s="34" t="s">
        <v>48</v>
      </c>
      <c r="Q196" s="33" t="n">
        <f>17470</f>
        <v>17470.0</v>
      </c>
      <c r="R196" s="34" t="s">
        <v>50</v>
      </c>
      <c r="S196" s="35" t="n">
        <f>18837.89</f>
        <v>18837.89</v>
      </c>
      <c r="T196" s="32" t="n">
        <f>2913</f>
        <v>2913.0</v>
      </c>
      <c r="U196" s="32" t="str">
        <f>"－"</f>
        <v>－</v>
      </c>
      <c r="V196" s="32" t="n">
        <f>54016920</f>
        <v>5.401692E7</v>
      </c>
      <c r="W196" s="32" t="str">
        <f>"－"</f>
        <v>－</v>
      </c>
      <c r="X196" s="36" t="n">
        <f>19</f>
        <v>19.0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629</v>
      </c>
      <c r="J197" s="32" t="n">
        <v>1.0</v>
      </c>
      <c r="K197" s="33" t="n">
        <f>6430</f>
        <v>6430.0</v>
      </c>
      <c r="L197" s="34" t="s">
        <v>48</v>
      </c>
      <c r="M197" s="33" t="n">
        <f>6490</f>
        <v>6490.0</v>
      </c>
      <c r="N197" s="34" t="s">
        <v>48</v>
      </c>
      <c r="O197" s="33" t="n">
        <f>5670</f>
        <v>5670.0</v>
      </c>
      <c r="P197" s="34" t="s">
        <v>176</v>
      </c>
      <c r="Q197" s="33" t="n">
        <f>5970</f>
        <v>5970.0</v>
      </c>
      <c r="R197" s="34" t="s">
        <v>50</v>
      </c>
      <c r="S197" s="35" t="n">
        <f>5920.53</f>
        <v>5920.53</v>
      </c>
      <c r="T197" s="32" t="n">
        <f>32718</f>
        <v>32718.0</v>
      </c>
      <c r="U197" s="32" t="str">
        <f>"－"</f>
        <v>－</v>
      </c>
      <c r="V197" s="32" t="n">
        <f>193008860</f>
        <v>1.9300886E8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629</v>
      </c>
      <c r="J198" s="32" t="n">
        <v>1.0</v>
      </c>
      <c r="K198" s="33" t="n">
        <f>340</f>
        <v>340.0</v>
      </c>
      <c r="L198" s="34" t="s">
        <v>48</v>
      </c>
      <c r="M198" s="33" t="n">
        <f>413</f>
        <v>413.0</v>
      </c>
      <c r="N198" s="34" t="s">
        <v>50</v>
      </c>
      <c r="O198" s="33" t="n">
        <f>339</f>
        <v>339.0</v>
      </c>
      <c r="P198" s="34" t="s">
        <v>240</v>
      </c>
      <c r="Q198" s="33" t="n">
        <f>409</f>
        <v>409.0</v>
      </c>
      <c r="R198" s="34" t="s">
        <v>50</v>
      </c>
      <c r="S198" s="35" t="n">
        <f>363.05</f>
        <v>363.05</v>
      </c>
      <c r="T198" s="32" t="n">
        <f>25513178</f>
        <v>2.5513178E7</v>
      </c>
      <c r="U198" s="32" t="n">
        <f>8</f>
        <v>8.0</v>
      </c>
      <c r="V198" s="32" t="n">
        <f>9395157005</f>
        <v>9.395157005E9</v>
      </c>
      <c r="W198" s="32" t="n">
        <f>2888</f>
        <v>2888.0</v>
      </c>
      <c r="X198" s="36" t="n">
        <f>19</f>
        <v>19.0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629</v>
      </c>
      <c r="J199" s="32" t="n">
        <v>1.0</v>
      </c>
      <c r="K199" s="33" t="n">
        <f>18060</f>
        <v>18060.0</v>
      </c>
      <c r="L199" s="34" t="s">
        <v>48</v>
      </c>
      <c r="M199" s="33" t="n">
        <f>18680</f>
        <v>18680.0</v>
      </c>
      <c r="N199" s="34" t="s">
        <v>77</v>
      </c>
      <c r="O199" s="33" t="n">
        <f>16320</f>
        <v>16320.0</v>
      </c>
      <c r="P199" s="34" t="s">
        <v>100</v>
      </c>
      <c r="Q199" s="33" t="n">
        <f>17140</f>
        <v>17140.0</v>
      </c>
      <c r="R199" s="34" t="s">
        <v>50</v>
      </c>
      <c r="S199" s="35" t="n">
        <f>17388.42</f>
        <v>17388.42</v>
      </c>
      <c r="T199" s="32" t="n">
        <f>52429</f>
        <v>52429.0</v>
      </c>
      <c r="U199" s="32" t="str">
        <f>"－"</f>
        <v>－</v>
      </c>
      <c r="V199" s="32" t="n">
        <f>911792000</f>
        <v>9.11792E8</v>
      </c>
      <c r="W199" s="32" t="str">
        <f>"－"</f>
        <v>－</v>
      </c>
      <c r="X199" s="36" t="n">
        <f>19</f>
        <v>19.0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629</v>
      </c>
      <c r="J200" s="32" t="n">
        <v>1.0</v>
      </c>
      <c r="K200" s="33" t="n">
        <f>5620</f>
        <v>5620.0</v>
      </c>
      <c r="L200" s="34" t="s">
        <v>48</v>
      </c>
      <c r="M200" s="33" t="n">
        <f>5850</f>
        <v>5850.0</v>
      </c>
      <c r="N200" s="34" t="s">
        <v>100</v>
      </c>
      <c r="O200" s="33" t="n">
        <f>5480</f>
        <v>5480.0</v>
      </c>
      <c r="P200" s="34" t="s">
        <v>84</v>
      </c>
      <c r="Q200" s="33" t="n">
        <f>5720</f>
        <v>5720.0</v>
      </c>
      <c r="R200" s="34" t="s">
        <v>50</v>
      </c>
      <c r="S200" s="35" t="n">
        <f>5687.89</f>
        <v>5687.89</v>
      </c>
      <c r="T200" s="32" t="n">
        <f>6216</f>
        <v>6216.0</v>
      </c>
      <c r="U200" s="32" t="str">
        <f>"－"</f>
        <v>－</v>
      </c>
      <c r="V200" s="32" t="n">
        <f>35257340</f>
        <v>3.525734E7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629</v>
      </c>
      <c r="J201" s="32" t="n">
        <v>1.0</v>
      </c>
      <c r="K201" s="33" t="n">
        <f>290</f>
        <v>290.0</v>
      </c>
      <c r="L201" s="34" t="s">
        <v>48</v>
      </c>
      <c r="M201" s="33" t="n">
        <f>360</f>
        <v>360.0</v>
      </c>
      <c r="N201" s="34" t="s">
        <v>92</v>
      </c>
      <c r="O201" s="33" t="n">
        <f>279</f>
        <v>279.0</v>
      </c>
      <c r="P201" s="34" t="s">
        <v>84</v>
      </c>
      <c r="Q201" s="33" t="n">
        <f>331</f>
        <v>331.0</v>
      </c>
      <c r="R201" s="34" t="s">
        <v>50</v>
      </c>
      <c r="S201" s="35" t="n">
        <f>327.79</f>
        <v>327.79</v>
      </c>
      <c r="T201" s="32" t="n">
        <f>186866438</f>
        <v>1.86866438E8</v>
      </c>
      <c r="U201" s="32" t="n">
        <f>261981</f>
        <v>261981.0</v>
      </c>
      <c r="V201" s="32" t="n">
        <f>60727672526</f>
        <v>6.0727672526E10</v>
      </c>
      <c r="W201" s="32" t="n">
        <f>85773913</f>
        <v>8.5773913E7</v>
      </c>
      <c r="X201" s="36" t="n">
        <f>19</f>
        <v>19.0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629</v>
      </c>
      <c r="J202" s="32" t="n">
        <v>1.0</v>
      </c>
      <c r="K202" s="33" t="n">
        <f>5280</f>
        <v>5280.0</v>
      </c>
      <c r="L202" s="34" t="s">
        <v>48</v>
      </c>
      <c r="M202" s="33" t="n">
        <f>5320</f>
        <v>5320.0</v>
      </c>
      <c r="N202" s="34" t="s">
        <v>84</v>
      </c>
      <c r="O202" s="33" t="n">
        <f>4715</f>
        <v>4715.0</v>
      </c>
      <c r="P202" s="34" t="s">
        <v>92</v>
      </c>
      <c r="Q202" s="33" t="n">
        <f>4870</f>
        <v>4870.0</v>
      </c>
      <c r="R202" s="34" t="s">
        <v>50</v>
      </c>
      <c r="S202" s="35" t="n">
        <f>4913.95</f>
        <v>4913.95</v>
      </c>
      <c r="T202" s="32" t="n">
        <f>151029</f>
        <v>151029.0</v>
      </c>
      <c r="U202" s="32" t="n">
        <f>1</f>
        <v>1.0</v>
      </c>
      <c r="V202" s="32" t="n">
        <f>748377035</f>
        <v>7.48377035E8</v>
      </c>
      <c r="W202" s="32" t="n">
        <f>4810</f>
        <v>4810.0</v>
      </c>
      <c r="X202" s="36" t="n">
        <f>19</f>
        <v>19.0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629</v>
      </c>
      <c r="J203" s="32" t="n">
        <v>1.0</v>
      </c>
      <c r="K203" s="33" t="n">
        <f>24430</f>
        <v>24430.0</v>
      </c>
      <c r="L203" s="34" t="s">
        <v>48</v>
      </c>
      <c r="M203" s="33" t="n">
        <f>25490</f>
        <v>25490.0</v>
      </c>
      <c r="N203" s="34" t="s">
        <v>96</v>
      </c>
      <c r="O203" s="33" t="n">
        <f>23700</f>
        <v>23700.0</v>
      </c>
      <c r="P203" s="34" t="s">
        <v>88</v>
      </c>
      <c r="Q203" s="33" t="n">
        <f>23920</f>
        <v>23920.0</v>
      </c>
      <c r="R203" s="34" t="s">
        <v>50</v>
      </c>
      <c r="S203" s="35" t="n">
        <f>24812.11</f>
        <v>24812.11</v>
      </c>
      <c r="T203" s="32" t="n">
        <f>170990</f>
        <v>170990.0</v>
      </c>
      <c r="U203" s="32" t="n">
        <f>7195</f>
        <v>7195.0</v>
      </c>
      <c r="V203" s="32" t="n">
        <f>4236557900</f>
        <v>4.2365579E9</v>
      </c>
      <c r="W203" s="32" t="n">
        <f>179294700</f>
        <v>1.792947E8</v>
      </c>
      <c r="X203" s="36" t="n">
        <f>19</f>
        <v>19.0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629</v>
      </c>
      <c r="J204" s="32" t="n">
        <v>1.0</v>
      </c>
      <c r="K204" s="33" t="n">
        <f>3445</f>
        <v>3445.0</v>
      </c>
      <c r="L204" s="34" t="s">
        <v>48</v>
      </c>
      <c r="M204" s="33" t="n">
        <f>3500</f>
        <v>3500.0</v>
      </c>
      <c r="N204" s="34" t="s">
        <v>84</v>
      </c>
      <c r="O204" s="33" t="n">
        <f>3370</f>
        <v>3370.0</v>
      </c>
      <c r="P204" s="34" t="s">
        <v>268</v>
      </c>
      <c r="Q204" s="33" t="n">
        <f>3480</f>
        <v>3480.0</v>
      </c>
      <c r="R204" s="34" t="s">
        <v>50</v>
      </c>
      <c r="S204" s="35" t="n">
        <f>3425.79</f>
        <v>3425.79</v>
      </c>
      <c r="T204" s="32" t="n">
        <f>353112</f>
        <v>353112.0</v>
      </c>
      <c r="U204" s="32" t="n">
        <f>18003</f>
        <v>18003.0</v>
      </c>
      <c r="V204" s="32" t="n">
        <f>1210650605</f>
        <v>1.210650605E9</v>
      </c>
      <c r="W204" s="32" t="n">
        <f>60942345</f>
        <v>6.0942345E7</v>
      </c>
      <c r="X204" s="36" t="n">
        <f>19</f>
        <v>19.0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629</v>
      </c>
      <c r="J205" s="32" t="n">
        <v>1.0</v>
      </c>
      <c r="K205" s="33" t="n">
        <f>13000</f>
        <v>13000.0</v>
      </c>
      <c r="L205" s="34" t="s">
        <v>48</v>
      </c>
      <c r="M205" s="33" t="n">
        <f>13900</f>
        <v>13900.0</v>
      </c>
      <c r="N205" s="34" t="s">
        <v>176</v>
      </c>
      <c r="O205" s="33" t="n">
        <f>12740</f>
        <v>12740.0</v>
      </c>
      <c r="P205" s="34" t="s">
        <v>48</v>
      </c>
      <c r="Q205" s="33" t="n">
        <f>12820</f>
        <v>12820.0</v>
      </c>
      <c r="R205" s="34" t="s">
        <v>50</v>
      </c>
      <c r="S205" s="35" t="n">
        <f>13190</f>
        <v>13190.0</v>
      </c>
      <c r="T205" s="32" t="n">
        <f>121890</f>
        <v>121890.0</v>
      </c>
      <c r="U205" s="32" t="n">
        <f>2500</f>
        <v>2500.0</v>
      </c>
      <c r="V205" s="32" t="n">
        <f>1625911530</f>
        <v>1.62591153E9</v>
      </c>
      <c r="W205" s="32" t="n">
        <f>34195000</f>
        <v>3.4195E7</v>
      </c>
      <c r="X205" s="36" t="n">
        <f>19</f>
        <v>19.0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629</v>
      </c>
      <c r="J206" s="32" t="n">
        <v>1.0</v>
      </c>
      <c r="K206" s="33" t="n">
        <f>12050</f>
        <v>12050.0</v>
      </c>
      <c r="L206" s="34" t="s">
        <v>48</v>
      </c>
      <c r="M206" s="33" t="n">
        <f>12680</f>
        <v>12680.0</v>
      </c>
      <c r="N206" s="34" t="s">
        <v>69</v>
      </c>
      <c r="O206" s="33" t="n">
        <f>11710</f>
        <v>11710.0</v>
      </c>
      <c r="P206" s="34" t="s">
        <v>77</v>
      </c>
      <c r="Q206" s="33" t="n">
        <f>11860</f>
        <v>11860.0</v>
      </c>
      <c r="R206" s="34" t="s">
        <v>50</v>
      </c>
      <c r="S206" s="35" t="n">
        <f>12193.33</f>
        <v>12193.33</v>
      </c>
      <c r="T206" s="32" t="n">
        <f>6310</f>
        <v>6310.0</v>
      </c>
      <c r="U206" s="32" t="n">
        <f>1800</f>
        <v>1800.0</v>
      </c>
      <c r="V206" s="32" t="n">
        <f>78194080</f>
        <v>7.819408E7</v>
      </c>
      <c r="W206" s="32" t="n">
        <f>23002200</f>
        <v>2.30022E7</v>
      </c>
      <c r="X206" s="36" t="n">
        <f>18</f>
        <v>18.0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629</v>
      </c>
      <c r="J207" s="32" t="n">
        <v>1.0</v>
      </c>
      <c r="K207" s="33" t="n">
        <f>15300</f>
        <v>15300.0</v>
      </c>
      <c r="L207" s="34" t="s">
        <v>48</v>
      </c>
      <c r="M207" s="33" t="n">
        <f>15780</f>
        <v>15780.0</v>
      </c>
      <c r="N207" s="34" t="s">
        <v>49</v>
      </c>
      <c r="O207" s="33" t="n">
        <f>14970</f>
        <v>14970.0</v>
      </c>
      <c r="P207" s="34" t="s">
        <v>77</v>
      </c>
      <c r="Q207" s="33" t="n">
        <f>15270</f>
        <v>15270.0</v>
      </c>
      <c r="R207" s="34" t="s">
        <v>50</v>
      </c>
      <c r="S207" s="35" t="n">
        <f>15463.16</f>
        <v>15463.16</v>
      </c>
      <c r="T207" s="32" t="n">
        <f>22025</f>
        <v>22025.0</v>
      </c>
      <c r="U207" s="32" t="n">
        <f>4000</f>
        <v>4000.0</v>
      </c>
      <c r="V207" s="32" t="n">
        <f>341980220</f>
        <v>3.4198022E8</v>
      </c>
      <c r="W207" s="32" t="n">
        <f>62684000</f>
        <v>6.2684E7</v>
      </c>
      <c r="X207" s="36" t="n">
        <f>19</f>
        <v>19.0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629</v>
      </c>
      <c r="J208" s="32" t="n">
        <v>1.0</v>
      </c>
      <c r="K208" s="33" t="n">
        <f>12500</f>
        <v>12500.0</v>
      </c>
      <c r="L208" s="34" t="s">
        <v>48</v>
      </c>
      <c r="M208" s="33" t="n">
        <f>13360</f>
        <v>13360.0</v>
      </c>
      <c r="N208" s="34" t="s">
        <v>371</v>
      </c>
      <c r="O208" s="33" t="n">
        <f>12500</f>
        <v>12500.0</v>
      </c>
      <c r="P208" s="34" t="s">
        <v>48</v>
      </c>
      <c r="Q208" s="33" t="n">
        <f>12970</f>
        <v>12970.0</v>
      </c>
      <c r="R208" s="34" t="s">
        <v>50</v>
      </c>
      <c r="S208" s="35" t="n">
        <f>12910.59</f>
        <v>12910.59</v>
      </c>
      <c r="T208" s="32" t="n">
        <f>626</f>
        <v>626.0</v>
      </c>
      <c r="U208" s="32" t="str">
        <f>"－"</f>
        <v>－</v>
      </c>
      <c r="V208" s="32" t="n">
        <f>8085450</f>
        <v>8085450.0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629</v>
      </c>
      <c r="J209" s="32" t="n">
        <v>1.0</v>
      </c>
      <c r="K209" s="33" t="n">
        <f>11330</f>
        <v>11330.0</v>
      </c>
      <c r="L209" s="34" t="s">
        <v>48</v>
      </c>
      <c r="M209" s="33" t="n">
        <f>12740</f>
        <v>12740.0</v>
      </c>
      <c r="N209" s="34" t="s">
        <v>268</v>
      </c>
      <c r="O209" s="33" t="n">
        <f>11120</f>
        <v>11120.0</v>
      </c>
      <c r="P209" s="34" t="s">
        <v>50</v>
      </c>
      <c r="Q209" s="33" t="n">
        <f>11310</f>
        <v>11310.0</v>
      </c>
      <c r="R209" s="34" t="s">
        <v>50</v>
      </c>
      <c r="S209" s="35" t="n">
        <f>11929.47</f>
        <v>11929.47</v>
      </c>
      <c r="T209" s="32" t="n">
        <f>55308</f>
        <v>55308.0</v>
      </c>
      <c r="U209" s="32" t="str">
        <f>"－"</f>
        <v>－</v>
      </c>
      <c r="V209" s="32" t="n">
        <f>657676900</f>
        <v>6.576769E8</v>
      </c>
      <c r="W209" s="32" t="str">
        <f>"－"</f>
        <v>－</v>
      </c>
      <c r="X209" s="36" t="n">
        <f>19</f>
        <v>19.0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629</v>
      </c>
      <c r="J210" s="32" t="n">
        <v>1.0</v>
      </c>
      <c r="K210" s="33" t="n">
        <f>4665</f>
        <v>4665.0</v>
      </c>
      <c r="L210" s="34" t="s">
        <v>48</v>
      </c>
      <c r="M210" s="33" t="n">
        <f>4870</f>
        <v>4870.0</v>
      </c>
      <c r="N210" s="34" t="s">
        <v>88</v>
      </c>
      <c r="O210" s="33" t="n">
        <f>4465</f>
        <v>4465.0</v>
      </c>
      <c r="P210" s="34" t="s">
        <v>268</v>
      </c>
      <c r="Q210" s="33" t="n">
        <f>4815</f>
        <v>4815.0</v>
      </c>
      <c r="R210" s="34" t="s">
        <v>50</v>
      </c>
      <c r="S210" s="35" t="n">
        <f>4612.63</f>
        <v>4612.63</v>
      </c>
      <c r="T210" s="32" t="n">
        <f>4276</f>
        <v>4276.0</v>
      </c>
      <c r="U210" s="32" t="str">
        <f>"－"</f>
        <v>－</v>
      </c>
      <c r="V210" s="32" t="n">
        <f>19640655</f>
        <v>1.9640655E7</v>
      </c>
      <c r="W210" s="32" t="str">
        <f>"－"</f>
        <v>－</v>
      </c>
      <c r="X210" s="36" t="n">
        <f>19</f>
        <v>19.0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629</v>
      </c>
      <c r="J211" s="32" t="n">
        <v>1.0</v>
      </c>
      <c r="K211" s="33" t="n">
        <f>8800</f>
        <v>8800.0</v>
      </c>
      <c r="L211" s="34" t="s">
        <v>77</v>
      </c>
      <c r="M211" s="33" t="n">
        <f>9510</f>
        <v>9510.0</v>
      </c>
      <c r="N211" s="34" t="s">
        <v>69</v>
      </c>
      <c r="O211" s="33" t="n">
        <f>8740</f>
        <v>8740.0</v>
      </c>
      <c r="P211" s="34" t="s">
        <v>77</v>
      </c>
      <c r="Q211" s="33" t="n">
        <f>9240</f>
        <v>9240.0</v>
      </c>
      <c r="R211" s="34" t="s">
        <v>88</v>
      </c>
      <c r="S211" s="35" t="n">
        <f>9245.38</f>
        <v>9245.38</v>
      </c>
      <c r="T211" s="32" t="n">
        <f>3447</f>
        <v>3447.0</v>
      </c>
      <c r="U211" s="32" t="n">
        <f>1</f>
        <v>1.0</v>
      </c>
      <c r="V211" s="32" t="n">
        <f>31821940</f>
        <v>3.182194E7</v>
      </c>
      <c r="W211" s="32" t="n">
        <f>9190</f>
        <v>9190.0</v>
      </c>
      <c r="X211" s="36" t="n">
        <f>13</f>
        <v>13.0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629</v>
      </c>
      <c r="J212" s="32" t="n">
        <v>1.0</v>
      </c>
      <c r="K212" s="33" t="n">
        <f>11000</f>
        <v>11000.0</v>
      </c>
      <c r="L212" s="34" t="s">
        <v>172</v>
      </c>
      <c r="M212" s="33" t="n">
        <f>11410</f>
        <v>11410.0</v>
      </c>
      <c r="N212" s="34" t="s">
        <v>49</v>
      </c>
      <c r="O212" s="33" t="n">
        <f>10990</f>
        <v>10990.0</v>
      </c>
      <c r="P212" s="34" t="s">
        <v>371</v>
      </c>
      <c r="Q212" s="33" t="n">
        <f>10990</f>
        <v>10990.0</v>
      </c>
      <c r="R212" s="34" t="s">
        <v>50</v>
      </c>
      <c r="S212" s="35" t="n">
        <f>11148.57</f>
        <v>11148.57</v>
      </c>
      <c r="T212" s="32" t="n">
        <f>702</f>
        <v>702.0</v>
      </c>
      <c r="U212" s="32" t="str">
        <f>"－"</f>
        <v>－</v>
      </c>
      <c r="V212" s="32" t="n">
        <f>7815660</f>
        <v>7815660.0</v>
      </c>
      <c r="W212" s="32" t="str">
        <f>"－"</f>
        <v>－</v>
      </c>
      <c r="X212" s="36" t="n">
        <f>14</f>
        <v>14.0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629</v>
      </c>
      <c r="J213" s="32" t="n">
        <v>1.0</v>
      </c>
      <c r="K213" s="33" t="n">
        <f>10660</f>
        <v>10660.0</v>
      </c>
      <c r="L213" s="34" t="s">
        <v>77</v>
      </c>
      <c r="M213" s="33" t="n">
        <f>11570</f>
        <v>11570.0</v>
      </c>
      <c r="N213" s="34" t="s">
        <v>49</v>
      </c>
      <c r="O213" s="33" t="n">
        <f>10660</f>
        <v>10660.0</v>
      </c>
      <c r="P213" s="34" t="s">
        <v>77</v>
      </c>
      <c r="Q213" s="33" t="n">
        <f>11270</f>
        <v>11270.0</v>
      </c>
      <c r="R213" s="34" t="s">
        <v>50</v>
      </c>
      <c r="S213" s="35" t="n">
        <f>11226.25</f>
        <v>11226.25</v>
      </c>
      <c r="T213" s="32" t="n">
        <f>213</f>
        <v>213.0</v>
      </c>
      <c r="U213" s="32" t="str">
        <f>"－"</f>
        <v>－</v>
      </c>
      <c r="V213" s="32" t="n">
        <f>2338670</f>
        <v>2338670.0</v>
      </c>
      <c r="W213" s="32" t="str">
        <f>"－"</f>
        <v>－</v>
      </c>
      <c r="X213" s="36" t="n">
        <f>8</f>
        <v>8.0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629</v>
      </c>
      <c r="J214" s="32" t="n">
        <v>1.0</v>
      </c>
      <c r="K214" s="33" t="n">
        <f>11080</f>
        <v>11080.0</v>
      </c>
      <c r="L214" s="34" t="s">
        <v>48</v>
      </c>
      <c r="M214" s="33" t="n">
        <f>11420</f>
        <v>11420.0</v>
      </c>
      <c r="N214" s="34" t="s">
        <v>50</v>
      </c>
      <c r="O214" s="33" t="n">
        <f>10850</f>
        <v>10850.0</v>
      </c>
      <c r="P214" s="34" t="s">
        <v>69</v>
      </c>
      <c r="Q214" s="33" t="n">
        <f>11420</f>
        <v>11420.0</v>
      </c>
      <c r="R214" s="34" t="s">
        <v>50</v>
      </c>
      <c r="S214" s="35" t="n">
        <f>11100</f>
        <v>11100.0</v>
      </c>
      <c r="T214" s="32" t="n">
        <f>10549</f>
        <v>10549.0</v>
      </c>
      <c r="U214" s="32" t="n">
        <f>4000</f>
        <v>4000.0</v>
      </c>
      <c r="V214" s="32" t="n">
        <f>115660890</f>
        <v>1.1566089E8</v>
      </c>
      <c r="W214" s="32" t="n">
        <f>43700000</f>
        <v>4.37E7</v>
      </c>
      <c r="X214" s="36" t="n">
        <f>10</f>
        <v>10.0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629</v>
      </c>
      <c r="J215" s="32" t="n">
        <v>1.0</v>
      </c>
      <c r="K215" s="33" t="n">
        <f>11000</f>
        <v>11000.0</v>
      </c>
      <c r="L215" s="34" t="s">
        <v>48</v>
      </c>
      <c r="M215" s="33" t="n">
        <f>11600</f>
        <v>11600.0</v>
      </c>
      <c r="N215" s="34" t="s">
        <v>268</v>
      </c>
      <c r="O215" s="33" t="n">
        <f>10680</f>
        <v>10680.0</v>
      </c>
      <c r="P215" s="34" t="s">
        <v>48</v>
      </c>
      <c r="Q215" s="33" t="n">
        <f>11290</f>
        <v>11290.0</v>
      </c>
      <c r="R215" s="34" t="s">
        <v>50</v>
      </c>
      <c r="S215" s="35" t="n">
        <f>11288.89</f>
        <v>11288.89</v>
      </c>
      <c r="T215" s="32" t="n">
        <f>7971</f>
        <v>7971.0</v>
      </c>
      <c r="U215" s="32" t="str">
        <f>"－"</f>
        <v>－</v>
      </c>
      <c r="V215" s="32" t="n">
        <f>89900010</f>
        <v>8.990001E7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629</v>
      </c>
      <c r="J216" s="32" t="n">
        <v>1.0</v>
      </c>
      <c r="K216" s="33" t="n">
        <f>12060</f>
        <v>12060.0</v>
      </c>
      <c r="L216" s="34" t="s">
        <v>48</v>
      </c>
      <c r="M216" s="33" t="n">
        <f>13020</f>
        <v>13020.0</v>
      </c>
      <c r="N216" s="34" t="s">
        <v>69</v>
      </c>
      <c r="O216" s="33" t="n">
        <f>12060</f>
        <v>12060.0</v>
      </c>
      <c r="P216" s="34" t="s">
        <v>48</v>
      </c>
      <c r="Q216" s="33" t="n">
        <f>12960</f>
        <v>12960.0</v>
      </c>
      <c r="R216" s="34" t="s">
        <v>132</v>
      </c>
      <c r="S216" s="35" t="n">
        <f>12621.67</f>
        <v>12621.67</v>
      </c>
      <c r="T216" s="32" t="n">
        <f>4002</f>
        <v>4002.0</v>
      </c>
      <c r="U216" s="32" t="n">
        <f>500</f>
        <v>500.0</v>
      </c>
      <c r="V216" s="32" t="n">
        <f>50124800</f>
        <v>5.01248E7</v>
      </c>
      <c r="W216" s="32" t="n">
        <f>6405500</f>
        <v>6405500.0</v>
      </c>
      <c r="X216" s="36" t="n">
        <f>6</f>
        <v>6.0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629</v>
      </c>
      <c r="J217" s="32" t="n">
        <v>1.0</v>
      </c>
      <c r="K217" s="33" t="str">
        <f>"－"</f>
        <v>－</v>
      </c>
      <c r="L217" s="34"/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5" t="str">
        <f>"－"</f>
        <v>－</v>
      </c>
      <c r="T217" s="32" t="str">
        <f>"－"</f>
        <v>－</v>
      </c>
      <c r="U217" s="32" t="str">
        <f>"－"</f>
        <v>－</v>
      </c>
      <c r="V217" s="32" t="str">
        <f>"－"</f>
        <v>－</v>
      </c>
      <c r="W217" s="32" t="str">
        <f>"－"</f>
        <v>－</v>
      </c>
      <c r="X217" s="36" t="str">
        <f>"－"</f>
        <v>－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629</v>
      </c>
      <c r="J218" s="32" t="n">
        <v>1.0</v>
      </c>
      <c r="K218" s="33" t="n">
        <f>10300</f>
        <v>10300.0</v>
      </c>
      <c r="L218" s="34" t="s">
        <v>48</v>
      </c>
      <c r="M218" s="33" t="n">
        <f>10650</f>
        <v>10650.0</v>
      </c>
      <c r="N218" s="34" t="s">
        <v>49</v>
      </c>
      <c r="O218" s="33" t="n">
        <f>10170</f>
        <v>10170.0</v>
      </c>
      <c r="P218" s="34" t="s">
        <v>84</v>
      </c>
      <c r="Q218" s="33" t="n">
        <f>10370</f>
        <v>10370.0</v>
      </c>
      <c r="R218" s="34" t="s">
        <v>50</v>
      </c>
      <c r="S218" s="35" t="n">
        <f>10454.44</f>
        <v>10454.44</v>
      </c>
      <c r="T218" s="32" t="n">
        <f>21298</f>
        <v>21298.0</v>
      </c>
      <c r="U218" s="32" t="str">
        <f>"－"</f>
        <v>－</v>
      </c>
      <c r="V218" s="32" t="n">
        <f>223269220</f>
        <v>2.2326922E8</v>
      </c>
      <c r="W218" s="32" t="str">
        <f>"－"</f>
        <v>－</v>
      </c>
      <c r="X218" s="36" t="n">
        <f>18</f>
        <v>18.0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629</v>
      </c>
      <c r="J219" s="32" t="n">
        <v>1.0</v>
      </c>
      <c r="K219" s="33" t="n">
        <f>10430</f>
        <v>10430.0</v>
      </c>
      <c r="L219" s="34" t="s">
        <v>48</v>
      </c>
      <c r="M219" s="33" t="n">
        <f>10920</f>
        <v>10920.0</v>
      </c>
      <c r="N219" s="34" t="s">
        <v>49</v>
      </c>
      <c r="O219" s="33" t="n">
        <f>10190</f>
        <v>10190.0</v>
      </c>
      <c r="P219" s="34" t="s">
        <v>48</v>
      </c>
      <c r="Q219" s="33" t="n">
        <f>10470</f>
        <v>10470.0</v>
      </c>
      <c r="R219" s="34" t="s">
        <v>50</v>
      </c>
      <c r="S219" s="35" t="n">
        <f>10630.53</f>
        <v>10630.53</v>
      </c>
      <c r="T219" s="32" t="n">
        <f>121273</f>
        <v>121273.0</v>
      </c>
      <c r="U219" s="32" t="str">
        <f>"－"</f>
        <v>－</v>
      </c>
      <c r="V219" s="32" t="n">
        <f>1292951610</f>
        <v>1.29295161E9</v>
      </c>
      <c r="W219" s="32" t="str">
        <f>"－"</f>
        <v>－</v>
      </c>
      <c r="X219" s="36" t="n">
        <f>19</f>
        <v>19.0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629</v>
      </c>
      <c r="J220" s="32" t="n">
        <v>1.0</v>
      </c>
      <c r="K220" s="33" t="n">
        <f>10180</f>
        <v>10180.0</v>
      </c>
      <c r="L220" s="34" t="s">
        <v>48</v>
      </c>
      <c r="M220" s="33" t="n">
        <f>10580</f>
        <v>10580.0</v>
      </c>
      <c r="N220" s="34" t="s">
        <v>50</v>
      </c>
      <c r="O220" s="33" t="n">
        <f>10000</f>
        <v>10000.0</v>
      </c>
      <c r="P220" s="34" t="s">
        <v>48</v>
      </c>
      <c r="Q220" s="33" t="n">
        <f>10340</f>
        <v>10340.0</v>
      </c>
      <c r="R220" s="34" t="s">
        <v>50</v>
      </c>
      <c r="S220" s="35" t="n">
        <f>10306.67</f>
        <v>10306.67</v>
      </c>
      <c r="T220" s="32" t="n">
        <f>48728</f>
        <v>48728.0</v>
      </c>
      <c r="U220" s="32" t="str">
        <f>"－"</f>
        <v>－</v>
      </c>
      <c r="V220" s="32" t="n">
        <f>505769430</f>
        <v>5.0576943E8</v>
      </c>
      <c r="W220" s="32" t="str">
        <f>"－"</f>
        <v>－</v>
      </c>
      <c r="X220" s="36" t="n">
        <f>18</f>
        <v>18.0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999</f>
        <v>999.0</v>
      </c>
      <c r="L221" s="34" t="s">
        <v>48</v>
      </c>
      <c r="M221" s="33" t="n">
        <f>1000</f>
        <v>1000.0</v>
      </c>
      <c r="N221" s="34" t="s">
        <v>84</v>
      </c>
      <c r="O221" s="33" t="n">
        <f>995</f>
        <v>995.0</v>
      </c>
      <c r="P221" s="34" t="s">
        <v>100</v>
      </c>
      <c r="Q221" s="33" t="n">
        <f>996</f>
        <v>996.0</v>
      </c>
      <c r="R221" s="34" t="s">
        <v>50</v>
      </c>
      <c r="S221" s="35" t="n">
        <f>997.53</f>
        <v>997.53</v>
      </c>
      <c r="T221" s="32" t="n">
        <f>1416060</f>
        <v>1416060.0</v>
      </c>
      <c r="U221" s="32" t="n">
        <f>713170</f>
        <v>713170.0</v>
      </c>
      <c r="V221" s="32" t="n">
        <f>1412469333</f>
        <v>1.412469333E9</v>
      </c>
      <c r="W221" s="32" t="n">
        <f>711428673</f>
        <v>7.11428673E8</v>
      </c>
      <c r="X221" s="36" t="n">
        <f>19</f>
        <v>19.0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1015</f>
        <v>1015.0</v>
      </c>
      <c r="L222" s="34" t="s">
        <v>48</v>
      </c>
      <c r="M222" s="33" t="n">
        <f>1015</f>
        <v>1015.0</v>
      </c>
      <c r="N222" s="34" t="s">
        <v>48</v>
      </c>
      <c r="O222" s="33" t="n">
        <f>996</f>
        <v>996.0</v>
      </c>
      <c r="P222" s="34" t="s">
        <v>613</v>
      </c>
      <c r="Q222" s="33" t="n">
        <f>1005</f>
        <v>1005.0</v>
      </c>
      <c r="R222" s="34" t="s">
        <v>50</v>
      </c>
      <c r="S222" s="35" t="n">
        <f>1001.95</f>
        <v>1001.95</v>
      </c>
      <c r="T222" s="32" t="n">
        <f>1438220</f>
        <v>1438220.0</v>
      </c>
      <c r="U222" s="32" t="n">
        <f>302060</f>
        <v>302060.0</v>
      </c>
      <c r="V222" s="32" t="n">
        <f>1439944500</f>
        <v>1.4399445E9</v>
      </c>
      <c r="W222" s="32" t="n">
        <f>301335380</f>
        <v>3.0133538E8</v>
      </c>
      <c r="X222" s="36" t="n">
        <f>19</f>
        <v>19.0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1070</f>
        <v>1070.0</v>
      </c>
      <c r="L223" s="34" t="s">
        <v>48</v>
      </c>
      <c r="M223" s="33" t="n">
        <f>1070</f>
        <v>1070.0</v>
      </c>
      <c r="N223" s="34" t="s">
        <v>48</v>
      </c>
      <c r="O223" s="33" t="n">
        <f>1048</f>
        <v>1048.0</v>
      </c>
      <c r="P223" s="34" t="s">
        <v>92</v>
      </c>
      <c r="Q223" s="33" t="n">
        <f>1053</f>
        <v>1053.0</v>
      </c>
      <c r="R223" s="34" t="s">
        <v>50</v>
      </c>
      <c r="S223" s="35" t="n">
        <f>1053.32</f>
        <v>1053.32</v>
      </c>
      <c r="T223" s="32" t="n">
        <f>2322310</f>
        <v>2322310.0</v>
      </c>
      <c r="U223" s="32" t="n">
        <f>1836470</f>
        <v>1836470.0</v>
      </c>
      <c r="V223" s="32" t="n">
        <f>2446237533</f>
        <v>2.446237533E9</v>
      </c>
      <c r="W223" s="32" t="n">
        <f>1934004163</f>
        <v>1.934004163E9</v>
      </c>
      <c r="X223" s="36" t="n">
        <f>19</f>
        <v>19.0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1245</f>
        <v>1245.0</v>
      </c>
      <c r="L224" s="34" t="s">
        <v>48</v>
      </c>
      <c r="M224" s="33" t="n">
        <f>1283</f>
        <v>1283.0</v>
      </c>
      <c r="N224" s="34" t="s">
        <v>176</v>
      </c>
      <c r="O224" s="33" t="n">
        <f>1221</f>
        <v>1221.0</v>
      </c>
      <c r="P224" s="34" t="s">
        <v>77</v>
      </c>
      <c r="Q224" s="33" t="n">
        <f>1249</f>
        <v>1249.0</v>
      </c>
      <c r="R224" s="34" t="s">
        <v>50</v>
      </c>
      <c r="S224" s="35" t="n">
        <f>1260.11</f>
        <v>1260.11</v>
      </c>
      <c r="T224" s="32" t="n">
        <f>968820</f>
        <v>968820.0</v>
      </c>
      <c r="U224" s="32" t="n">
        <f>560900</f>
        <v>560900.0</v>
      </c>
      <c r="V224" s="32" t="n">
        <f>1217749410</f>
        <v>1.21774941E9</v>
      </c>
      <c r="W224" s="32" t="n">
        <f>704242700</f>
        <v>7.042427E8</v>
      </c>
      <c r="X224" s="36" t="n">
        <f>19</f>
        <v>19.0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1300</f>
        <v>1300.0</v>
      </c>
      <c r="L225" s="34" t="s">
        <v>48</v>
      </c>
      <c r="M225" s="33" t="n">
        <f>1343</f>
        <v>1343.0</v>
      </c>
      <c r="N225" s="34" t="s">
        <v>268</v>
      </c>
      <c r="O225" s="33" t="n">
        <f>1285</f>
        <v>1285.0</v>
      </c>
      <c r="P225" s="34" t="s">
        <v>77</v>
      </c>
      <c r="Q225" s="33" t="n">
        <f>1298</f>
        <v>1298.0</v>
      </c>
      <c r="R225" s="34" t="s">
        <v>50</v>
      </c>
      <c r="S225" s="35" t="n">
        <f>1317</f>
        <v>1317.0</v>
      </c>
      <c r="T225" s="32" t="n">
        <f>381830</f>
        <v>381830.0</v>
      </c>
      <c r="U225" s="32" t="n">
        <f>155000</f>
        <v>155000.0</v>
      </c>
      <c r="V225" s="32" t="n">
        <f>505494645</f>
        <v>5.05494645E8</v>
      </c>
      <c r="W225" s="32" t="n">
        <f>205982445</f>
        <v>2.05982445E8</v>
      </c>
      <c r="X225" s="36" t="n">
        <f>19</f>
        <v>19.0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916</f>
        <v>916.0</v>
      </c>
      <c r="L226" s="34" t="s">
        <v>48</v>
      </c>
      <c r="M226" s="33" t="n">
        <f>925</f>
        <v>925.0</v>
      </c>
      <c r="N226" s="34" t="s">
        <v>50</v>
      </c>
      <c r="O226" s="33" t="n">
        <f>877</f>
        <v>877.0</v>
      </c>
      <c r="P226" s="34" t="s">
        <v>77</v>
      </c>
      <c r="Q226" s="33" t="n">
        <f>916</f>
        <v>916.0</v>
      </c>
      <c r="R226" s="34" t="s">
        <v>50</v>
      </c>
      <c r="S226" s="35" t="n">
        <f>902.84</f>
        <v>902.84</v>
      </c>
      <c r="T226" s="32" t="n">
        <f>558630</f>
        <v>558630.0</v>
      </c>
      <c r="U226" s="32" t="n">
        <f>141940</f>
        <v>141940.0</v>
      </c>
      <c r="V226" s="32" t="n">
        <f>505532781</f>
        <v>5.05532781E8</v>
      </c>
      <c r="W226" s="32" t="n">
        <f>130709601</f>
        <v>1.30709601E8</v>
      </c>
      <c r="X226" s="36" t="n">
        <f>19</f>
        <v>19.0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923</f>
        <v>923.0</v>
      </c>
      <c r="L227" s="34" t="s">
        <v>48</v>
      </c>
      <c r="M227" s="33" t="n">
        <f>1000</f>
        <v>1000.0</v>
      </c>
      <c r="N227" s="34" t="s">
        <v>176</v>
      </c>
      <c r="O227" s="33" t="n">
        <f>903</f>
        <v>903.0</v>
      </c>
      <c r="P227" s="34" t="s">
        <v>48</v>
      </c>
      <c r="Q227" s="33" t="n">
        <f>924</f>
        <v>924.0</v>
      </c>
      <c r="R227" s="34" t="s">
        <v>50</v>
      </c>
      <c r="S227" s="35" t="n">
        <f>948.47</f>
        <v>948.47</v>
      </c>
      <c r="T227" s="32" t="n">
        <f>10590030</f>
        <v>1.059003E7</v>
      </c>
      <c r="U227" s="32" t="n">
        <f>54570</f>
        <v>54570.0</v>
      </c>
      <c r="V227" s="32" t="n">
        <f>10035829010</f>
        <v>1.003582901E10</v>
      </c>
      <c r="W227" s="32" t="n">
        <f>54047480</f>
        <v>5.404748E7</v>
      </c>
      <c r="X227" s="36" t="n">
        <f>19</f>
        <v>19.0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1053</f>
        <v>1053.0</v>
      </c>
      <c r="L228" s="34" t="s">
        <v>48</v>
      </c>
      <c r="M228" s="33" t="n">
        <f>1087</f>
        <v>1087.0</v>
      </c>
      <c r="N228" s="34" t="s">
        <v>50</v>
      </c>
      <c r="O228" s="33" t="n">
        <f>1030</f>
        <v>1030.0</v>
      </c>
      <c r="P228" s="34" t="s">
        <v>48</v>
      </c>
      <c r="Q228" s="33" t="n">
        <f>1077</f>
        <v>1077.0</v>
      </c>
      <c r="R228" s="34" t="s">
        <v>50</v>
      </c>
      <c r="S228" s="35" t="n">
        <f>1048.53</f>
        <v>1048.53</v>
      </c>
      <c r="T228" s="32" t="n">
        <f>183900</f>
        <v>183900.0</v>
      </c>
      <c r="U228" s="32" t="str">
        <f>"－"</f>
        <v>－</v>
      </c>
      <c r="V228" s="32" t="n">
        <f>195661040</f>
        <v>1.9566104E8</v>
      </c>
      <c r="W228" s="32" t="str">
        <f>"－"</f>
        <v>－</v>
      </c>
      <c r="X228" s="36" t="n">
        <f>19</f>
        <v>19.0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1063</f>
        <v>1063.0</v>
      </c>
      <c r="L229" s="34" t="s">
        <v>48</v>
      </c>
      <c r="M229" s="33" t="n">
        <f>1117</f>
        <v>1117.0</v>
      </c>
      <c r="N229" s="34" t="s">
        <v>49</v>
      </c>
      <c r="O229" s="33" t="n">
        <f>1043</f>
        <v>1043.0</v>
      </c>
      <c r="P229" s="34" t="s">
        <v>48</v>
      </c>
      <c r="Q229" s="33" t="n">
        <f>1064</f>
        <v>1064.0</v>
      </c>
      <c r="R229" s="34" t="s">
        <v>50</v>
      </c>
      <c r="S229" s="35" t="n">
        <f>1087.47</f>
        <v>1087.47</v>
      </c>
      <c r="T229" s="32" t="n">
        <f>42871</f>
        <v>42871.0</v>
      </c>
      <c r="U229" s="32" t="str">
        <f>"－"</f>
        <v>－</v>
      </c>
      <c r="V229" s="32" t="n">
        <f>46946722</f>
        <v>4.6946722E7</v>
      </c>
      <c r="W229" s="32" t="str">
        <f>"－"</f>
        <v>－</v>
      </c>
      <c r="X229" s="36" t="n">
        <f>19</f>
        <v>19.0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1037</f>
        <v>1037.0</v>
      </c>
      <c r="L230" s="34" t="s">
        <v>48</v>
      </c>
      <c r="M230" s="33" t="n">
        <f>1037</f>
        <v>1037.0</v>
      </c>
      <c r="N230" s="34" t="s">
        <v>48</v>
      </c>
      <c r="O230" s="33" t="n">
        <f>1010</f>
        <v>1010.0</v>
      </c>
      <c r="P230" s="34" t="s">
        <v>92</v>
      </c>
      <c r="Q230" s="33" t="n">
        <f>1022</f>
        <v>1022.0</v>
      </c>
      <c r="R230" s="34" t="s">
        <v>50</v>
      </c>
      <c r="S230" s="35" t="n">
        <f>1018.11</f>
        <v>1018.11</v>
      </c>
      <c r="T230" s="32" t="n">
        <f>112080</f>
        <v>112080.0</v>
      </c>
      <c r="U230" s="32" t="n">
        <f>49860</f>
        <v>49860.0</v>
      </c>
      <c r="V230" s="32" t="n">
        <f>114271243</f>
        <v>1.14271243E8</v>
      </c>
      <c r="W230" s="32" t="n">
        <f>50818223</f>
        <v>5.0818223E7</v>
      </c>
      <c r="X230" s="36" t="n">
        <f>19</f>
        <v>19.0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1154</f>
        <v>1154.0</v>
      </c>
      <c r="L231" s="34" t="s">
        <v>48</v>
      </c>
      <c r="M231" s="33" t="n">
        <f>1292</f>
        <v>1292.0</v>
      </c>
      <c r="N231" s="34" t="s">
        <v>268</v>
      </c>
      <c r="O231" s="33" t="n">
        <f>1141</f>
        <v>1141.0</v>
      </c>
      <c r="P231" s="34" t="s">
        <v>48</v>
      </c>
      <c r="Q231" s="33" t="n">
        <f>1210</f>
        <v>1210.0</v>
      </c>
      <c r="R231" s="34" t="s">
        <v>50</v>
      </c>
      <c r="S231" s="35" t="n">
        <f>1214.79</f>
        <v>1214.79</v>
      </c>
      <c r="T231" s="32" t="n">
        <f>143910</f>
        <v>143910.0</v>
      </c>
      <c r="U231" s="32" t="n">
        <f>28860</f>
        <v>28860.0</v>
      </c>
      <c r="V231" s="32" t="n">
        <f>173552304</f>
        <v>1.73552304E8</v>
      </c>
      <c r="W231" s="32" t="n">
        <f>35653354</f>
        <v>3.5653354E7</v>
      </c>
      <c r="X231" s="36" t="n">
        <f>19</f>
        <v>19.0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1317</f>
        <v>1317.0</v>
      </c>
      <c r="L232" s="34" t="s">
        <v>48</v>
      </c>
      <c r="M232" s="33" t="n">
        <f>1349</f>
        <v>1349.0</v>
      </c>
      <c r="N232" s="34" t="s">
        <v>96</v>
      </c>
      <c r="O232" s="33" t="n">
        <f>1291</f>
        <v>1291.0</v>
      </c>
      <c r="P232" s="34" t="s">
        <v>88</v>
      </c>
      <c r="Q232" s="33" t="n">
        <f>1299</f>
        <v>1299.0</v>
      </c>
      <c r="R232" s="34" t="s">
        <v>50</v>
      </c>
      <c r="S232" s="35" t="n">
        <f>1324.42</f>
        <v>1324.42</v>
      </c>
      <c r="T232" s="32" t="n">
        <f>12687910</f>
        <v>1.268791E7</v>
      </c>
      <c r="U232" s="32" t="n">
        <f>4059850</f>
        <v>4059850.0</v>
      </c>
      <c r="V232" s="32" t="n">
        <f>16787337084</f>
        <v>1.6787337084E10</v>
      </c>
      <c r="W232" s="32" t="n">
        <f>5368279314</f>
        <v>5.368279314E9</v>
      </c>
      <c r="X232" s="36" t="n">
        <f>19</f>
        <v>19.0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3265</f>
        <v>3265.0</v>
      </c>
      <c r="L233" s="34" t="s">
        <v>48</v>
      </c>
      <c r="M233" s="33" t="n">
        <f>3520</f>
        <v>3520.0</v>
      </c>
      <c r="N233" s="34" t="s">
        <v>176</v>
      </c>
      <c r="O233" s="33" t="n">
        <f>3250</f>
        <v>3250.0</v>
      </c>
      <c r="P233" s="34" t="s">
        <v>48</v>
      </c>
      <c r="Q233" s="33" t="n">
        <f>3385</f>
        <v>3385.0</v>
      </c>
      <c r="R233" s="34" t="s">
        <v>50</v>
      </c>
      <c r="S233" s="35" t="n">
        <f>3418.16</f>
        <v>3418.16</v>
      </c>
      <c r="T233" s="32" t="n">
        <f>143011</f>
        <v>143011.0</v>
      </c>
      <c r="U233" s="32" t="str">
        <f>"－"</f>
        <v>－</v>
      </c>
      <c r="V233" s="32" t="n">
        <f>489966975</f>
        <v>4.89966975E8</v>
      </c>
      <c r="W233" s="32" t="str">
        <f>"－"</f>
        <v>－</v>
      </c>
      <c r="X233" s="36" t="n">
        <f>19</f>
        <v>19.0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1700</f>
        <v>1700.0</v>
      </c>
      <c r="L234" s="34" t="s">
        <v>48</v>
      </c>
      <c r="M234" s="33" t="n">
        <f>2050</f>
        <v>2050.0</v>
      </c>
      <c r="N234" s="34" t="s">
        <v>371</v>
      </c>
      <c r="O234" s="33" t="n">
        <f>1640</f>
        <v>1640.0</v>
      </c>
      <c r="P234" s="34" t="s">
        <v>50</v>
      </c>
      <c r="Q234" s="33" t="n">
        <f>1642</f>
        <v>1642.0</v>
      </c>
      <c r="R234" s="34" t="s">
        <v>50</v>
      </c>
      <c r="S234" s="35" t="n">
        <f>1738.24</f>
        <v>1738.24</v>
      </c>
      <c r="T234" s="32" t="n">
        <f>9350</f>
        <v>9350.0</v>
      </c>
      <c r="U234" s="32" t="str">
        <f>"－"</f>
        <v>－</v>
      </c>
      <c r="V234" s="32" t="n">
        <f>16360680</f>
        <v>1.636068E7</v>
      </c>
      <c r="W234" s="32" t="str">
        <f>"－"</f>
        <v>－</v>
      </c>
      <c r="X234" s="36" t="n">
        <f>17</f>
        <v>17.0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1844</f>
        <v>1844.0</v>
      </c>
      <c r="L235" s="34" t="s">
        <v>48</v>
      </c>
      <c r="M235" s="33" t="n">
        <f>1918</f>
        <v>1918.0</v>
      </c>
      <c r="N235" s="34" t="s">
        <v>49</v>
      </c>
      <c r="O235" s="33" t="n">
        <f>1811</f>
        <v>1811.0</v>
      </c>
      <c r="P235" s="34" t="s">
        <v>48</v>
      </c>
      <c r="Q235" s="33" t="n">
        <f>1837</f>
        <v>1837.0</v>
      </c>
      <c r="R235" s="34" t="s">
        <v>50</v>
      </c>
      <c r="S235" s="35" t="n">
        <f>1870.54</f>
        <v>1870.54</v>
      </c>
      <c r="T235" s="32" t="n">
        <f>165170</f>
        <v>165170.0</v>
      </c>
      <c r="U235" s="32" t="str">
        <f>"－"</f>
        <v>－</v>
      </c>
      <c r="V235" s="32" t="n">
        <f>303974430</f>
        <v>3.0397443E8</v>
      </c>
      <c r="W235" s="32" t="str">
        <f>"－"</f>
        <v>－</v>
      </c>
      <c r="X235" s="36" t="n">
        <f>13</f>
        <v>13.0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27810</f>
        <v>27810.0</v>
      </c>
      <c r="L236" s="34" t="s">
        <v>48</v>
      </c>
      <c r="M236" s="33" t="n">
        <f>29210</f>
        <v>29210.0</v>
      </c>
      <c r="N236" s="34" t="s">
        <v>371</v>
      </c>
      <c r="O236" s="33" t="n">
        <f>27380</f>
        <v>27380.0</v>
      </c>
      <c r="P236" s="34" t="s">
        <v>77</v>
      </c>
      <c r="Q236" s="33" t="n">
        <f>28080</f>
        <v>28080.0</v>
      </c>
      <c r="R236" s="34" t="s">
        <v>50</v>
      </c>
      <c r="S236" s="35" t="n">
        <f>28458.67</f>
        <v>28458.67</v>
      </c>
      <c r="T236" s="32" t="n">
        <f>199</f>
        <v>199.0</v>
      </c>
      <c r="U236" s="32" t="str">
        <f>"－"</f>
        <v>－</v>
      </c>
      <c r="V236" s="32" t="n">
        <f>5716780</f>
        <v>5716780.0</v>
      </c>
      <c r="W236" s="32" t="str">
        <f>"－"</f>
        <v>－</v>
      </c>
      <c r="X236" s="36" t="n">
        <f>15</f>
        <v>15.0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16990</f>
        <v>16990.0</v>
      </c>
      <c r="L237" s="34" t="s">
        <v>48</v>
      </c>
      <c r="M237" s="33" t="n">
        <f>17270</f>
        <v>17270.0</v>
      </c>
      <c r="N237" s="34" t="s">
        <v>69</v>
      </c>
      <c r="O237" s="33" t="n">
        <f>16420</f>
        <v>16420.0</v>
      </c>
      <c r="P237" s="34" t="s">
        <v>84</v>
      </c>
      <c r="Q237" s="33" t="n">
        <f>16970</f>
        <v>16970.0</v>
      </c>
      <c r="R237" s="34" t="s">
        <v>50</v>
      </c>
      <c r="S237" s="35" t="n">
        <f>16911.43</f>
        <v>16911.43</v>
      </c>
      <c r="T237" s="32" t="n">
        <f>65671</f>
        <v>65671.0</v>
      </c>
      <c r="U237" s="32" t="str">
        <f>"－"</f>
        <v>－</v>
      </c>
      <c r="V237" s="32" t="n">
        <f>1108852010</f>
        <v>1.10885201E9</v>
      </c>
      <c r="W237" s="32" t="str">
        <f>"－"</f>
        <v>－</v>
      </c>
      <c r="X237" s="36" t="n">
        <f>14</f>
        <v>14.0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1090</f>
        <v>1090.0</v>
      </c>
      <c r="L238" s="34" t="s">
        <v>48</v>
      </c>
      <c r="M238" s="33" t="n">
        <f>1100</f>
        <v>1100.0</v>
      </c>
      <c r="N238" s="34" t="s">
        <v>84</v>
      </c>
      <c r="O238" s="33" t="n">
        <f>1039</f>
        <v>1039.0</v>
      </c>
      <c r="P238" s="34" t="s">
        <v>69</v>
      </c>
      <c r="Q238" s="33" t="n">
        <f>1080</f>
        <v>1080.0</v>
      </c>
      <c r="R238" s="34" t="s">
        <v>50</v>
      </c>
      <c r="S238" s="35" t="n">
        <f>1069.4</f>
        <v>1069.4</v>
      </c>
      <c r="T238" s="32" t="n">
        <f>157150</f>
        <v>157150.0</v>
      </c>
      <c r="U238" s="32" t="n">
        <f>60000</f>
        <v>60000.0</v>
      </c>
      <c r="V238" s="32" t="n">
        <f>168275040</f>
        <v>1.6827504E8</v>
      </c>
      <c r="W238" s="32" t="n">
        <f>63929400</f>
        <v>6.39294E7</v>
      </c>
      <c r="X238" s="36" t="n">
        <f>10</f>
        <v>10.0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1051</f>
        <v>1051.0</v>
      </c>
      <c r="L239" s="34" t="s">
        <v>48</v>
      </c>
      <c r="M239" s="33" t="n">
        <f>1081</f>
        <v>1081.0</v>
      </c>
      <c r="N239" s="34" t="s">
        <v>50</v>
      </c>
      <c r="O239" s="33" t="n">
        <f>1028</f>
        <v>1028.0</v>
      </c>
      <c r="P239" s="34" t="s">
        <v>48</v>
      </c>
      <c r="Q239" s="33" t="n">
        <f>1073</f>
        <v>1073.0</v>
      </c>
      <c r="R239" s="34" t="s">
        <v>50</v>
      </c>
      <c r="S239" s="35" t="n">
        <f>1045.89</f>
        <v>1045.89</v>
      </c>
      <c r="T239" s="32" t="n">
        <f>10650</f>
        <v>10650.0</v>
      </c>
      <c r="U239" s="32" t="str">
        <f>"－"</f>
        <v>－</v>
      </c>
      <c r="V239" s="32" t="n">
        <f>11202410</f>
        <v>1.120241E7</v>
      </c>
      <c r="W239" s="32" t="str">
        <f>"－"</f>
        <v>－</v>
      </c>
      <c r="X239" s="36" t="n">
        <f>19</f>
        <v>19.0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960</f>
        <v>960.0</v>
      </c>
      <c r="L240" s="34" t="s">
        <v>48</v>
      </c>
      <c r="M240" s="33" t="n">
        <f>1005</f>
        <v>1005.0</v>
      </c>
      <c r="N240" s="34" t="s">
        <v>49</v>
      </c>
      <c r="O240" s="33" t="n">
        <f>942</f>
        <v>942.0</v>
      </c>
      <c r="P240" s="34" t="s">
        <v>48</v>
      </c>
      <c r="Q240" s="33" t="n">
        <f>978</f>
        <v>978.0</v>
      </c>
      <c r="R240" s="34" t="s">
        <v>50</v>
      </c>
      <c r="S240" s="35" t="n">
        <f>984.47</f>
        <v>984.47</v>
      </c>
      <c r="T240" s="32" t="n">
        <f>26128</f>
        <v>26128.0</v>
      </c>
      <c r="U240" s="32" t="str">
        <f>"－"</f>
        <v>－</v>
      </c>
      <c r="V240" s="32" t="n">
        <f>25697098</f>
        <v>2.5697098E7</v>
      </c>
      <c r="W240" s="32" t="str">
        <f>"－"</f>
        <v>－</v>
      </c>
      <c r="X240" s="36" t="n">
        <f>19</f>
        <v>19.0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12990</f>
        <v>12990.0</v>
      </c>
      <c r="L241" s="34" t="s">
        <v>48</v>
      </c>
      <c r="M241" s="33" t="n">
        <f>14400</f>
        <v>14400.0</v>
      </c>
      <c r="N241" s="34" t="s">
        <v>92</v>
      </c>
      <c r="O241" s="33" t="n">
        <f>12500</f>
        <v>12500.0</v>
      </c>
      <c r="P241" s="34" t="s">
        <v>48</v>
      </c>
      <c r="Q241" s="33" t="n">
        <f>13950</f>
        <v>13950.0</v>
      </c>
      <c r="R241" s="34" t="s">
        <v>50</v>
      </c>
      <c r="S241" s="35" t="n">
        <f>13932.63</f>
        <v>13932.63</v>
      </c>
      <c r="T241" s="32" t="n">
        <f>3983</f>
        <v>3983.0</v>
      </c>
      <c r="U241" s="32" t="str">
        <f>"－"</f>
        <v>－</v>
      </c>
      <c r="V241" s="32" t="n">
        <f>55299150</f>
        <v>5.529915E7</v>
      </c>
      <c r="W241" s="32" t="str">
        <f>"－"</f>
        <v>－</v>
      </c>
      <c r="X241" s="36" t="n">
        <f>19</f>
        <v>19.0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1911</f>
        <v>1911.0</v>
      </c>
      <c r="L242" s="34" t="s">
        <v>48</v>
      </c>
      <c r="M242" s="33" t="n">
        <f>1976</f>
        <v>1976.0</v>
      </c>
      <c r="N242" s="34" t="s">
        <v>50</v>
      </c>
      <c r="O242" s="33" t="n">
        <f>1869</f>
        <v>1869.0</v>
      </c>
      <c r="P242" s="34" t="s">
        <v>48</v>
      </c>
      <c r="Q242" s="33" t="n">
        <f>1962</f>
        <v>1962.0</v>
      </c>
      <c r="R242" s="34" t="s">
        <v>50</v>
      </c>
      <c r="S242" s="35" t="n">
        <f>1903.58</f>
        <v>1903.58</v>
      </c>
      <c r="T242" s="32" t="n">
        <f>13246</f>
        <v>13246.0</v>
      </c>
      <c r="U242" s="32" t="str">
        <f>"－"</f>
        <v>－</v>
      </c>
      <c r="V242" s="32" t="n">
        <f>25331699</f>
        <v>2.5331699E7</v>
      </c>
      <c r="W242" s="32" t="str">
        <f>"－"</f>
        <v>－</v>
      </c>
      <c r="X242" s="36" t="n">
        <f>19</f>
        <v>19.0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1359</f>
        <v>1359.0</v>
      </c>
      <c r="L243" s="34" t="s">
        <v>48</v>
      </c>
      <c r="M243" s="33" t="n">
        <f>1450</f>
        <v>1450.0</v>
      </c>
      <c r="N243" s="34" t="s">
        <v>96</v>
      </c>
      <c r="O243" s="33" t="n">
        <f>1301</f>
        <v>1301.0</v>
      </c>
      <c r="P243" s="34" t="s">
        <v>48</v>
      </c>
      <c r="Q243" s="33" t="n">
        <f>1427</f>
        <v>1427.0</v>
      </c>
      <c r="R243" s="34" t="s">
        <v>50</v>
      </c>
      <c r="S243" s="35" t="n">
        <f>1392.68</f>
        <v>1392.68</v>
      </c>
      <c r="T243" s="32" t="n">
        <f>4120</f>
        <v>4120.0</v>
      </c>
      <c r="U243" s="32" t="str">
        <f>"－"</f>
        <v>－</v>
      </c>
      <c r="V243" s="32" t="n">
        <f>5736280</f>
        <v>5736280.0</v>
      </c>
      <c r="W243" s="32" t="str">
        <f>"－"</f>
        <v>－</v>
      </c>
      <c r="X243" s="36" t="n">
        <f>19</f>
        <v>19.0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1030</f>
        <v>1030.0</v>
      </c>
      <c r="L244" s="34" t="s">
        <v>48</v>
      </c>
      <c r="M244" s="33" t="n">
        <f>1032</f>
        <v>1032.0</v>
      </c>
      <c r="N244" s="34" t="s">
        <v>48</v>
      </c>
      <c r="O244" s="33" t="n">
        <f>1023</f>
        <v>1023.0</v>
      </c>
      <c r="P244" s="34" t="s">
        <v>131</v>
      </c>
      <c r="Q244" s="33" t="n">
        <f>1028</f>
        <v>1028.0</v>
      </c>
      <c r="R244" s="34" t="s">
        <v>50</v>
      </c>
      <c r="S244" s="35" t="n">
        <f>1028.21</f>
        <v>1028.21</v>
      </c>
      <c r="T244" s="32" t="n">
        <f>411130</f>
        <v>411130.0</v>
      </c>
      <c r="U244" s="32" t="n">
        <f>248410</f>
        <v>248410.0</v>
      </c>
      <c r="V244" s="32" t="n">
        <f>423055552</f>
        <v>4.23055552E8</v>
      </c>
      <c r="W244" s="32" t="n">
        <f>255796072</f>
        <v>2.55796072E8</v>
      </c>
      <c r="X244" s="36" t="n">
        <f>19</f>
        <v>19.0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1831</f>
        <v>1831.0</v>
      </c>
      <c r="L245" s="34" t="s">
        <v>48</v>
      </c>
      <c r="M245" s="33" t="n">
        <f>1899</f>
        <v>1899.0</v>
      </c>
      <c r="N245" s="34" t="s">
        <v>50</v>
      </c>
      <c r="O245" s="33" t="n">
        <f>1773</f>
        <v>1773.0</v>
      </c>
      <c r="P245" s="34" t="s">
        <v>92</v>
      </c>
      <c r="Q245" s="33" t="n">
        <f>1875</f>
        <v>1875.0</v>
      </c>
      <c r="R245" s="34" t="s">
        <v>50</v>
      </c>
      <c r="S245" s="35" t="n">
        <f>1813.21</f>
        <v>1813.21</v>
      </c>
      <c r="T245" s="32" t="n">
        <f>209530</f>
        <v>209530.0</v>
      </c>
      <c r="U245" s="32" t="n">
        <f>55000</f>
        <v>55000.0</v>
      </c>
      <c r="V245" s="32" t="n">
        <f>378566660</f>
        <v>3.7856666E8</v>
      </c>
      <c r="W245" s="32" t="n">
        <f>97396700</f>
        <v>9.73967E7</v>
      </c>
      <c r="X245" s="36" t="n">
        <f>19</f>
        <v>19.0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1874</f>
        <v>1874.0</v>
      </c>
      <c r="L246" s="34" t="s">
        <v>48</v>
      </c>
      <c r="M246" s="33" t="n">
        <f>1944</f>
        <v>1944.0</v>
      </c>
      <c r="N246" s="34" t="s">
        <v>48</v>
      </c>
      <c r="O246" s="33" t="n">
        <f>1793</f>
        <v>1793.0</v>
      </c>
      <c r="P246" s="34" t="s">
        <v>613</v>
      </c>
      <c r="Q246" s="33" t="n">
        <f>1872</f>
        <v>1872.0</v>
      </c>
      <c r="R246" s="34" t="s">
        <v>50</v>
      </c>
      <c r="S246" s="35" t="n">
        <f>1832.63</f>
        <v>1832.63</v>
      </c>
      <c r="T246" s="32" t="n">
        <f>671390</f>
        <v>671390.0</v>
      </c>
      <c r="U246" s="32" t="n">
        <f>481210</f>
        <v>481210.0</v>
      </c>
      <c r="V246" s="32" t="n">
        <f>1212801609</f>
        <v>1.212801609E9</v>
      </c>
      <c r="W246" s="32" t="n">
        <f>864482239</f>
        <v>8.64482239E8</v>
      </c>
      <c r="X246" s="36" t="n">
        <f>19</f>
        <v>19.0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1816</f>
        <v>1816.0</v>
      </c>
      <c r="L247" s="34" t="s">
        <v>48</v>
      </c>
      <c r="M247" s="33" t="n">
        <f>1879</f>
        <v>1879.0</v>
      </c>
      <c r="N247" s="34" t="s">
        <v>49</v>
      </c>
      <c r="O247" s="33" t="n">
        <f>1796</f>
        <v>1796.0</v>
      </c>
      <c r="P247" s="34" t="s">
        <v>84</v>
      </c>
      <c r="Q247" s="33" t="n">
        <f>1862</f>
        <v>1862.0</v>
      </c>
      <c r="R247" s="34" t="s">
        <v>69</v>
      </c>
      <c r="S247" s="35" t="n">
        <f>1843.71</f>
        <v>1843.71</v>
      </c>
      <c r="T247" s="32" t="n">
        <f>42130</f>
        <v>42130.0</v>
      </c>
      <c r="U247" s="32" t="str">
        <f>"－"</f>
        <v>－</v>
      </c>
      <c r="V247" s="32" t="n">
        <f>78772120</f>
        <v>7.877212E7</v>
      </c>
      <c r="W247" s="32" t="str">
        <f>"－"</f>
        <v>－</v>
      </c>
      <c r="X247" s="36" t="n">
        <f>7</f>
        <v>7.0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11080</f>
        <v>11080.0</v>
      </c>
      <c r="L248" s="34" t="s">
        <v>48</v>
      </c>
      <c r="M248" s="33" t="n">
        <f>11450</f>
        <v>11450.0</v>
      </c>
      <c r="N248" s="34" t="s">
        <v>176</v>
      </c>
      <c r="O248" s="33" t="n">
        <f>10860</f>
        <v>10860.0</v>
      </c>
      <c r="P248" s="34" t="s">
        <v>77</v>
      </c>
      <c r="Q248" s="33" t="n">
        <f>11160</f>
        <v>11160.0</v>
      </c>
      <c r="R248" s="34" t="s">
        <v>50</v>
      </c>
      <c r="S248" s="35" t="n">
        <f>11236.32</f>
        <v>11236.32</v>
      </c>
      <c r="T248" s="32" t="n">
        <f>283776</f>
        <v>283776.0</v>
      </c>
      <c r="U248" s="32" t="n">
        <f>35707</f>
        <v>35707.0</v>
      </c>
      <c r="V248" s="32" t="n">
        <f>3177263058</f>
        <v>3.177263058E9</v>
      </c>
      <c r="W248" s="32" t="n">
        <f>401595708</f>
        <v>4.01595708E8</v>
      </c>
      <c r="X248" s="36" t="n">
        <f>19</f>
        <v>19.0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10970</f>
        <v>10970.0</v>
      </c>
      <c r="L249" s="34" t="s">
        <v>48</v>
      </c>
      <c r="M249" s="33" t="n">
        <f>11490</f>
        <v>11490.0</v>
      </c>
      <c r="N249" s="34" t="s">
        <v>268</v>
      </c>
      <c r="O249" s="33" t="n">
        <f>10870</f>
        <v>10870.0</v>
      </c>
      <c r="P249" s="34" t="s">
        <v>77</v>
      </c>
      <c r="Q249" s="33" t="n">
        <f>11080</f>
        <v>11080.0</v>
      </c>
      <c r="R249" s="34" t="s">
        <v>50</v>
      </c>
      <c r="S249" s="35" t="n">
        <f>11226.84</f>
        <v>11226.84</v>
      </c>
      <c r="T249" s="32" t="n">
        <f>97107</f>
        <v>97107.0</v>
      </c>
      <c r="U249" s="32" t="n">
        <f>3</f>
        <v>3.0</v>
      </c>
      <c r="V249" s="32" t="n">
        <f>1087115680</f>
        <v>1.08711568E9</v>
      </c>
      <c r="W249" s="32" t="n">
        <f>33270</f>
        <v>33270.0</v>
      </c>
      <c r="X249" s="36" t="n">
        <f>19</f>
        <v>19.0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24060</f>
        <v>24060.0</v>
      </c>
      <c r="L250" s="34" t="s">
        <v>48</v>
      </c>
      <c r="M250" s="33" t="n">
        <f>25300</f>
        <v>25300.0</v>
      </c>
      <c r="N250" s="34" t="s">
        <v>132</v>
      </c>
      <c r="O250" s="33" t="n">
        <f>23660</f>
        <v>23660.0</v>
      </c>
      <c r="P250" s="34" t="s">
        <v>132</v>
      </c>
      <c r="Q250" s="33" t="n">
        <f>24150</f>
        <v>24150.0</v>
      </c>
      <c r="R250" s="34" t="s">
        <v>50</v>
      </c>
      <c r="S250" s="35" t="n">
        <f>24461.05</f>
        <v>24461.05</v>
      </c>
      <c r="T250" s="32" t="n">
        <f>1326</f>
        <v>1326.0</v>
      </c>
      <c r="U250" s="32" t="str">
        <f>"－"</f>
        <v>－</v>
      </c>
      <c r="V250" s="32" t="n">
        <f>32710420</f>
        <v>3.271042E7</v>
      </c>
      <c r="W250" s="32" t="str">
        <f>"－"</f>
        <v>－</v>
      </c>
      <c r="X250" s="36" t="n">
        <f>19</f>
        <v>19.0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2736</f>
        <v>2736.0</v>
      </c>
      <c r="L251" s="34" t="s">
        <v>48</v>
      </c>
      <c r="M251" s="33" t="n">
        <f>2737</f>
        <v>2737.0</v>
      </c>
      <c r="N251" s="34" t="s">
        <v>84</v>
      </c>
      <c r="O251" s="33" t="n">
        <f>2720</f>
        <v>2720.0</v>
      </c>
      <c r="P251" s="34" t="s">
        <v>100</v>
      </c>
      <c r="Q251" s="33" t="n">
        <f>2721</f>
        <v>2721.0</v>
      </c>
      <c r="R251" s="34" t="s">
        <v>50</v>
      </c>
      <c r="S251" s="35" t="n">
        <f>2724.68</f>
        <v>2724.68</v>
      </c>
      <c r="T251" s="32" t="n">
        <f>701190</f>
        <v>701190.0</v>
      </c>
      <c r="U251" s="32" t="n">
        <f>669940</f>
        <v>669940.0</v>
      </c>
      <c r="V251" s="32" t="n">
        <f>1909771822</f>
        <v>1.909771822E9</v>
      </c>
      <c r="W251" s="32" t="n">
        <f>1824562347</f>
        <v>1.824562347E9</v>
      </c>
      <c r="X251" s="36" t="n">
        <f>19</f>
        <v>19.0</v>
      </c>
    </row>
    <row r="252">
      <c r="A252" s="27" t="s">
        <v>42</v>
      </c>
      <c r="B252" s="27" t="s">
        <v>801</v>
      </c>
      <c r="C252" s="27" t="s">
        <v>802</v>
      </c>
      <c r="D252" s="27" t="s">
        <v>803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2649</f>
        <v>2649.0</v>
      </c>
      <c r="L252" s="34" t="s">
        <v>48</v>
      </c>
      <c r="M252" s="33" t="n">
        <f>2695</f>
        <v>2695.0</v>
      </c>
      <c r="N252" s="34" t="s">
        <v>268</v>
      </c>
      <c r="O252" s="33" t="n">
        <f>2594</f>
        <v>2594.0</v>
      </c>
      <c r="P252" s="34" t="s">
        <v>88</v>
      </c>
      <c r="Q252" s="33" t="n">
        <f>2606</f>
        <v>2606.0</v>
      </c>
      <c r="R252" s="34" t="s">
        <v>50</v>
      </c>
      <c r="S252" s="35" t="n">
        <f>2657.47</f>
        <v>2657.47</v>
      </c>
      <c r="T252" s="32" t="n">
        <f>2084260</f>
        <v>2084260.0</v>
      </c>
      <c r="U252" s="32" t="n">
        <f>747700</f>
        <v>747700.0</v>
      </c>
      <c r="V252" s="32" t="n">
        <f>5541071183</f>
        <v>5.541071183E9</v>
      </c>
      <c r="W252" s="32" t="n">
        <f>1990974083</f>
        <v>1.990974083E9</v>
      </c>
      <c r="X252" s="36" t="n">
        <f>19</f>
        <v>19.0</v>
      </c>
    </row>
    <row r="253">
      <c r="A253" s="27" t="s">
        <v>42</v>
      </c>
      <c r="B253" s="27" t="s">
        <v>804</v>
      </c>
      <c r="C253" s="27" t="s">
        <v>805</v>
      </c>
      <c r="D253" s="27" t="s">
        <v>806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2436</f>
        <v>2436.0</v>
      </c>
      <c r="L253" s="34" t="s">
        <v>48</v>
      </c>
      <c r="M253" s="33" t="n">
        <f>2507</f>
        <v>2507.0</v>
      </c>
      <c r="N253" s="34" t="s">
        <v>268</v>
      </c>
      <c r="O253" s="33" t="n">
        <f>2395</f>
        <v>2395.0</v>
      </c>
      <c r="P253" s="34" t="s">
        <v>77</v>
      </c>
      <c r="Q253" s="33" t="n">
        <f>2425</f>
        <v>2425.0</v>
      </c>
      <c r="R253" s="34" t="s">
        <v>50</v>
      </c>
      <c r="S253" s="35" t="n">
        <f>2457.74</f>
        <v>2457.74</v>
      </c>
      <c r="T253" s="32" t="n">
        <f>3236949</f>
        <v>3236949.0</v>
      </c>
      <c r="U253" s="32" t="n">
        <f>2310505</f>
        <v>2310505.0</v>
      </c>
      <c r="V253" s="32" t="n">
        <f>7942136792</f>
        <v>7.942136792E9</v>
      </c>
      <c r="W253" s="32" t="n">
        <f>5657839261</f>
        <v>5.657839261E9</v>
      </c>
      <c r="X253" s="36" t="n">
        <f>19</f>
        <v>19.0</v>
      </c>
    </row>
    <row r="254">
      <c r="A254" s="27" t="s">
        <v>42</v>
      </c>
      <c r="B254" s="27" t="s">
        <v>807</v>
      </c>
      <c r="C254" s="27" t="s">
        <v>808</v>
      </c>
      <c r="D254" s="27" t="s">
        <v>809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1619</f>
        <v>1619.0</v>
      </c>
      <c r="L254" s="34" t="s">
        <v>48</v>
      </c>
      <c r="M254" s="33" t="n">
        <f>1707</f>
        <v>1707.0</v>
      </c>
      <c r="N254" s="34" t="s">
        <v>49</v>
      </c>
      <c r="O254" s="33" t="n">
        <f>1590</f>
        <v>1590.0</v>
      </c>
      <c r="P254" s="34" t="s">
        <v>48</v>
      </c>
      <c r="Q254" s="33" t="n">
        <f>1656</f>
        <v>1656.0</v>
      </c>
      <c r="R254" s="34" t="s">
        <v>50</v>
      </c>
      <c r="S254" s="35" t="n">
        <f>1664.74</f>
        <v>1664.74</v>
      </c>
      <c r="T254" s="32" t="n">
        <f>236264</f>
        <v>236264.0</v>
      </c>
      <c r="U254" s="32" t="n">
        <f>225000</f>
        <v>225000.0</v>
      </c>
      <c r="V254" s="32" t="n">
        <f>395074581</f>
        <v>3.95074581E8</v>
      </c>
      <c r="W254" s="32" t="n">
        <f>376364250</f>
        <v>3.7636425E8</v>
      </c>
      <c r="X254" s="36" t="n">
        <f>19</f>
        <v>19.0</v>
      </c>
    </row>
    <row r="255">
      <c r="A255" s="27" t="s">
        <v>42</v>
      </c>
      <c r="B255" s="27" t="s">
        <v>810</v>
      </c>
      <c r="C255" s="27" t="s">
        <v>811</v>
      </c>
      <c r="D255" s="27" t="s">
        <v>812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1045</f>
        <v>1045.0</v>
      </c>
      <c r="L255" s="34" t="s">
        <v>48</v>
      </c>
      <c r="M255" s="33" t="n">
        <f>1079</f>
        <v>1079.0</v>
      </c>
      <c r="N255" s="34" t="s">
        <v>50</v>
      </c>
      <c r="O255" s="33" t="n">
        <f>1031</f>
        <v>1031.0</v>
      </c>
      <c r="P255" s="34" t="s">
        <v>69</v>
      </c>
      <c r="Q255" s="33" t="n">
        <f>1069</f>
        <v>1069.0</v>
      </c>
      <c r="R255" s="34" t="s">
        <v>50</v>
      </c>
      <c r="S255" s="35" t="n">
        <f>1053.84</f>
        <v>1053.84</v>
      </c>
      <c r="T255" s="32" t="n">
        <f>251403</f>
        <v>251403.0</v>
      </c>
      <c r="U255" s="32" t="n">
        <f>80000</f>
        <v>80000.0</v>
      </c>
      <c r="V255" s="32" t="n">
        <f>263680918</f>
        <v>2.63680918E8</v>
      </c>
      <c r="W255" s="32" t="n">
        <f>83008000</f>
        <v>8.3008E7</v>
      </c>
      <c r="X255" s="36" t="n">
        <f>19</f>
        <v>19.0</v>
      </c>
    </row>
    <row r="256">
      <c r="A256" s="27" t="s">
        <v>42</v>
      </c>
      <c r="B256" s="27" t="s">
        <v>813</v>
      </c>
      <c r="C256" s="27" t="s">
        <v>814</v>
      </c>
      <c r="D256" s="27" t="s">
        <v>815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1000</f>
        <v>1000.0</v>
      </c>
      <c r="L256" s="34" t="s">
        <v>48</v>
      </c>
      <c r="M256" s="33" t="n">
        <f>1041</f>
        <v>1041.0</v>
      </c>
      <c r="N256" s="34" t="s">
        <v>50</v>
      </c>
      <c r="O256" s="33" t="n">
        <f>978</f>
        <v>978.0</v>
      </c>
      <c r="P256" s="34" t="s">
        <v>48</v>
      </c>
      <c r="Q256" s="33" t="n">
        <f>1029</f>
        <v>1029.0</v>
      </c>
      <c r="R256" s="34" t="s">
        <v>50</v>
      </c>
      <c r="S256" s="35" t="n">
        <f>1000.74</f>
        <v>1000.74</v>
      </c>
      <c r="T256" s="32" t="n">
        <f>270550</f>
        <v>270550.0</v>
      </c>
      <c r="U256" s="32" t="str">
        <f>"－"</f>
        <v>－</v>
      </c>
      <c r="V256" s="32" t="n">
        <f>269274920</f>
        <v>2.6927492E8</v>
      </c>
      <c r="W256" s="32" t="str">
        <f>"－"</f>
        <v>－</v>
      </c>
      <c r="X256" s="36" t="n">
        <f>19</f>
        <v>19.0</v>
      </c>
    </row>
    <row r="257">
      <c r="A257" s="27" t="s">
        <v>42</v>
      </c>
      <c r="B257" s="27" t="s">
        <v>816</v>
      </c>
      <c r="C257" s="27" t="s">
        <v>817</v>
      </c>
      <c r="D257" s="27" t="s">
        <v>818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253</f>
        <v>253.0</v>
      </c>
      <c r="L257" s="34" t="s">
        <v>48</v>
      </c>
      <c r="M257" s="33" t="n">
        <f>267</f>
        <v>267.0</v>
      </c>
      <c r="N257" s="34" t="s">
        <v>96</v>
      </c>
      <c r="O257" s="33" t="n">
        <f>234</f>
        <v>234.0</v>
      </c>
      <c r="P257" s="34" t="s">
        <v>77</v>
      </c>
      <c r="Q257" s="33" t="n">
        <f>244</f>
        <v>244.0</v>
      </c>
      <c r="R257" s="34" t="s">
        <v>50</v>
      </c>
      <c r="S257" s="35" t="n">
        <f>246.42</f>
        <v>246.42</v>
      </c>
      <c r="T257" s="32" t="n">
        <f>169420</f>
        <v>169420.0</v>
      </c>
      <c r="U257" s="32" t="str">
        <f>"－"</f>
        <v>－</v>
      </c>
      <c r="V257" s="32" t="n">
        <f>42127980</f>
        <v>4.212798E7</v>
      </c>
      <c r="W257" s="32" t="str">
        <f>"－"</f>
        <v>－</v>
      </c>
      <c r="X257" s="36" t="n">
        <f>19</f>
        <v>19.0</v>
      </c>
    </row>
    <row r="258">
      <c r="A258" s="27" t="s">
        <v>42</v>
      </c>
      <c r="B258" s="27" t="s">
        <v>819</v>
      </c>
      <c r="C258" s="27" t="s">
        <v>820</v>
      </c>
      <c r="D258" s="27" t="s">
        <v>821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2290</f>
        <v>2290.0</v>
      </c>
      <c r="L258" s="34" t="s">
        <v>48</v>
      </c>
      <c r="M258" s="33" t="n">
        <f>2424</f>
        <v>2424.0</v>
      </c>
      <c r="N258" s="34" t="s">
        <v>73</v>
      </c>
      <c r="O258" s="33" t="n">
        <f>2240</f>
        <v>2240.0</v>
      </c>
      <c r="P258" s="34" t="s">
        <v>77</v>
      </c>
      <c r="Q258" s="33" t="n">
        <f>2342</f>
        <v>2342.0</v>
      </c>
      <c r="R258" s="34" t="s">
        <v>50</v>
      </c>
      <c r="S258" s="35" t="n">
        <f>2327</f>
        <v>2327.0</v>
      </c>
      <c r="T258" s="32" t="n">
        <f>3016490</f>
        <v>3016490.0</v>
      </c>
      <c r="U258" s="32" t="n">
        <f>986250</f>
        <v>986250.0</v>
      </c>
      <c r="V258" s="32" t="n">
        <f>7029636565</f>
        <v>7.029636565E9</v>
      </c>
      <c r="W258" s="32" t="n">
        <f>2276152715</f>
        <v>2.276152715E9</v>
      </c>
      <c r="X258" s="36" t="n">
        <f>19</f>
        <v>19.0</v>
      </c>
    </row>
    <row r="259">
      <c r="A259" s="27" t="s">
        <v>42</v>
      </c>
      <c r="B259" s="27" t="s">
        <v>822</v>
      </c>
      <c r="C259" s="27" t="s">
        <v>823</v>
      </c>
      <c r="D259" s="27" t="s">
        <v>824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2320</f>
        <v>2320.0</v>
      </c>
      <c r="L259" s="34" t="s">
        <v>48</v>
      </c>
      <c r="M259" s="33" t="n">
        <f>2446</f>
        <v>2446.0</v>
      </c>
      <c r="N259" s="34" t="s">
        <v>176</v>
      </c>
      <c r="O259" s="33" t="n">
        <f>2268</f>
        <v>2268.0</v>
      </c>
      <c r="P259" s="34" t="s">
        <v>77</v>
      </c>
      <c r="Q259" s="33" t="n">
        <f>2340</f>
        <v>2340.0</v>
      </c>
      <c r="R259" s="34" t="s">
        <v>50</v>
      </c>
      <c r="S259" s="35" t="n">
        <f>2345.89</f>
        <v>2345.89</v>
      </c>
      <c r="T259" s="32" t="n">
        <f>4518320</f>
        <v>4518320.0</v>
      </c>
      <c r="U259" s="32" t="n">
        <f>1397560</f>
        <v>1397560.0</v>
      </c>
      <c r="V259" s="32" t="n">
        <f>10684432463</f>
        <v>1.0684432463E10</v>
      </c>
      <c r="W259" s="32" t="n">
        <f>3293522063</f>
        <v>3.293522063E9</v>
      </c>
      <c r="X259" s="36" t="n">
        <f>19</f>
        <v>19.0</v>
      </c>
    </row>
    <row r="260">
      <c r="A260" s="27" t="s">
        <v>42</v>
      </c>
      <c r="B260" s="27" t="s">
        <v>825</v>
      </c>
      <c r="C260" s="27" t="s">
        <v>826</v>
      </c>
      <c r="D260" s="27" t="s">
        <v>827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2471</f>
        <v>2471.0</v>
      </c>
      <c r="L260" s="34" t="s">
        <v>48</v>
      </c>
      <c r="M260" s="33" t="n">
        <f>2481</f>
        <v>2481.0</v>
      </c>
      <c r="N260" s="34" t="s">
        <v>131</v>
      </c>
      <c r="O260" s="33" t="n">
        <f>2432</f>
        <v>2432.0</v>
      </c>
      <c r="P260" s="34" t="s">
        <v>77</v>
      </c>
      <c r="Q260" s="33" t="n">
        <f>2479</f>
        <v>2479.0</v>
      </c>
      <c r="R260" s="34" t="s">
        <v>50</v>
      </c>
      <c r="S260" s="35" t="n">
        <f>2458.37</f>
        <v>2458.37</v>
      </c>
      <c r="T260" s="32" t="n">
        <f>37713</f>
        <v>37713.0</v>
      </c>
      <c r="U260" s="32" t="str">
        <f>"－"</f>
        <v>－</v>
      </c>
      <c r="V260" s="32" t="n">
        <f>92845472</f>
        <v>9.2845472E7</v>
      </c>
      <c r="W260" s="32" t="str">
        <f>"－"</f>
        <v>－</v>
      </c>
      <c r="X260" s="36" t="n">
        <f>19</f>
        <v>19.0</v>
      </c>
    </row>
    <row r="261">
      <c r="A261" s="27" t="s">
        <v>42</v>
      </c>
      <c r="B261" s="27" t="s">
        <v>828</v>
      </c>
      <c r="C261" s="27" t="s">
        <v>829</v>
      </c>
      <c r="D261" s="27" t="s">
        <v>830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2463</f>
        <v>2463.0</v>
      </c>
      <c r="L261" s="34" t="s">
        <v>48</v>
      </c>
      <c r="M261" s="33" t="n">
        <f>2463</f>
        <v>2463.0</v>
      </c>
      <c r="N261" s="34" t="s">
        <v>48</v>
      </c>
      <c r="O261" s="33" t="n">
        <f>2330</f>
        <v>2330.0</v>
      </c>
      <c r="P261" s="34" t="s">
        <v>131</v>
      </c>
      <c r="Q261" s="33" t="n">
        <f>2362</f>
        <v>2362.0</v>
      </c>
      <c r="R261" s="34" t="s">
        <v>50</v>
      </c>
      <c r="S261" s="35" t="n">
        <f>2360.42</f>
        <v>2360.42</v>
      </c>
      <c r="T261" s="32" t="n">
        <f>457799</f>
        <v>457799.0</v>
      </c>
      <c r="U261" s="32" t="n">
        <f>425000</f>
        <v>425000.0</v>
      </c>
      <c r="V261" s="32" t="n">
        <f>1073446698</f>
        <v>1.073446698E9</v>
      </c>
      <c r="W261" s="32" t="n">
        <f>996072500</f>
        <v>9.960725E8</v>
      </c>
      <c r="X261" s="36" t="n">
        <f>19</f>
        <v>19.0</v>
      </c>
    </row>
    <row r="262">
      <c r="A262" s="27" t="s">
        <v>42</v>
      </c>
      <c r="B262" s="27" t="s">
        <v>831</v>
      </c>
      <c r="C262" s="27" t="s">
        <v>832</v>
      </c>
      <c r="D262" s="27" t="s">
        <v>833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2610</f>
        <v>2610.0</v>
      </c>
      <c r="L262" s="34" t="s">
        <v>48</v>
      </c>
      <c r="M262" s="33" t="n">
        <f>2660</f>
        <v>2660.0</v>
      </c>
      <c r="N262" s="34" t="s">
        <v>84</v>
      </c>
      <c r="O262" s="33" t="n">
        <f>2543</f>
        <v>2543.0</v>
      </c>
      <c r="P262" s="34" t="s">
        <v>69</v>
      </c>
      <c r="Q262" s="33" t="n">
        <f>2562</f>
        <v>2562.0</v>
      </c>
      <c r="R262" s="34" t="s">
        <v>50</v>
      </c>
      <c r="S262" s="35" t="n">
        <f>2574</f>
        <v>2574.0</v>
      </c>
      <c r="T262" s="32" t="n">
        <f>3215</f>
        <v>3215.0</v>
      </c>
      <c r="U262" s="32" t="str">
        <f>"－"</f>
        <v>－</v>
      </c>
      <c r="V262" s="32" t="n">
        <f>8292511</f>
        <v>8292511.0</v>
      </c>
      <c r="W262" s="32" t="str">
        <f>"－"</f>
        <v>－</v>
      </c>
      <c r="X262" s="36" t="n">
        <f>19</f>
        <v>19.0</v>
      </c>
    </row>
    <row r="263">
      <c r="A263" s="27" t="s">
        <v>42</v>
      </c>
      <c r="B263" s="27" t="s">
        <v>834</v>
      </c>
      <c r="C263" s="27" t="s">
        <v>835</v>
      </c>
      <c r="D263" s="27" t="s">
        <v>836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2560</f>
        <v>2560.0</v>
      </c>
      <c r="L263" s="34" t="s">
        <v>48</v>
      </c>
      <c r="M263" s="33" t="n">
        <f>2575</f>
        <v>2575.0</v>
      </c>
      <c r="N263" s="34" t="s">
        <v>172</v>
      </c>
      <c r="O263" s="33" t="n">
        <f>2504</f>
        <v>2504.0</v>
      </c>
      <c r="P263" s="34" t="s">
        <v>92</v>
      </c>
      <c r="Q263" s="33" t="n">
        <f>2534</f>
        <v>2534.0</v>
      </c>
      <c r="R263" s="34" t="s">
        <v>50</v>
      </c>
      <c r="S263" s="35" t="n">
        <f>2541.21</f>
        <v>2541.21</v>
      </c>
      <c r="T263" s="32" t="n">
        <f>722</f>
        <v>722.0</v>
      </c>
      <c r="U263" s="32" t="str">
        <f>"－"</f>
        <v>－</v>
      </c>
      <c r="V263" s="32" t="n">
        <f>1834021</f>
        <v>1834021.0</v>
      </c>
      <c r="W263" s="32" t="str">
        <f>"－"</f>
        <v>－</v>
      </c>
      <c r="X263" s="36" t="n">
        <f>19</f>
        <v>19.0</v>
      </c>
    </row>
    <row r="264">
      <c r="A264" s="27" t="s">
        <v>42</v>
      </c>
      <c r="B264" s="27" t="s">
        <v>837</v>
      </c>
      <c r="C264" s="27" t="s">
        <v>838</v>
      </c>
      <c r="D264" s="27" t="s">
        <v>839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2765</f>
        <v>2765.0</v>
      </c>
      <c r="L264" s="34" t="s">
        <v>48</v>
      </c>
      <c r="M264" s="33" t="n">
        <f>2901</f>
        <v>2901.0</v>
      </c>
      <c r="N264" s="34" t="s">
        <v>49</v>
      </c>
      <c r="O264" s="33" t="n">
        <f>2705</f>
        <v>2705.0</v>
      </c>
      <c r="P264" s="34" t="s">
        <v>77</v>
      </c>
      <c r="Q264" s="33" t="n">
        <f>2769</f>
        <v>2769.0</v>
      </c>
      <c r="R264" s="34" t="s">
        <v>50</v>
      </c>
      <c r="S264" s="35" t="n">
        <f>2818.74</f>
        <v>2818.74</v>
      </c>
      <c r="T264" s="32" t="n">
        <f>123434</f>
        <v>123434.0</v>
      </c>
      <c r="U264" s="32" t="str">
        <f>"－"</f>
        <v>－</v>
      </c>
      <c r="V264" s="32" t="n">
        <f>345611189</f>
        <v>3.45611189E8</v>
      </c>
      <c r="W264" s="32" t="str">
        <f>"－"</f>
        <v>－</v>
      </c>
      <c r="X264" s="36" t="n">
        <f>19</f>
        <v>19.0</v>
      </c>
    </row>
    <row r="265">
      <c r="A265" s="27" t="s">
        <v>42</v>
      </c>
      <c r="B265" s="27" t="s">
        <v>840</v>
      </c>
      <c r="C265" s="27" t="s">
        <v>841</v>
      </c>
      <c r="D265" s="27" t="s">
        <v>842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1812</f>
        <v>1812.0</v>
      </c>
      <c r="L265" s="34" t="s">
        <v>48</v>
      </c>
      <c r="M265" s="33" t="n">
        <f>1888</f>
        <v>1888.0</v>
      </c>
      <c r="N265" s="34" t="s">
        <v>49</v>
      </c>
      <c r="O265" s="33" t="n">
        <f>1779</f>
        <v>1779.0</v>
      </c>
      <c r="P265" s="34" t="s">
        <v>48</v>
      </c>
      <c r="Q265" s="33" t="n">
        <f>1808</f>
        <v>1808.0</v>
      </c>
      <c r="R265" s="34" t="s">
        <v>50</v>
      </c>
      <c r="S265" s="35" t="n">
        <f>1842.16</f>
        <v>1842.16</v>
      </c>
      <c r="T265" s="32" t="n">
        <f>159056</f>
        <v>159056.0</v>
      </c>
      <c r="U265" s="32" t="str">
        <f>"－"</f>
        <v>－</v>
      </c>
      <c r="V265" s="32" t="n">
        <f>291421229</f>
        <v>2.91421229E8</v>
      </c>
      <c r="W265" s="32" t="str">
        <f>"－"</f>
        <v>－</v>
      </c>
      <c r="X265" s="36" t="n">
        <f>19</f>
        <v>19.0</v>
      </c>
    </row>
    <row r="266">
      <c r="A266" s="27" t="s">
        <v>42</v>
      </c>
      <c r="B266" s="27" t="s">
        <v>843</v>
      </c>
      <c r="C266" s="27" t="s">
        <v>844</v>
      </c>
      <c r="D266" s="27" t="s">
        <v>845</v>
      </c>
      <c r="E266" s="28" t="s">
        <v>846</v>
      </c>
      <c r="F266" s="29" t="s">
        <v>847</v>
      </c>
      <c r="G266" s="30" t="s">
        <v>848</v>
      </c>
      <c r="H266" s="31"/>
      <c r="I266" s="31" t="s">
        <v>47</v>
      </c>
      <c r="J266" s="32" t="n">
        <v>1.0</v>
      </c>
      <c r="K266" s="33" t="n">
        <f>2092</f>
        <v>2092.0</v>
      </c>
      <c r="L266" s="34" t="s">
        <v>73</v>
      </c>
      <c r="M266" s="33" t="n">
        <f>2148</f>
        <v>2148.0</v>
      </c>
      <c r="N266" s="34" t="s">
        <v>73</v>
      </c>
      <c r="O266" s="33" t="n">
        <f>2005</f>
        <v>2005.0</v>
      </c>
      <c r="P266" s="34" t="s">
        <v>50</v>
      </c>
      <c r="Q266" s="33" t="n">
        <f>2006</f>
        <v>2006.0</v>
      </c>
      <c r="R266" s="34" t="s">
        <v>50</v>
      </c>
      <c r="S266" s="35" t="n">
        <f>2044.67</f>
        <v>2044.67</v>
      </c>
      <c r="T266" s="32" t="n">
        <f>1722107</f>
        <v>1722107.0</v>
      </c>
      <c r="U266" s="32" t="n">
        <f>348068</f>
        <v>348068.0</v>
      </c>
      <c r="V266" s="32" t="n">
        <f>3579328255</f>
        <v>3.579328255E9</v>
      </c>
      <c r="W266" s="32" t="n">
        <f>725797682</f>
        <v>7.25797682E8</v>
      </c>
      <c r="X266" s="36" t="n">
        <f>3</f>
        <v>3.0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846</v>
      </c>
      <c r="F267" s="29" t="s">
        <v>847</v>
      </c>
      <c r="G267" s="30" t="s">
        <v>848</v>
      </c>
      <c r="H267" s="31"/>
      <c r="I267" s="31" t="s">
        <v>47</v>
      </c>
      <c r="J267" s="32" t="n">
        <v>1.0</v>
      </c>
      <c r="K267" s="33" t="n">
        <f>2178</f>
        <v>2178.0</v>
      </c>
      <c r="L267" s="34" t="s">
        <v>73</v>
      </c>
      <c r="M267" s="33" t="n">
        <f>2182</f>
        <v>2182.0</v>
      </c>
      <c r="N267" s="34" t="s">
        <v>73</v>
      </c>
      <c r="O267" s="33" t="n">
        <f>2085</f>
        <v>2085.0</v>
      </c>
      <c r="P267" s="34" t="s">
        <v>50</v>
      </c>
      <c r="Q267" s="33" t="n">
        <f>2089</f>
        <v>2089.0</v>
      </c>
      <c r="R267" s="34" t="s">
        <v>50</v>
      </c>
      <c r="S267" s="35" t="n">
        <f>2125.67</f>
        <v>2125.67</v>
      </c>
      <c r="T267" s="32" t="n">
        <f>928114</f>
        <v>928114.0</v>
      </c>
      <c r="U267" s="32" t="n">
        <f>261026</f>
        <v>261026.0</v>
      </c>
      <c r="V267" s="32" t="n">
        <f>2009166449</f>
        <v>2.009166449E9</v>
      </c>
      <c r="W267" s="32" t="n">
        <f>566934500</f>
        <v>5.669345E8</v>
      </c>
      <c r="X267" s="36" t="n">
        <f>3</f>
        <v>3.0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120600</f>
        <v>120600.0</v>
      </c>
      <c r="L268" s="34" t="s">
        <v>48</v>
      </c>
      <c r="M268" s="33" t="n">
        <f>124800</f>
        <v>124800.0</v>
      </c>
      <c r="N268" s="34" t="s">
        <v>240</v>
      </c>
      <c r="O268" s="33" t="n">
        <f>119000</f>
        <v>119000.0</v>
      </c>
      <c r="P268" s="34" t="s">
        <v>88</v>
      </c>
      <c r="Q268" s="33" t="n">
        <f>121600</f>
        <v>121600.0</v>
      </c>
      <c r="R268" s="34" t="s">
        <v>50</v>
      </c>
      <c r="S268" s="35" t="n">
        <f>121757.89</f>
        <v>121757.89</v>
      </c>
      <c r="T268" s="32" t="n">
        <f>22940</f>
        <v>22940.0</v>
      </c>
      <c r="U268" s="32" t="n">
        <f>2586</f>
        <v>2586.0</v>
      </c>
      <c r="V268" s="32" t="n">
        <f>2802297277</f>
        <v>2.802297277E9</v>
      </c>
      <c r="W268" s="32" t="n">
        <f>313775077</f>
        <v>3.13775077E8</v>
      </c>
      <c r="X268" s="36" t="n">
        <f>19</f>
        <v>19.0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629</v>
      </c>
      <c r="J269" s="32" t="n">
        <v>1.0</v>
      </c>
      <c r="K269" s="33" t="n">
        <f>99500</f>
        <v>99500.0</v>
      </c>
      <c r="L269" s="34" t="s">
        <v>48</v>
      </c>
      <c r="M269" s="33" t="n">
        <f>108800</f>
        <v>108800.0</v>
      </c>
      <c r="N269" s="34" t="s">
        <v>50</v>
      </c>
      <c r="O269" s="33" t="n">
        <f>97000</f>
        <v>97000.0</v>
      </c>
      <c r="P269" s="34" t="s">
        <v>48</v>
      </c>
      <c r="Q269" s="33" t="n">
        <f>106400</f>
        <v>106400.0</v>
      </c>
      <c r="R269" s="34" t="s">
        <v>50</v>
      </c>
      <c r="S269" s="35" t="n">
        <f>101200</f>
        <v>101200.0</v>
      </c>
      <c r="T269" s="32" t="n">
        <f>16412</f>
        <v>16412.0</v>
      </c>
      <c r="U269" s="32" t="n">
        <f>2581</f>
        <v>2581.0</v>
      </c>
      <c r="V269" s="32" t="n">
        <f>1660027779</f>
        <v>1.660027779E9</v>
      </c>
      <c r="W269" s="32" t="n">
        <f>259220479</f>
        <v>2.59220479E8</v>
      </c>
      <c r="X269" s="36" t="n">
        <f>19</f>
        <v>19.0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629</v>
      </c>
      <c r="J270" s="32" t="n">
        <v>1.0</v>
      </c>
      <c r="K270" s="33" t="n">
        <f>127000</f>
        <v>127000.0</v>
      </c>
      <c r="L270" s="34" t="s">
        <v>48</v>
      </c>
      <c r="M270" s="33" t="n">
        <f>132200</f>
        <v>132200.0</v>
      </c>
      <c r="N270" s="34" t="s">
        <v>50</v>
      </c>
      <c r="O270" s="33" t="n">
        <f>124100</f>
        <v>124100.0</v>
      </c>
      <c r="P270" s="34" t="s">
        <v>48</v>
      </c>
      <c r="Q270" s="33" t="n">
        <f>128900</f>
        <v>128900.0</v>
      </c>
      <c r="R270" s="34" t="s">
        <v>50</v>
      </c>
      <c r="S270" s="35" t="n">
        <f>126547.37</f>
        <v>126547.37</v>
      </c>
      <c r="T270" s="32" t="n">
        <f>46912</f>
        <v>46912.0</v>
      </c>
      <c r="U270" s="32" t="n">
        <f>4657</f>
        <v>4657.0</v>
      </c>
      <c r="V270" s="32" t="n">
        <f>5956175465</f>
        <v>5.956175465E9</v>
      </c>
      <c r="W270" s="32" t="n">
        <f>590020565</f>
        <v>5.90020565E8</v>
      </c>
      <c r="X270" s="36" t="n">
        <f>19</f>
        <v>19.0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580000</f>
        <v>580000.0</v>
      </c>
      <c r="L271" s="34" t="s">
        <v>48</v>
      </c>
      <c r="M271" s="33" t="n">
        <f>590000</f>
        <v>590000.0</v>
      </c>
      <c r="N271" s="34" t="s">
        <v>77</v>
      </c>
      <c r="O271" s="33" t="n">
        <f>543000</f>
        <v>543000.0</v>
      </c>
      <c r="P271" s="34" t="s">
        <v>100</v>
      </c>
      <c r="Q271" s="33" t="n">
        <f>576000</f>
        <v>576000.0</v>
      </c>
      <c r="R271" s="34" t="s">
        <v>50</v>
      </c>
      <c r="S271" s="35" t="n">
        <f>564157.89</f>
        <v>564157.89</v>
      </c>
      <c r="T271" s="32" t="n">
        <f>35753</f>
        <v>35753.0</v>
      </c>
      <c r="U271" s="32" t="n">
        <f>6877</f>
        <v>6877.0</v>
      </c>
      <c r="V271" s="32" t="n">
        <f>20187428948</f>
        <v>2.0187428948E10</v>
      </c>
      <c r="W271" s="32" t="n">
        <f>3876205948</f>
        <v>3.876205948E9</v>
      </c>
      <c r="X271" s="36" t="n">
        <f>19</f>
        <v>19.0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93100</f>
        <v>93100.0</v>
      </c>
      <c r="L272" s="34" t="s">
        <v>48</v>
      </c>
      <c r="M272" s="33" t="n">
        <f>98700</f>
        <v>98700.0</v>
      </c>
      <c r="N272" s="34" t="s">
        <v>50</v>
      </c>
      <c r="O272" s="33" t="n">
        <f>89300</f>
        <v>89300.0</v>
      </c>
      <c r="P272" s="34" t="s">
        <v>77</v>
      </c>
      <c r="Q272" s="33" t="n">
        <f>98400</f>
        <v>98400.0</v>
      </c>
      <c r="R272" s="34" t="s">
        <v>50</v>
      </c>
      <c r="S272" s="35" t="n">
        <f>93394.74</f>
        <v>93394.74</v>
      </c>
      <c r="T272" s="32" t="n">
        <f>176943</f>
        <v>176943.0</v>
      </c>
      <c r="U272" s="32" t="n">
        <f>29961</f>
        <v>29961.0</v>
      </c>
      <c r="V272" s="32" t="n">
        <f>16448104504</f>
        <v>1.6448104504E10</v>
      </c>
      <c r="W272" s="32" t="n">
        <f>2769047704</f>
        <v>2.769047704E9</v>
      </c>
      <c r="X272" s="36" t="n">
        <f>19</f>
        <v>19.0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142300</f>
        <v>142300.0</v>
      </c>
      <c r="L273" s="34" t="s">
        <v>48</v>
      </c>
      <c r="M273" s="33" t="n">
        <f>150000</f>
        <v>150000.0</v>
      </c>
      <c r="N273" s="34" t="s">
        <v>73</v>
      </c>
      <c r="O273" s="33" t="n">
        <f>140700</f>
        <v>140700.0</v>
      </c>
      <c r="P273" s="34" t="s">
        <v>48</v>
      </c>
      <c r="Q273" s="33" t="n">
        <f>145800</f>
        <v>145800.0</v>
      </c>
      <c r="R273" s="34" t="s">
        <v>50</v>
      </c>
      <c r="S273" s="35" t="n">
        <f>145600</f>
        <v>145600.0</v>
      </c>
      <c r="T273" s="32" t="n">
        <f>111604</f>
        <v>111604.0</v>
      </c>
      <c r="U273" s="32" t="n">
        <f>21065</f>
        <v>21065.0</v>
      </c>
      <c r="V273" s="32" t="n">
        <f>16250622350</f>
        <v>1.625062235E10</v>
      </c>
      <c r="W273" s="32" t="n">
        <f>3062654550</f>
        <v>3.06265455E9</v>
      </c>
      <c r="X273" s="36" t="n">
        <f>19</f>
        <v>19.0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191000</f>
        <v>191000.0</v>
      </c>
      <c r="L274" s="34" t="s">
        <v>48</v>
      </c>
      <c r="M274" s="33" t="n">
        <f>199000</f>
        <v>199000.0</v>
      </c>
      <c r="N274" s="34" t="s">
        <v>131</v>
      </c>
      <c r="O274" s="33" t="n">
        <f>185300</f>
        <v>185300.0</v>
      </c>
      <c r="P274" s="34" t="s">
        <v>88</v>
      </c>
      <c r="Q274" s="33" t="n">
        <f>188200</f>
        <v>188200.0</v>
      </c>
      <c r="R274" s="34" t="s">
        <v>50</v>
      </c>
      <c r="S274" s="35" t="n">
        <f>192652.63</f>
        <v>192652.63</v>
      </c>
      <c r="T274" s="32" t="n">
        <f>128243</f>
        <v>128243.0</v>
      </c>
      <c r="U274" s="32" t="n">
        <f>28675</f>
        <v>28675.0</v>
      </c>
      <c r="V274" s="32" t="n">
        <f>24725842307</f>
        <v>2.4725842307E10</v>
      </c>
      <c r="W274" s="32" t="n">
        <f>5534474707</f>
        <v>5.534474707E9</v>
      </c>
      <c r="X274" s="36" t="n">
        <f>19</f>
        <v>19.0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309500</f>
        <v>309500.0</v>
      </c>
      <c r="L275" s="34" t="s">
        <v>48</v>
      </c>
      <c r="M275" s="33" t="n">
        <f>323500</f>
        <v>323500.0</v>
      </c>
      <c r="N275" s="34" t="s">
        <v>131</v>
      </c>
      <c r="O275" s="33" t="n">
        <f>301000</f>
        <v>301000.0</v>
      </c>
      <c r="P275" s="34" t="s">
        <v>88</v>
      </c>
      <c r="Q275" s="33" t="n">
        <f>310000</f>
        <v>310000.0</v>
      </c>
      <c r="R275" s="34" t="s">
        <v>50</v>
      </c>
      <c r="S275" s="35" t="n">
        <f>309789.47</f>
        <v>309789.47</v>
      </c>
      <c r="T275" s="32" t="n">
        <f>90007</f>
        <v>90007.0</v>
      </c>
      <c r="U275" s="32" t="n">
        <f>18703</f>
        <v>18703.0</v>
      </c>
      <c r="V275" s="32" t="n">
        <f>27933359834</f>
        <v>2.7933359834E10</v>
      </c>
      <c r="W275" s="32" t="n">
        <f>5809734834</f>
        <v>5.809734834E9</v>
      </c>
      <c r="X275" s="36" t="n">
        <f>19</f>
        <v>19.0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189300</f>
        <v>189300.0</v>
      </c>
      <c r="L276" s="34" t="s">
        <v>48</v>
      </c>
      <c r="M276" s="33" t="n">
        <f>189600</f>
        <v>189600.0</v>
      </c>
      <c r="N276" s="34" t="s">
        <v>48</v>
      </c>
      <c r="O276" s="33" t="n">
        <f>177200</f>
        <v>177200.0</v>
      </c>
      <c r="P276" s="34" t="s">
        <v>88</v>
      </c>
      <c r="Q276" s="33" t="n">
        <f>182100</f>
        <v>182100.0</v>
      </c>
      <c r="R276" s="34" t="s">
        <v>50</v>
      </c>
      <c r="S276" s="35" t="n">
        <f>182368.42</f>
        <v>182368.42</v>
      </c>
      <c r="T276" s="32" t="n">
        <f>65213</f>
        <v>65213.0</v>
      </c>
      <c r="U276" s="32" t="n">
        <f>12883</f>
        <v>12883.0</v>
      </c>
      <c r="V276" s="32" t="n">
        <f>11896150745</f>
        <v>1.1896150745E10</v>
      </c>
      <c r="W276" s="32" t="n">
        <f>2348157645</f>
        <v>2.348157645E9</v>
      </c>
      <c r="X276" s="36" t="n">
        <f>19</f>
        <v>19.0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435500</f>
        <v>435500.0</v>
      </c>
      <c r="L277" s="34" t="s">
        <v>48</v>
      </c>
      <c r="M277" s="33" t="n">
        <f>435500</f>
        <v>435500.0</v>
      </c>
      <c r="N277" s="34" t="s">
        <v>48</v>
      </c>
      <c r="O277" s="33" t="n">
        <f>402000</f>
        <v>402000.0</v>
      </c>
      <c r="P277" s="34" t="s">
        <v>613</v>
      </c>
      <c r="Q277" s="33" t="n">
        <f>419000</f>
        <v>419000.0</v>
      </c>
      <c r="R277" s="34" t="s">
        <v>50</v>
      </c>
      <c r="S277" s="35" t="n">
        <f>417894.74</f>
        <v>417894.74</v>
      </c>
      <c r="T277" s="32" t="n">
        <f>55361</f>
        <v>55361.0</v>
      </c>
      <c r="U277" s="32" t="n">
        <f>11615</f>
        <v>11615.0</v>
      </c>
      <c r="V277" s="32" t="n">
        <f>23137169747</f>
        <v>2.3137169747E10</v>
      </c>
      <c r="W277" s="32" t="n">
        <f>4843912247</f>
        <v>4.843912247E9</v>
      </c>
      <c r="X277" s="36" t="n">
        <f>19</f>
        <v>19.0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164100</f>
        <v>164100.0</v>
      </c>
      <c r="L278" s="34" t="s">
        <v>48</v>
      </c>
      <c r="M278" s="33" t="n">
        <f>172500</f>
        <v>172500.0</v>
      </c>
      <c r="N278" s="34" t="s">
        <v>176</v>
      </c>
      <c r="O278" s="33" t="n">
        <f>161700</f>
        <v>161700.0</v>
      </c>
      <c r="P278" s="34" t="s">
        <v>48</v>
      </c>
      <c r="Q278" s="33" t="n">
        <f>167800</f>
        <v>167800.0</v>
      </c>
      <c r="R278" s="34" t="s">
        <v>50</v>
      </c>
      <c r="S278" s="35" t="n">
        <f>168468.42</f>
        <v>168468.42</v>
      </c>
      <c r="T278" s="32" t="n">
        <f>262556</f>
        <v>262556.0</v>
      </c>
      <c r="U278" s="32" t="n">
        <f>53842</f>
        <v>53842.0</v>
      </c>
      <c r="V278" s="32" t="n">
        <f>44112549368</f>
        <v>4.4112549368E10</v>
      </c>
      <c r="W278" s="32" t="n">
        <f>9013239468</f>
        <v>9.013239468E9</v>
      </c>
      <c r="X278" s="36" t="n">
        <f>19</f>
        <v>19.0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297300</f>
        <v>297300.0</v>
      </c>
      <c r="L279" s="34" t="s">
        <v>48</v>
      </c>
      <c r="M279" s="33" t="n">
        <f>302500</f>
        <v>302500.0</v>
      </c>
      <c r="N279" s="34" t="s">
        <v>268</v>
      </c>
      <c r="O279" s="33" t="n">
        <f>288700</f>
        <v>288700.0</v>
      </c>
      <c r="P279" s="34" t="s">
        <v>88</v>
      </c>
      <c r="Q279" s="33" t="n">
        <f>297500</f>
        <v>297500.0</v>
      </c>
      <c r="R279" s="34" t="s">
        <v>50</v>
      </c>
      <c r="S279" s="35" t="n">
        <f>295573.68</f>
        <v>295573.68</v>
      </c>
      <c r="T279" s="32" t="n">
        <f>88494</f>
        <v>88494.0</v>
      </c>
      <c r="U279" s="32" t="n">
        <f>8600</f>
        <v>8600.0</v>
      </c>
      <c r="V279" s="32" t="n">
        <f>26168852679</f>
        <v>2.6168852679E10</v>
      </c>
      <c r="W279" s="32" t="n">
        <f>2543584179</f>
        <v>2.543584179E9</v>
      </c>
      <c r="X279" s="36" t="n">
        <f>19</f>
        <v>19.0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324000</f>
        <v>324000.0</v>
      </c>
      <c r="L280" s="34" t="s">
        <v>48</v>
      </c>
      <c r="M280" s="33" t="n">
        <f>343500</f>
        <v>343500.0</v>
      </c>
      <c r="N280" s="34" t="s">
        <v>73</v>
      </c>
      <c r="O280" s="33" t="n">
        <f>318000</f>
        <v>318000.0</v>
      </c>
      <c r="P280" s="34" t="s">
        <v>48</v>
      </c>
      <c r="Q280" s="33" t="n">
        <f>341500</f>
        <v>341500.0</v>
      </c>
      <c r="R280" s="34" t="s">
        <v>50</v>
      </c>
      <c r="S280" s="35" t="n">
        <f>328868.42</f>
        <v>328868.42</v>
      </c>
      <c r="T280" s="32" t="n">
        <f>195089</f>
        <v>195089.0</v>
      </c>
      <c r="U280" s="32" t="n">
        <f>34730</f>
        <v>34730.0</v>
      </c>
      <c r="V280" s="32" t="n">
        <f>64282216486</f>
        <v>6.4282216486E10</v>
      </c>
      <c r="W280" s="32" t="n">
        <f>11353288986</f>
        <v>1.1353288986E10</v>
      </c>
      <c r="X280" s="36" t="n">
        <f>19</f>
        <v>19.0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499000</f>
        <v>499000.0</v>
      </c>
      <c r="L281" s="34" t="s">
        <v>48</v>
      </c>
      <c r="M281" s="33" t="n">
        <f>525000</f>
        <v>525000.0</v>
      </c>
      <c r="N281" s="34" t="s">
        <v>268</v>
      </c>
      <c r="O281" s="33" t="n">
        <f>493500</f>
        <v>493500.0</v>
      </c>
      <c r="P281" s="34" t="s">
        <v>48</v>
      </c>
      <c r="Q281" s="33" t="n">
        <f>512000</f>
        <v>512000.0</v>
      </c>
      <c r="R281" s="34" t="s">
        <v>50</v>
      </c>
      <c r="S281" s="35" t="n">
        <f>510578.95</f>
        <v>510578.95</v>
      </c>
      <c r="T281" s="32" t="n">
        <f>20925</f>
        <v>20925.0</v>
      </c>
      <c r="U281" s="32" t="n">
        <f>4133</f>
        <v>4133.0</v>
      </c>
      <c r="V281" s="32" t="n">
        <f>10633383123</f>
        <v>1.0633383123E10</v>
      </c>
      <c r="W281" s="32" t="n">
        <f>2096932123</f>
        <v>2.096932123E9</v>
      </c>
      <c r="X281" s="36" t="n">
        <f>19</f>
        <v>19.0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263700</f>
        <v>263700.0</v>
      </c>
      <c r="L282" s="34" t="s">
        <v>48</v>
      </c>
      <c r="M282" s="33" t="n">
        <f>274400</f>
        <v>274400.0</v>
      </c>
      <c r="N282" s="34" t="s">
        <v>50</v>
      </c>
      <c r="O282" s="33" t="n">
        <f>253500</f>
        <v>253500.0</v>
      </c>
      <c r="P282" s="34" t="s">
        <v>69</v>
      </c>
      <c r="Q282" s="33" t="n">
        <f>271500</f>
        <v>271500.0</v>
      </c>
      <c r="R282" s="34" t="s">
        <v>50</v>
      </c>
      <c r="S282" s="35" t="n">
        <f>259626.32</f>
        <v>259626.32</v>
      </c>
      <c r="T282" s="32" t="n">
        <f>10974</f>
        <v>10974.0</v>
      </c>
      <c r="U282" s="32" t="n">
        <f>1309</f>
        <v>1309.0</v>
      </c>
      <c r="V282" s="32" t="n">
        <f>2856209160</f>
        <v>2.85620916E9</v>
      </c>
      <c r="W282" s="32" t="n">
        <f>338731860</f>
        <v>3.3873186E8</v>
      </c>
      <c r="X282" s="36" t="n">
        <f>19</f>
        <v>19.0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132000</f>
        <v>132000.0</v>
      </c>
      <c r="L283" s="34" t="s">
        <v>48</v>
      </c>
      <c r="M283" s="33" t="n">
        <f>139000</f>
        <v>139000.0</v>
      </c>
      <c r="N283" s="34" t="s">
        <v>176</v>
      </c>
      <c r="O283" s="33" t="n">
        <f>129600</f>
        <v>129600.0</v>
      </c>
      <c r="P283" s="34" t="s">
        <v>48</v>
      </c>
      <c r="Q283" s="33" t="n">
        <f>138000</f>
        <v>138000.0</v>
      </c>
      <c r="R283" s="34" t="s">
        <v>50</v>
      </c>
      <c r="S283" s="35" t="n">
        <f>134715.79</f>
        <v>134715.79</v>
      </c>
      <c r="T283" s="32" t="n">
        <f>126070</f>
        <v>126070.0</v>
      </c>
      <c r="U283" s="32" t="n">
        <f>20776</f>
        <v>20776.0</v>
      </c>
      <c r="V283" s="32" t="n">
        <f>16980610304</f>
        <v>1.6980610304E10</v>
      </c>
      <c r="W283" s="32" t="n">
        <f>2788772204</f>
        <v>2.788772204E9</v>
      </c>
      <c r="X283" s="36" t="n">
        <f>19</f>
        <v>19.0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153900</f>
        <v>153900.0</v>
      </c>
      <c r="L284" s="34" t="s">
        <v>48</v>
      </c>
      <c r="M284" s="33" t="n">
        <f>159500</f>
        <v>159500.0</v>
      </c>
      <c r="N284" s="34" t="s">
        <v>50</v>
      </c>
      <c r="O284" s="33" t="n">
        <f>143100</f>
        <v>143100.0</v>
      </c>
      <c r="P284" s="34" t="s">
        <v>48</v>
      </c>
      <c r="Q284" s="33" t="n">
        <f>159000</f>
        <v>159000.0</v>
      </c>
      <c r="R284" s="34" t="s">
        <v>50</v>
      </c>
      <c r="S284" s="35" t="n">
        <f>151815.79</f>
        <v>151815.79</v>
      </c>
      <c r="T284" s="32" t="n">
        <f>73327</f>
        <v>73327.0</v>
      </c>
      <c r="U284" s="32" t="n">
        <f>13858</f>
        <v>13858.0</v>
      </c>
      <c r="V284" s="32" t="n">
        <f>11124373873</f>
        <v>1.1124373873E10</v>
      </c>
      <c r="W284" s="32" t="n">
        <f>2097526373</f>
        <v>2.097526373E9</v>
      </c>
      <c r="X284" s="36" t="n">
        <f>19</f>
        <v>19.0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370500</f>
        <v>370500.0</v>
      </c>
      <c r="L285" s="34" t="s">
        <v>48</v>
      </c>
      <c r="M285" s="33" t="n">
        <f>372000</f>
        <v>372000.0</v>
      </c>
      <c r="N285" s="34" t="s">
        <v>50</v>
      </c>
      <c r="O285" s="33" t="n">
        <f>342500</f>
        <v>342500.0</v>
      </c>
      <c r="P285" s="34" t="s">
        <v>69</v>
      </c>
      <c r="Q285" s="33" t="n">
        <f>372000</f>
        <v>372000.0</v>
      </c>
      <c r="R285" s="34" t="s">
        <v>50</v>
      </c>
      <c r="S285" s="35" t="n">
        <f>354894.74</f>
        <v>354894.74</v>
      </c>
      <c r="T285" s="32" t="n">
        <f>38056</f>
        <v>38056.0</v>
      </c>
      <c r="U285" s="32" t="n">
        <f>8676</f>
        <v>8676.0</v>
      </c>
      <c r="V285" s="32" t="n">
        <f>13519410657</f>
        <v>1.3519410657E10</v>
      </c>
      <c r="W285" s="32" t="n">
        <f>3065678657</f>
        <v>3.065678657E9</v>
      </c>
      <c r="X285" s="36" t="n">
        <f>19</f>
        <v>19.0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15090</f>
        <v>15090.0</v>
      </c>
      <c r="L286" s="34" t="s">
        <v>48</v>
      </c>
      <c r="M286" s="33" t="n">
        <f>15270</f>
        <v>15270.0</v>
      </c>
      <c r="N286" s="34" t="s">
        <v>50</v>
      </c>
      <c r="O286" s="33" t="n">
        <f>13960</f>
        <v>13960.0</v>
      </c>
      <c r="P286" s="34" t="s">
        <v>92</v>
      </c>
      <c r="Q286" s="33" t="n">
        <f>15190</f>
        <v>15190.0</v>
      </c>
      <c r="R286" s="34" t="s">
        <v>50</v>
      </c>
      <c r="S286" s="35" t="n">
        <f>14488.42</f>
        <v>14488.42</v>
      </c>
      <c r="T286" s="32" t="n">
        <f>957555</f>
        <v>957555.0</v>
      </c>
      <c r="U286" s="32" t="n">
        <f>179271</f>
        <v>179271.0</v>
      </c>
      <c r="V286" s="32" t="n">
        <f>13853826691</f>
        <v>1.3853826691E10</v>
      </c>
      <c r="W286" s="32" t="n">
        <f>2595598851</f>
        <v>2.595598851E9</v>
      </c>
      <c r="X286" s="36" t="n">
        <f>19</f>
        <v>19.0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74900</f>
        <v>74900.0</v>
      </c>
      <c r="L287" s="34" t="s">
        <v>48</v>
      </c>
      <c r="M287" s="33" t="n">
        <f>75900</f>
        <v>75900.0</v>
      </c>
      <c r="N287" s="34" t="s">
        <v>50</v>
      </c>
      <c r="O287" s="33" t="n">
        <f>72600</f>
        <v>72600.0</v>
      </c>
      <c r="P287" s="34" t="s">
        <v>49</v>
      </c>
      <c r="Q287" s="33" t="n">
        <f>75700</f>
        <v>75700.0</v>
      </c>
      <c r="R287" s="34" t="s">
        <v>50</v>
      </c>
      <c r="S287" s="35" t="n">
        <f>73757.89</f>
        <v>73757.89</v>
      </c>
      <c r="T287" s="32" t="n">
        <f>276248</f>
        <v>276248.0</v>
      </c>
      <c r="U287" s="32" t="n">
        <f>73610</f>
        <v>73610.0</v>
      </c>
      <c r="V287" s="32" t="n">
        <f>20416290245</f>
        <v>2.0416290245E10</v>
      </c>
      <c r="W287" s="32" t="n">
        <f>5435215145</f>
        <v>5.435215145E9</v>
      </c>
      <c r="X287" s="36" t="n">
        <f>19</f>
        <v>19.0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629</v>
      </c>
      <c r="J288" s="32" t="n">
        <v>1.0</v>
      </c>
      <c r="K288" s="33" t="n">
        <f>112800</f>
        <v>112800.0</v>
      </c>
      <c r="L288" s="34" t="s">
        <v>48</v>
      </c>
      <c r="M288" s="33" t="n">
        <f>118000</f>
        <v>118000.0</v>
      </c>
      <c r="N288" s="34" t="s">
        <v>50</v>
      </c>
      <c r="O288" s="33" t="n">
        <f>111200</f>
        <v>111200.0</v>
      </c>
      <c r="P288" s="34" t="s">
        <v>84</v>
      </c>
      <c r="Q288" s="33" t="n">
        <f>116200</f>
        <v>116200.0</v>
      </c>
      <c r="R288" s="34" t="s">
        <v>50</v>
      </c>
      <c r="S288" s="35" t="n">
        <f>113563.16</f>
        <v>113563.16</v>
      </c>
      <c r="T288" s="32" t="n">
        <f>24611</f>
        <v>24611.0</v>
      </c>
      <c r="U288" s="32" t="n">
        <f>2088</f>
        <v>2088.0</v>
      </c>
      <c r="V288" s="32" t="n">
        <f>2794310234</f>
        <v>2.794310234E9</v>
      </c>
      <c r="W288" s="32" t="n">
        <f>236658634</f>
        <v>2.36658634E8</v>
      </c>
      <c r="X288" s="36" t="n">
        <f>19</f>
        <v>19.0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250200</f>
        <v>250200.0</v>
      </c>
      <c r="L289" s="34" t="s">
        <v>48</v>
      </c>
      <c r="M289" s="33" t="n">
        <f>256500</f>
        <v>256500.0</v>
      </c>
      <c r="N289" s="34" t="s">
        <v>50</v>
      </c>
      <c r="O289" s="33" t="n">
        <f>241500</f>
        <v>241500.0</v>
      </c>
      <c r="P289" s="34" t="s">
        <v>48</v>
      </c>
      <c r="Q289" s="33" t="n">
        <f>253400</f>
        <v>253400.0</v>
      </c>
      <c r="R289" s="34" t="s">
        <v>50</v>
      </c>
      <c r="S289" s="35" t="n">
        <f>249536.84</f>
        <v>249536.84</v>
      </c>
      <c r="T289" s="32" t="n">
        <f>62664</f>
        <v>62664.0</v>
      </c>
      <c r="U289" s="32" t="n">
        <f>7406</f>
        <v>7406.0</v>
      </c>
      <c r="V289" s="32" t="n">
        <f>15635939564</f>
        <v>1.5635939564E10</v>
      </c>
      <c r="W289" s="32" t="n">
        <f>1847777064</f>
        <v>1.847777064E9</v>
      </c>
      <c r="X289" s="36" t="n">
        <f>19</f>
        <v>19.0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132000</f>
        <v>132000.0</v>
      </c>
      <c r="L290" s="34" t="s">
        <v>48</v>
      </c>
      <c r="M290" s="33" t="n">
        <f>136100</f>
        <v>136100.0</v>
      </c>
      <c r="N290" s="34" t="s">
        <v>73</v>
      </c>
      <c r="O290" s="33" t="n">
        <f>129800</f>
        <v>129800.0</v>
      </c>
      <c r="P290" s="34" t="s">
        <v>77</v>
      </c>
      <c r="Q290" s="33" t="n">
        <f>134500</f>
        <v>134500.0</v>
      </c>
      <c r="R290" s="34" t="s">
        <v>50</v>
      </c>
      <c r="S290" s="35" t="n">
        <f>132578.95</f>
        <v>132578.95</v>
      </c>
      <c r="T290" s="32" t="n">
        <f>20388</f>
        <v>20388.0</v>
      </c>
      <c r="U290" s="32" t="n">
        <f>2243</f>
        <v>2243.0</v>
      </c>
      <c r="V290" s="32" t="n">
        <f>2709261461</f>
        <v>2.709261461E9</v>
      </c>
      <c r="W290" s="32" t="n">
        <f>296516561</f>
        <v>2.96516561E8</v>
      </c>
      <c r="X290" s="36" t="n">
        <f>19</f>
        <v>19.0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629</v>
      </c>
      <c r="J291" s="32" t="n">
        <v>1.0</v>
      </c>
      <c r="K291" s="33" t="n">
        <f>109400</f>
        <v>109400.0</v>
      </c>
      <c r="L291" s="34" t="s">
        <v>48</v>
      </c>
      <c r="M291" s="33" t="n">
        <f>112300</f>
        <v>112300.0</v>
      </c>
      <c r="N291" s="34" t="s">
        <v>131</v>
      </c>
      <c r="O291" s="33" t="n">
        <f>107000</f>
        <v>107000.0</v>
      </c>
      <c r="P291" s="34" t="s">
        <v>88</v>
      </c>
      <c r="Q291" s="33" t="n">
        <f>108600</f>
        <v>108600.0</v>
      </c>
      <c r="R291" s="34" t="s">
        <v>50</v>
      </c>
      <c r="S291" s="35" t="n">
        <f>109663.16</f>
        <v>109663.16</v>
      </c>
      <c r="T291" s="32" t="n">
        <f>25571</f>
        <v>25571.0</v>
      </c>
      <c r="U291" s="32" t="n">
        <f>3304</f>
        <v>3304.0</v>
      </c>
      <c r="V291" s="32" t="n">
        <f>2802529063</f>
        <v>2.802529063E9</v>
      </c>
      <c r="W291" s="32" t="n">
        <f>361419163</f>
        <v>3.61419163E8</v>
      </c>
      <c r="X291" s="36" t="n">
        <f>19</f>
        <v>19.0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148300</f>
        <v>148300.0</v>
      </c>
      <c r="L292" s="34" t="s">
        <v>48</v>
      </c>
      <c r="M292" s="33" t="n">
        <f>158900</f>
        <v>158900.0</v>
      </c>
      <c r="N292" s="34" t="s">
        <v>50</v>
      </c>
      <c r="O292" s="33" t="n">
        <f>144000</f>
        <v>144000.0</v>
      </c>
      <c r="P292" s="34" t="s">
        <v>77</v>
      </c>
      <c r="Q292" s="33" t="n">
        <f>158900</f>
        <v>158900.0</v>
      </c>
      <c r="R292" s="34" t="s">
        <v>50</v>
      </c>
      <c r="S292" s="35" t="n">
        <f>151868.42</f>
        <v>151868.42</v>
      </c>
      <c r="T292" s="32" t="n">
        <f>285553</f>
        <v>285553.0</v>
      </c>
      <c r="U292" s="32" t="n">
        <f>75894</f>
        <v>75894.0</v>
      </c>
      <c r="V292" s="32" t="n">
        <f>43383657500</f>
        <v>4.33836575E10</v>
      </c>
      <c r="W292" s="32" t="n">
        <f>11504673800</f>
        <v>1.15046738E10</v>
      </c>
      <c r="X292" s="36" t="n">
        <f>19</f>
        <v>19.0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629</v>
      </c>
      <c r="J293" s="32" t="n">
        <v>1.0</v>
      </c>
      <c r="K293" s="33" t="n">
        <f>68500</f>
        <v>68500.0</v>
      </c>
      <c r="L293" s="34" t="s">
        <v>48</v>
      </c>
      <c r="M293" s="33" t="n">
        <f>70600</f>
        <v>70600.0</v>
      </c>
      <c r="N293" s="34" t="s">
        <v>132</v>
      </c>
      <c r="O293" s="33" t="n">
        <f>66900</f>
        <v>66900.0</v>
      </c>
      <c r="P293" s="34" t="s">
        <v>84</v>
      </c>
      <c r="Q293" s="33" t="n">
        <f>68900</f>
        <v>68900.0</v>
      </c>
      <c r="R293" s="34" t="s">
        <v>50</v>
      </c>
      <c r="S293" s="35" t="n">
        <f>68205.26</f>
        <v>68205.26</v>
      </c>
      <c r="T293" s="32" t="n">
        <f>21685</f>
        <v>21685.0</v>
      </c>
      <c r="U293" s="32" t="n">
        <f>2085</f>
        <v>2085.0</v>
      </c>
      <c r="V293" s="32" t="n">
        <f>1483152849</f>
        <v>1.483152849E9</v>
      </c>
      <c r="W293" s="32" t="n">
        <f>141982149</f>
        <v>1.41982149E8</v>
      </c>
      <c r="X293" s="36" t="n">
        <f>19</f>
        <v>19.0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166900</f>
        <v>166900.0</v>
      </c>
      <c r="L294" s="34" t="s">
        <v>48</v>
      </c>
      <c r="M294" s="33" t="n">
        <f>173500</f>
        <v>173500.0</v>
      </c>
      <c r="N294" s="34" t="s">
        <v>77</v>
      </c>
      <c r="O294" s="33" t="n">
        <f>161300</f>
        <v>161300.0</v>
      </c>
      <c r="P294" s="34" t="s">
        <v>50</v>
      </c>
      <c r="Q294" s="33" t="n">
        <f>164200</f>
        <v>164200.0</v>
      </c>
      <c r="R294" s="34" t="s">
        <v>50</v>
      </c>
      <c r="S294" s="35" t="n">
        <f>166252.63</f>
        <v>166252.63</v>
      </c>
      <c r="T294" s="32" t="n">
        <f>132663</f>
        <v>132663.0</v>
      </c>
      <c r="U294" s="32" t="n">
        <f>33261</f>
        <v>33261.0</v>
      </c>
      <c r="V294" s="32" t="n">
        <f>22073824786</f>
        <v>2.2073824786E10</v>
      </c>
      <c r="W294" s="32" t="n">
        <f>5545314386</f>
        <v>5.545314386E9</v>
      </c>
      <c r="X294" s="36" t="n">
        <f>19</f>
        <v>19.0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629</v>
      </c>
      <c r="J295" s="32" t="n">
        <v>1.0</v>
      </c>
      <c r="K295" s="33" t="n">
        <f>50600</f>
        <v>50600.0</v>
      </c>
      <c r="L295" s="34" t="s">
        <v>48</v>
      </c>
      <c r="M295" s="33" t="n">
        <f>51100</f>
        <v>51100.0</v>
      </c>
      <c r="N295" s="34" t="s">
        <v>77</v>
      </c>
      <c r="O295" s="33" t="n">
        <f>47000</f>
        <v>47000.0</v>
      </c>
      <c r="P295" s="34" t="s">
        <v>88</v>
      </c>
      <c r="Q295" s="33" t="n">
        <f>47950</f>
        <v>47950.0</v>
      </c>
      <c r="R295" s="34" t="s">
        <v>50</v>
      </c>
      <c r="S295" s="35" t="n">
        <f>49244.74</f>
        <v>49244.74</v>
      </c>
      <c r="T295" s="32" t="n">
        <f>171334</f>
        <v>171334.0</v>
      </c>
      <c r="U295" s="32" t="n">
        <f>20081</f>
        <v>20081.0</v>
      </c>
      <c r="V295" s="32" t="n">
        <f>8434642135</f>
        <v>8.434642135E9</v>
      </c>
      <c r="W295" s="32" t="n">
        <f>987450385</f>
        <v>9.87450385E8</v>
      </c>
      <c r="X295" s="36" t="n">
        <f>19</f>
        <v>19.0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629</v>
      </c>
      <c r="J296" s="32" t="n">
        <v>1.0</v>
      </c>
      <c r="K296" s="33" t="n">
        <f>111000</f>
        <v>111000.0</v>
      </c>
      <c r="L296" s="34" t="s">
        <v>48</v>
      </c>
      <c r="M296" s="33" t="n">
        <f>114000</f>
        <v>114000.0</v>
      </c>
      <c r="N296" s="34" t="s">
        <v>50</v>
      </c>
      <c r="O296" s="33" t="n">
        <f>109900</f>
        <v>109900.0</v>
      </c>
      <c r="P296" s="34" t="s">
        <v>69</v>
      </c>
      <c r="Q296" s="33" t="n">
        <f>112900</f>
        <v>112900.0</v>
      </c>
      <c r="R296" s="34" t="s">
        <v>50</v>
      </c>
      <c r="S296" s="35" t="n">
        <f>111610.53</f>
        <v>111610.53</v>
      </c>
      <c r="T296" s="32" t="n">
        <f>10290</f>
        <v>10290.0</v>
      </c>
      <c r="U296" s="32" t="n">
        <f>712</f>
        <v>712.0</v>
      </c>
      <c r="V296" s="32" t="n">
        <f>1147984878</f>
        <v>1.147984878E9</v>
      </c>
      <c r="W296" s="32" t="n">
        <f>79326978</f>
        <v>7.9326978E7</v>
      </c>
      <c r="X296" s="36" t="n">
        <f>19</f>
        <v>19.0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520000</f>
        <v>520000.0</v>
      </c>
      <c r="L297" s="34" t="s">
        <v>48</v>
      </c>
      <c r="M297" s="33" t="n">
        <f>540000</f>
        <v>540000.0</v>
      </c>
      <c r="N297" s="34" t="s">
        <v>176</v>
      </c>
      <c r="O297" s="33" t="n">
        <f>507000</f>
        <v>507000.0</v>
      </c>
      <c r="P297" s="34" t="s">
        <v>49</v>
      </c>
      <c r="Q297" s="33" t="n">
        <f>524000</f>
        <v>524000.0</v>
      </c>
      <c r="R297" s="34" t="s">
        <v>50</v>
      </c>
      <c r="S297" s="35" t="n">
        <f>519947.37</f>
        <v>519947.37</v>
      </c>
      <c r="T297" s="32" t="n">
        <f>40815</f>
        <v>40815.0</v>
      </c>
      <c r="U297" s="32" t="n">
        <f>7866</f>
        <v>7866.0</v>
      </c>
      <c r="V297" s="32" t="n">
        <f>21240228896</f>
        <v>2.1240228896E10</v>
      </c>
      <c r="W297" s="32" t="n">
        <f>4086851896</f>
        <v>4.086851896E9</v>
      </c>
      <c r="X297" s="36" t="n">
        <f>19</f>
        <v>19.0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629</v>
      </c>
      <c r="J298" s="32" t="n">
        <v>1.0</v>
      </c>
      <c r="K298" s="33" t="n">
        <f>69000</f>
        <v>69000.0</v>
      </c>
      <c r="L298" s="34" t="s">
        <v>48</v>
      </c>
      <c r="M298" s="33" t="n">
        <f>70600</f>
        <v>70600.0</v>
      </c>
      <c r="N298" s="34" t="s">
        <v>50</v>
      </c>
      <c r="O298" s="33" t="n">
        <f>67200</f>
        <v>67200.0</v>
      </c>
      <c r="P298" s="34" t="s">
        <v>77</v>
      </c>
      <c r="Q298" s="33" t="n">
        <f>69700</f>
        <v>69700.0</v>
      </c>
      <c r="R298" s="34" t="s">
        <v>50</v>
      </c>
      <c r="S298" s="35" t="n">
        <f>68394.74</f>
        <v>68394.74</v>
      </c>
      <c r="T298" s="32" t="n">
        <f>17778</f>
        <v>17778.0</v>
      </c>
      <c r="U298" s="32" t="n">
        <f>3570</f>
        <v>3570.0</v>
      </c>
      <c r="V298" s="32" t="n">
        <f>1218058853</f>
        <v>1.218058853E9</v>
      </c>
      <c r="W298" s="32" t="n">
        <f>245126153</f>
        <v>2.45126153E8</v>
      </c>
      <c r="X298" s="36" t="n">
        <f>19</f>
        <v>19.0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38500</f>
        <v>38500.0</v>
      </c>
      <c r="L299" s="34" t="s">
        <v>48</v>
      </c>
      <c r="M299" s="33" t="n">
        <f>41100</f>
        <v>41100.0</v>
      </c>
      <c r="N299" s="34" t="s">
        <v>50</v>
      </c>
      <c r="O299" s="33" t="n">
        <f>37900</f>
        <v>37900.0</v>
      </c>
      <c r="P299" s="34" t="s">
        <v>48</v>
      </c>
      <c r="Q299" s="33" t="n">
        <f>40800</f>
        <v>40800.0</v>
      </c>
      <c r="R299" s="34" t="s">
        <v>50</v>
      </c>
      <c r="S299" s="35" t="n">
        <f>39189.47</f>
        <v>39189.47</v>
      </c>
      <c r="T299" s="32" t="n">
        <f>159974</f>
        <v>159974.0</v>
      </c>
      <c r="U299" s="32" t="n">
        <f>14665</f>
        <v>14665.0</v>
      </c>
      <c r="V299" s="32" t="n">
        <f>6274909115</f>
        <v>6.274909115E9</v>
      </c>
      <c r="W299" s="32" t="n">
        <f>573944215</f>
        <v>5.73944215E8</v>
      </c>
      <c r="X299" s="36" t="n">
        <f>19</f>
        <v>19.0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116100</f>
        <v>116100.0</v>
      </c>
      <c r="L300" s="34" t="s">
        <v>48</v>
      </c>
      <c r="M300" s="33" t="n">
        <f>120900</f>
        <v>120900.0</v>
      </c>
      <c r="N300" s="34" t="s">
        <v>268</v>
      </c>
      <c r="O300" s="33" t="n">
        <f>110300</f>
        <v>110300.0</v>
      </c>
      <c r="P300" s="34" t="s">
        <v>172</v>
      </c>
      <c r="Q300" s="33" t="n">
        <f>117200</f>
        <v>117200.0</v>
      </c>
      <c r="R300" s="34" t="s">
        <v>50</v>
      </c>
      <c r="S300" s="35" t="n">
        <f>114515.79</f>
        <v>114515.79</v>
      </c>
      <c r="T300" s="32" t="n">
        <f>17222</f>
        <v>17222.0</v>
      </c>
      <c r="U300" s="32" t="n">
        <f>1650</f>
        <v>1650.0</v>
      </c>
      <c r="V300" s="32" t="n">
        <f>1971766798</f>
        <v>1.971766798E9</v>
      </c>
      <c r="W300" s="32" t="n">
        <f>188263798</f>
        <v>1.88263798E8</v>
      </c>
      <c r="X300" s="36" t="n">
        <f>19</f>
        <v>19.0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429500</f>
        <v>429500.0</v>
      </c>
      <c r="L301" s="34" t="s">
        <v>48</v>
      </c>
      <c r="M301" s="33" t="n">
        <f>434500</f>
        <v>434500.0</v>
      </c>
      <c r="N301" s="34" t="s">
        <v>77</v>
      </c>
      <c r="O301" s="33" t="n">
        <f>403500</f>
        <v>403500.0</v>
      </c>
      <c r="P301" s="34" t="s">
        <v>69</v>
      </c>
      <c r="Q301" s="33" t="n">
        <f>416000</f>
        <v>416000.0</v>
      </c>
      <c r="R301" s="34" t="s">
        <v>50</v>
      </c>
      <c r="S301" s="35" t="n">
        <f>417315.79</f>
        <v>417315.79</v>
      </c>
      <c r="T301" s="32" t="n">
        <f>19817</f>
        <v>19817.0</v>
      </c>
      <c r="U301" s="32" t="n">
        <f>3549</f>
        <v>3549.0</v>
      </c>
      <c r="V301" s="32" t="n">
        <f>8258363266</f>
        <v>8.258363266E9</v>
      </c>
      <c r="W301" s="32" t="n">
        <f>1472823266</f>
        <v>1.472823266E9</v>
      </c>
      <c r="X301" s="36" t="n">
        <f>19</f>
        <v>19.0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157900</f>
        <v>157900.0</v>
      </c>
      <c r="L302" s="34" t="s">
        <v>48</v>
      </c>
      <c r="M302" s="33" t="n">
        <f>158300</f>
        <v>158300.0</v>
      </c>
      <c r="N302" s="34" t="s">
        <v>48</v>
      </c>
      <c r="O302" s="33" t="n">
        <f>148000</f>
        <v>148000.0</v>
      </c>
      <c r="P302" s="34" t="s">
        <v>613</v>
      </c>
      <c r="Q302" s="33" t="n">
        <f>153100</f>
        <v>153100.0</v>
      </c>
      <c r="R302" s="34" t="s">
        <v>50</v>
      </c>
      <c r="S302" s="35" t="n">
        <f>151247.37</f>
        <v>151247.37</v>
      </c>
      <c r="T302" s="32" t="n">
        <f>184573</f>
        <v>184573.0</v>
      </c>
      <c r="U302" s="32" t="n">
        <f>20293</f>
        <v>20293.0</v>
      </c>
      <c r="V302" s="32" t="n">
        <f>27730317878</f>
        <v>2.7730317878E10</v>
      </c>
      <c r="W302" s="32" t="n">
        <f>3029324078</f>
        <v>3.029324078E9</v>
      </c>
      <c r="X302" s="36" t="n">
        <f>19</f>
        <v>19.0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629</v>
      </c>
      <c r="J303" s="32" t="n">
        <v>1.0</v>
      </c>
      <c r="K303" s="33" t="n">
        <f>94200</f>
        <v>94200.0</v>
      </c>
      <c r="L303" s="34" t="s">
        <v>48</v>
      </c>
      <c r="M303" s="33" t="n">
        <f>105700</f>
        <v>105700.0</v>
      </c>
      <c r="N303" s="34" t="s">
        <v>50</v>
      </c>
      <c r="O303" s="33" t="n">
        <f>92000</f>
        <v>92000.0</v>
      </c>
      <c r="P303" s="34" t="s">
        <v>84</v>
      </c>
      <c r="Q303" s="33" t="n">
        <f>104000</f>
        <v>104000.0</v>
      </c>
      <c r="R303" s="34" t="s">
        <v>50</v>
      </c>
      <c r="S303" s="35" t="n">
        <f>98815.79</f>
        <v>98815.79</v>
      </c>
      <c r="T303" s="32" t="n">
        <f>19437</f>
        <v>19437.0</v>
      </c>
      <c r="U303" s="32" t="n">
        <f>1273</f>
        <v>1273.0</v>
      </c>
      <c r="V303" s="32" t="n">
        <f>1928829100</f>
        <v>1.9288291E9</v>
      </c>
      <c r="W303" s="32" t="n">
        <f>125196500</f>
        <v>1.251965E8</v>
      </c>
      <c r="X303" s="36" t="n">
        <f>19</f>
        <v>19.0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92500</f>
        <v>92500.0</v>
      </c>
      <c r="L304" s="34" t="s">
        <v>48</v>
      </c>
      <c r="M304" s="33" t="n">
        <f>100400</f>
        <v>100400.0</v>
      </c>
      <c r="N304" s="34" t="s">
        <v>50</v>
      </c>
      <c r="O304" s="33" t="n">
        <f>90100</f>
        <v>90100.0</v>
      </c>
      <c r="P304" s="34" t="s">
        <v>48</v>
      </c>
      <c r="Q304" s="33" t="n">
        <f>99700</f>
        <v>99700.0</v>
      </c>
      <c r="R304" s="34" t="s">
        <v>50</v>
      </c>
      <c r="S304" s="35" t="n">
        <f>94021.05</f>
        <v>94021.05</v>
      </c>
      <c r="T304" s="32" t="n">
        <f>51842</f>
        <v>51842.0</v>
      </c>
      <c r="U304" s="32" t="n">
        <f>3894</f>
        <v>3894.0</v>
      </c>
      <c r="V304" s="32" t="n">
        <f>4892697462</f>
        <v>4.892697462E9</v>
      </c>
      <c r="W304" s="32" t="n">
        <f>365437662</f>
        <v>3.65437662E8</v>
      </c>
      <c r="X304" s="36" t="n">
        <f>19</f>
        <v>19.0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629</v>
      </c>
      <c r="J305" s="32" t="n">
        <v>1.0</v>
      </c>
      <c r="K305" s="33" t="n">
        <f>133000</f>
        <v>133000.0</v>
      </c>
      <c r="L305" s="34" t="s">
        <v>48</v>
      </c>
      <c r="M305" s="33" t="n">
        <f>135700</f>
        <v>135700.0</v>
      </c>
      <c r="N305" s="34" t="s">
        <v>96</v>
      </c>
      <c r="O305" s="33" t="n">
        <f>128200</f>
        <v>128200.0</v>
      </c>
      <c r="P305" s="34" t="s">
        <v>88</v>
      </c>
      <c r="Q305" s="33" t="n">
        <f>129900</f>
        <v>129900.0</v>
      </c>
      <c r="R305" s="34" t="s">
        <v>50</v>
      </c>
      <c r="S305" s="35" t="n">
        <f>131457.89</f>
        <v>131457.89</v>
      </c>
      <c r="T305" s="32" t="n">
        <f>62920</f>
        <v>62920.0</v>
      </c>
      <c r="U305" s="32" t="n">
        <f>9377</f>
        <v>9377.0</v>
      </c>
      <c r="V305" s="32" t="n">
        <f>8276939962</f>
        <v>8.276939962E9</v>
      </c>
      <c r="W305" s="32" t="n">
        <f>1236247562</f>
        <v>1.236247562E9</v>
      </c>
      <c r="X305" s="36" t="n">
        <f>19</f>
        <v>19.0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600000</f>
        <v>600000.0</v>
      </c>
      <c r="L306" s="34" t="s">
        <v>48</v>
      </c>
      <c r="M306" s="33" t="n">
        <f>632000</f>
        <v>632000.0</v>
      </c>
      <c r="N306" s="34" t="s">
        <v>50</v>
      </c>
      <c r="O306" s="33" t="n">
        <f>572000</f>
        <v>572000.0</v>
      </c>
      <c r="P306" s="34" t="s">
        <v>77</v>
      </c>
      <c r="Q306" s="33" t="n">
        <f>632000</f>
        <v>632000.0</v>
      </c>
      <c r="R306" s="34" t="s">
        <v>50</v>
      </c>
      <c r="S306" s="35" t="n">
        <f>590894.74</f>
        <v>590894.74</v>
      </c>
      <c r="T306" s="32" t="n">
        <f>132480</f>
        <v>132480.0</v>
      </c>
      <c r="U306" s="32" t="n">
        <f>28489</f>
        <v>28489.0</v>
      </c>
      <c r="V306" s="32" t="n">
        <f>78242106509</f>
        <v>7.8242106509E10</v>
      </c>
      <c r="W306" s="32" t="n">
        <f>16767919509</f>
        <v>1.6767919509E10</v>
      </c>
      <c r="X306" s="36" t="n">
        <f>19</f>
        <v>19.0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600000</f>
        <v>600000.0</v>
      </c>
      <c r="L307" s="34" t="s">
        <v>48</v>
      </c>
      <c r="M307" s="33" t="n">
        <f>640000</f>
        <v>640000.0</v>
      </c>
      <c r="N307" s="34" t="s">
        <v>50</v>
      </c>
      <c r="O307" s="33" t="n">
        <f>575000</f>
        <v>575000.0</v>
      </c>
      <c r="P307" s="34" t="s">
        <v>77</v>
      </c>
      <c r="Q307" s="33" t="n">
        <f>637000</f>
        <v>637000.0</v>
      </c>
      <c r="R307" s="34" t="s">
        <v>50</v>
      </c>
      <c r="S307" s="35" t="n">
        <f>597684.21</f>
        <v>597684.21</v>
      </c>
      <c r="T307" s="32" t="n">
        <f>94600</f>
        <v>94600.0</v>
      </c>
      <c r="U307" s="32" t="n">
        <f>24015</f>
        <v>24015.0</v>
      </c>
      <c r="V307" s="32" t="n">
        <f>56536239749</f>
        <v>5.6536239749E10</v>
      </c>
      <c r="W307" s="32" t="n">
        <f>14316522749</f>
        <v>1.4316522749E10</v>
      </c>
      <c r="X307" s="36" t="n">
        <f>19</f>
        <v>19.0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186800</f>
        <v>186800.0</v>
      </c>
      <c r="L308" s="34" t="s">
        <v>48</v>
      </c>
      <c r="M308" s="33" t="n">
        <f>198000</f>
        <v>198000.0</v>
      </c>
      <c r="N308" s="34" t="s">
        <v>50</v>
      </c>
      <c r="O308" s="33" t="n">
        <f>178600</f>
        <v>178600.0</v>
      </c>
      <c r="P308" s="34" t="s">
        <v>96</v>
      </c>
      <c r="Q308" s="33" t="n">
        <f>198000</f>
        <v>198000.0</v>
      </c>
      <c r="R308" s="34" t="s">
        <v>50</v>
      </c>
      <c r="S308" s="35" t="n">
        <f>186647.37</f>
        <v>186647.37</v>
      </c>
      <c r="T308" s="32" t="n">
        <f>236682</f>
        <v>236682.0</v>
      </c>
      <c r="U308" s="32" t="n">
        <f>29988</f>
        <v>29988.0</v>
      </c>
      <c r="V308" s="32" t="n">
        <f>44263353290</f>
        <v>4.426335329E10</v>
      </c>
      <c r="W308" s="32" t="n">
        <f>5585837290</f>
        <v>5.58583729E9</v>
      </c>
      <c r="X308" s="36" t="n">
        <f>19</f>
        <v>19.0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171400</f>
        <v>171400.0</v>
      </c>
      <c r="L309" s="34" t="s">
        <v>48</v>
      </c>
      <c r="M309" s="33" t="n">
        <f>176900</f>
        <v>176900.0</v>
      </c>
      <c r="N309" s="34" t="s">
        <v>50</v>
      </c>
      <c r="O309" s="33" t="n">
        <f>162600</f>
        <v>162600.0</v>
      </c>
      <c r="P309" s="34" t="s">
        <v>613</v>
      </c>
      <c r="Q309" s="33" t="n">
        <f>175200</f>
        <v>175200.0</v>
      </c>
      <c r="R309" s="34" t="s">
        <v>50</v>
      </c>
      <c r="S309" s="35" t="n">
        <f>167247.37</f>
        <v>167247.37</v>
      </c>
      <c r="T309" s="32" t="n">
        <f>168493</f>
        <v>168493.0</v>
      </c>
      <c r="U309" s="32" t="n">
        <f>38135</f>
        <v>38135.0</v>
      </c>
      <c r="V309" s="32" t="n">
        <f>28194576904</f>
        <v>2.8194576904E10</v>
      </c>
      <c r="W309" s="32" t="n">
        <f>6384057004</f>
        <v>6.384057004E9</v>
      </c>
      <c r="X309" s="36" t="n">
        <f>19</f>
        <v>19.0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341000</f>
        <v>341000.0</v>
      </c>
      <c r="L310" s="34" t="s">
        <v>48</v>
      </c>
      <c r="M310" s="33" t="n">
        <f>369500</f>
        <v>369500.0</v>
      </c>
      <c r="N310" s="34" t="s">
        <v>50</v>
      </c>
      <c r="O310" s="33" t="n">
        <f>333500</f>
        <v>333500.0</v>
      </c>
      <c r="P310" s="34" t="s">
        <v>77</v>
      </c>
      <c r="Q310" s="33" t="n">
        <f>369500</f>
        <v>369500.0</v>
      </c>
      <c r="R310" s="34" t="s">
        <v>50</v>
      </c>
      <c r="S310" s="35" t="n">
        <f>349421.05</f>
        <v>349421.05</v>
      </c>
      <c r="T310" s="32" t="n">
        <f>70249</f>
        <v>70249.0</v>
      </c>
      <c r="U310" s="32" t="n">
        <f>16394</f>
        <v>16394.0</v>
      </c>
      <c r="V310" s="32" t="n">
        <f>24561554758</f>
        <v>2.4561554758E10</v>
      </c>
      <c r="W310" s="32" t="n">
        <f>5712676258</f>
        <v>5.712676258E9</v>
      </c>
      <c r="X310" s="36" t="n">
        <f>19</f>
        <v>19.0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128400</f>
        <v>128400.0</v>
      </c>
      <c r="L311" s="34" t="s">
        <v>48</v>
      </c>
      <c r="M311" s="33" t="n">
        <f>132900</f>
        <v>132900.0</v>
      </c>
      <c r="N311" s="34" t="s">
        <v>50</v>
      </c>
      <c r="O311" s="33" t="n">
        <f>122400</f>
        <v>122400.0</v>
      </c>
      <c r="P311" s="34" t="s">
        <v>69</v>
      </c>
      <c r="Q311" s="33" t="n">
        <f>131900</f>
        <v>131900.0</v>
      </c>
      <c r="R311" s="34" t="s">
        <v>50</v>
      </c>
      <c r="S311" s="35" t="n">
        <f>126010.53</f>
        <v>126010.53</v>
      </c>
      <c r="T311" s="32" t="n">
        <f>89406</f>
        <v>89406.0</v>
      </c>
      <c r="U311" s="32" t="n">
        <f>18850</f>
        <v>18850.0</v>
      </c>
      <c r="V311" s="32" t="n">
        <f>11294733446</f>
        <v>1.1294733446E10</v>
      </c>
      <c r="W311" s="32" t="n">
        <f>2371480546</f>
        <v>2.371480546E9</v>
      </c>
      <c r="X311" s="36" t="n">
        <f>19</f>
        <v>19.0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164100</f>
        <v>164100.0</v>
      </c>
      <c r="L312" s="34" t="s">
        <v>48</v>
      </c>
      <c r="M312" s="33" t="n">
        <f>169900</f>
        <v>169900.0</v>
      </c>
      <c r="N312" s="34" t="s">
        <v>268</v>
      </c>
      <c r="O312" s="33" t="n">
        <f>156900</f>
        <v>156900.0</v>
      </c>
      <c r="P312" s="34" t="s">
        <v>69</v>
      </c>
      <c r="Q312" s="33" t="n">
        <f>165500</f>
        <v>165500.0</v>
      </c>
      <c r="R312" s="34" t="s">
        <v>50</v>
      </c>
      <c r="S312" s="35" t="n">
        <f>162163.16</f>
        <v>162163.16</v>
      </c>
      <c r="T312" s="32" t="n">
        <f>75222</f>
        <v>75222.0</v>
      </c>
      <c r="U312" s="32" t="n">
        <f>16897</f>
        <v>16897.0</v>
      </c>
      <c r="V312" s="32" t="n">
        <f>12196010307</f>
        <v>1.2196010307E10</v>
      </c>
      <c r="W312" s="32" t="n">
        <f>2735633307</f>
        <v>2.735633307E9</v>
      </c>
      <c r="X312" s="36" t="n">
        <f>19</f>
        <v>19.0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104700</f>
        <v>104700.0</v>
      </c>
      <c r="L313" s="34" t="s">
        <v>48</v>
      </c>
      <c r="M313" s="33" t="n">
        <f>109400</f>
        <v>109400.0</v>
      </c>
      <c r="N313" s="34" t="s">
        <v>50</v>
      </c>
      <c r="O313" s="33" t="n">
        <f>100500</f>
        <v>100500.0</v>
      </c>
      <c r="P313" s="34" t="s">
        <v>69</v>
      </c>
      <c r="Q313" s="33" t="n">
        <f>109100</f>
        <v>109100.0</v>
      </c>
      <c r="R313" s="34" t="s">
        <v>50</v>
      </c>
      <c r="S313" s="35" t="n">
        <f>103515.79</f>
        <v>103515.79</v>
      </c>
      <c r="T313" s="32" t="n">
        <f>69716</f>
        <v>69716.0</v>
      </c>
      <c r="U313" s="32" t="n">
        <f>15865</f>
        <v>15865.0</v>
      </c>
      <c r="V313" s="32" t="n">
        <f>7224133928</f>
        <v>7.224133928E9</v>
      </c>
      <c r="W313" s="32" t="n">
        <f>1641451328</f>
        <v>1.641451328E9</v>
      </c>
      <c r="X313" s="36" t="n">
        <f>19</f>
        <v>19.0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128900</f>
        <v>128900.0</v>
      </c>
      <c r="L314" s="34" t="s">
        <v>48</v>
      </c>
      <c r="M314" s="33" t="n">
        <f>142300</f>
        <v>142300.0</v>
      </c>
      <c r="N314" s="34" t="s">
        <v>50</v>
      </c>
      <c r="O314" s="33" t="n">
        <f>122500</f>
        <v>122500.0</v>
      </c>
      <c r="P314" s="34" t="s">
        <v>69</v>
      </c>
      <c r="Q314" s="33" t="n">
        <f>142300</f>
        <v>142300.0</v>
      </c>
      <c r="R314" s="34" t="s">
        <v>50</v>
      </c>
      <c r="S314" s="35" t="n">
        <f>130368.42</f>
        <v>130368.42</v>
      </c>
      <c r="T314" s="32" t="n">
        <f>233158</f>
        <v>233158.0</v>
      </c>
      <c r="U314" s="32" t="n">
        <f>49058</f>
        <v>49058.0</v>
      </c>
      <c r="V314" s="32" t="n">
        <f>30410127638</f>
        <v>3.0410127638E10</v>
      </c>
      <c r="W314" s="32" t="n">
        <f>6396049338</f>
        <v>6.396049338E9</v>
      </c>
      <c r="X314" s="36" t="n">
        <f>19</f>
        <v>19.0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133000</f>
        <v>133000.0</v>
      </c>
      <c r="L315" s="34" t="s">
        <v>48</v>
      </c>
      <c r="M315" s="33" t="n">
        <f>138600</f>
        <v>138600.0</v>
      </c>
      <c r="N315" s="34" t="s">
        <v>50</v>
      </c>
      <c r="O315" s="33" t="n">
        <f>128500</f>
        <v>128500.0</v>
      </c>
      <c r="P315" s="34" t="s">
        <v>69</v>
      </c>
      <c r="Q315" s="33" t="n">
        <f>138200</f>
        <v>138200.0</v>
      </c>
      <c r="R315" s="34" t="s">
        <v>50</v>
      </c>
      <c r="S315" s="35" t="n">
        <f>132389.47</f>
        <v>132389.47</v>
      </c>
      <c r="T315" s="32" t="n">
        <f>74757</f>
        <v>74757.0</v>
      </c>
      <c r="U315" s="32" t="n">
        <f>17909</f>
        <v>17909.0</v>
      </c>
      <c r="V315" s="32" t="n">
        <f>9864693445</f>
        <v>9.864693445E9</v>
      </c>
      <c r="W315" s="32" t="n">
        <f>2354007945</f>
        <v>2.354007945E9</v>
      </c>
      <c r="X315" s="36" t="n">
        <f>19</f>
        <v>19.0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33000</f>
        <v>33000.0</v>
      </c>
      <c r="L316" s="34" t="s">
        <v>48</v>
      </c>
      <c r="M316" s="33" t="n">
        <f>35600</f>
        <v>35600.0</v>
      </c>
      <c r="N316" s="34" t="s">
        <v>371</v>
      </c>
      <c r="O316" s="33" t="n">
        <f>31400</f>
        <v>31400.0</v>
      </c>
      <c r="P316" s="34" t="s">
        <v>84</v>
      </c>
      <c r="Q316" s="33" t="n">
        <f>34850</f>
        <v>34850.0</v>
      </c>
      <c r="R316" s="34" t="s">
        <v>50</v>
      </c>
      <c r="S316" s="35" t="n">
        <f>33857.89</f>
        <v>33857.89</v>
      </c>
      <c r="T316" s="32" t="n">
        <f>761020</f>
        <v>761020.0</v>
      </c>
      <c r="U316" s="32" t="n">
        <f>116520</f>
        <v>116520.0</v>
      </c>
      <c r="V316" s="32" t="n">
        <f>25770591684</f>
        <v>2.5770591684E10</v>
      </c>
      <c r="W316" s="32" t="n">
        <f>3929295034</f>
        <v>3.929295034E9</v>
      </c>
      <c r="X316" s="36" t="n">
        <f>19</f>
        <v>19.0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399000</f>
        <v>399000.0</v>
      </c>
      <c r="L317" s="34" t="s">
        <v>48</v>
      </c>
      <c r="M317" s="33" t="n">
        <f>430000</f>
        <v>430000.0</v>
      </c>
      <c r="N317" s="34" t="s">
        <v>50</v>
      </c>
      <c r="O317" s="33" t="n">
        <f>385500</f>
        <v>385500.0</v>
      </c>
      <c r="P317" s="34" t="s">
        <v>77</v>
      </c>
      <c r="Q317" s="33" t="n">
        <f>429000</f>
        <v>429000.0</v>
      </c>
      <c r="R317" s="34" t="s">
        <v>50</v>
      </c>
      <c r="S317" s="35" t="n">
        <f>403131.58</f>
        <v>403131.58</v>
      </c>
      <c r="T317" s="32" t="n">
        <f>37200</f>
        <v>37200.0</v>
      </c>
      <c r="U317" s="32" t="n">
        <f>7215</f>
        <v>7215.0</v>
      </c>
      <c r="V317" s="32" t="n">
        <f>15020774016</f>
        <v>1.5020774016E10</v>
      </c>
      <c r="W317" s="32" t="n">
        <f>2906374016</f>
        <v>2.906374016E9</v>
      </c>
      <c r="X317" s="36" t="n">
        <f>19</f>
        <v>19.0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128600</f>
        <v>128600.0</v>
      </c>
      <c r="L318" s="34" t="s">
        <v>48</v>
      </c>
      <c r="M318" s="33" t="n">
        <f>137300</f>
        <v>137300.0</v>
      </c>
      <c r="N318" s="34" t="s">
        <v>50</v>
      </c>
      <c r="O318" s="33" t="n">
        <f>123500</f>
        <v>123500.0</v>
      </c>
      <c r="P318" s="34" t="s">
        <v>371</v>
      </c>
      <c r="Q318" s="33" t="n">
        <f>136700</f>
        <v>136700.0</v>
      </c>
      <c r="R318" s="34" t="s">
        <v>50</v>
      </c>
      <c r="S318" s="35" t="n">
        <f>128247.37</f>
        <v>128247.37</v>
      </c>
      <c r="T318" s="32" t="n">
        <f>66641</f>
        <v>66641.0</v>
      </c>
      <c r="U318" s="32" t="n">
        <f>19287</f>
        <v>19287.0</v>
      </c>
      <c r="V318" s="32" t="n">
        <f>8610117169</f>
        <v>8.610117169E9</v>
      </c>
      <c r="W318" s="32" t="n">
        <f>2499512669</f>
        <v>2.499512669E9</v>
      </c>
      <c r="X318" s="36" t="n">
        <f>19</f>
        <v>19.0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304500</f>
        <v>304500.0</v>
      </c>
      <c r="L319" s="34" t="s">
        <v>48</v>
      </c>
      <c r="M319" s="33" t="n">
        <f>318000</f>
        <v>318000.0</v>
      </c>
      <c r="N319" s="34" t="s">
        <v>77</v>
      </c>
      <c r="O319" s="33" t="n">
        <f>301500</f>
        <v>301500.0</v>
      </c>
      <c r="P319" s="34" t="s">
        <v>48</v>
      </c>
      <c r="Q319" s="33" t="n">
        <f>313000</f>
        <v>313000.0</v>
      </c>
      <c r="R319" s="34" t="s">
        <v>50</v>
      </c>
      <c r="S319" s="35" t="n">
        <f>309736.84</f>
        <v>309736.84</v>
      </c>
      <c r="T319" s="32" t="n">
        <f>54335</f>
        <v>54335.0</v>
      </c>
      <c r="U319" s="32" t="n">
        <f>9922</f>
        <v>9922.0</v>
      </c>
      <c r="V319" s="32" t="n">
        <f>16834495656</f>
        <v>1.6834495656E10</v>
      </c>
      <c r="W319" s="32" t="n">
        <f>3065933156</f>
        <v>3.065933156E9</v>
      </c>
      <c r="X319" s="36" t="n">
        <f>19</f>
        <v>19.0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153500</f>
        <v>153500.0</v>
      </c>
      <c r="L320" s="34" t="s">
        <v>48</v>
      </c>
      <c r="M320" s="33" t="n">
        <f>162800</f>
        <v>162800.0</v>
      </c>
      <c r="N320" s="34" t="s">
        <v>50</v>
      </c>
      <c r="O320" s="33" t="n">
        <f>148500</f>
        <v>148500.0</v>
      </c>
      <c r="P320" s="34" t="s">
        <v>69</v>
      </c>
      <c r="Q320" s="33" t="n">
        <f>159600</f>
        <v>159600.0</v>
      </c>
      <c r="R320" s="34" t="s">
        <v>50</v>
      </c>
      <c r="S320" s="35" t="n">
        <f>153084.21</f>
        <v>153084.21</v>
      </c>
      <c r="T320" s="32" t="n">
        <f>35916</f>
        <v>35916.0</v>
      </c>
      <c r="U320" s="32" t="n">
        <f>4695</f>
        <v>4695.0</v>
      </c>
      <c r="V320" s="32" t="n">
        <f>5503797382</f>
        <v>5.503797382E9</v>
      </c>
      <c r="W320" s="32" t="n">
        <f>716439082</f>
        <v>7.16439082E8</v>
      </c>
      <c r="X320" s="36" t="n">
        <f>19</f>
        <v>19.0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697000</f>
        <v>697000.0</v>
      </c>
      <c r="L321" s="34" t="s">
        <v>48</v>
      </c>
      <c r="M321" s="33" t="n">
        <f>699000</f>
        <v>699000.0</v>
      </c>
      <c r="N321" s="34" t="s">
        <v>48</v>
      </c>
      <c r="O321" s="33" t="n">
        <f>636000</f>
        <v>636000.0</v>
      </c>
      <c r="P321" s="34" t="s">
        <v>371</v>
      </c>
      <c r="Q321" s="33" t="n">
        <f>675000</f>
        <v>675000.0</v>
      </c>
      <c r="R321" s="34" t="s">
        <v>50</v>
      </c>
      <c r="S321" s="35" t="n">
        <f>660263.16</f>
        <v>660263.16</v>
      </c>
      <c r="T321" s="32" t="n">
        <f>39166</f>
        <v>39166.0</v>
      </c>
      <c r="U321" s="32" t="n">
        <f>9095</f>
        <v>9095.0</v>
      </c>
      <c r="V321" s="32" t="n">
        <f>25853737832</f>
        <v>2.5853737832E10</v>
      </c>
      <c r="W321" s="32" t="n">
        <f>5993142832</f>
        <v>5.993142832E9</v>
      </c>
      <c r="X321" s="36" t="n">
        <f>19</f>
        <v>19.0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74400</f>
        <v>74400.0</v>
      </c>
      <c r="L322" s="34" t="s">
        <v>48</v>
      </c>
      <c r="M322" s="33" t="n">
        <f>81700</f>
        <v>81700.0</v>
      </c>
      <c r="N322" s="34" t="s">
        <v>88</v>
      </c>
      <c r="O322" s="33" t="n">
        <f>71300</f>
        <v>71300.0</v>
      </c>
      <c r="P322" s="34" t="s">
        <v>77</v>
      </c>
      <c r="Q322" s="33" t="n">
        <f>80200</f>
        <v>80200.0</v>
      </c>
      <c r="R322" s="34" t="s">
        <v>50</v>
      </c>
      <c r="S322" s="35" t="n">
        <f>75794.74</f>
        <v>75794.74</v>
      </c>
      <c r="T322" s="32" t="n">
        <f>143322</f>
        <v>143322.0</v>
      </c>
      <c r="U322" s="32" t="n">
        <f>29402</f>
        <v>29402.0</v>
      </c>
      <c r="V322" s="32" t="n">
        <f>10918180105</f>
        <v>1.0918180105E10</v>
      </c>
      <c r="W322" s="32" t="n">
        <f>2215433605</f>
        <v>2.215433605E9</v>
      </c>
      <c r="X322" s="36" t="n">
        <f>19</f>
        <v>19.0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656000</f>
        <v>656000.0</v>
      </c>
      <c r="L323" s="34" t="s">
        <v>48</v>
      </c>
      <c r="M323" s="33" t="n">
        <f>682000</f>
        <v>682000.0</v>
      </c>
      <c r="N323" s="34" t="s">
        <v>50</v>
      </c>
      <c r="O323" s="33" t="n">
        <f>619000</f>
        <v>619000.0</v>
      </c>
      <c r="P323" s="34" t="s">
        <v>613</v>
      </c>
      <c r="Q323" s="33" t="n">
        <f>677000</f>
        <v>677000.0</v>
      </c>
      <c r="R323" s="34" t="s">
        <v>50</v>
      </c>
      <c r="S323" s="35" t="n">
        <f>643578.95</f>
        <v>643578.95</v>
      </c>
      <c r="T323" s="32" t="n">
        <f>24661</f>
        <v>24661.0</v>
      </c>
      <c r="U323" s="32" t="n">
        <f>3705</f>
        <v>3705.0</v>
      </c>
      <c r="V323" s="32" t="n">
        <f>15907560413</f>
        <v>1.5907560413E10</v>
      </c>
      <c r="W323" s="32" t="n">
        <f>2390832413</f>
        <v>2.390832413E9</v>
      </c>
      <c r="X323" s="36" t="n">
        <f>19</f>
        <v>19.0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128200</f>
        <v>128200.0</v>
      </c>
      <c r="L324" s="34" t="s">
        <v>48</v>
      </c>
      <c r="M324" s="33" t="n">
        <f>130500</f>
        <v>130500.0</v>
      </c>
      <c r="N324" s="34" t="s">
        <v>73</v>
      </c>
      <c r="O324" s="33" t="n">
        <f>122400</f>
        <v>122400.0</v>
      </c>
      <c r="P324" s="34" t="s">
        <v>69</v>
      </c>
      <c r="Q324" s="33" t="n">
        <f>127300</f>
        <v>127300.0</v>
      </c>
      <c r="R324" s="34" t="s">
        <v>50</v>
      </c>
      <c r="S324" s="35" t="n">
        <f>126431.58</f>
        <v>126431.58</v>
      </c>
      <c r="T324" s="32" t="n">
        <f>29607</f>
        <v>29607.0</v>
      </c>
      <c r="U324" s="32" t="n">
        <f>4176</f>
        <v>4176.0</v>
      </c>
      <c r="V324" s="32" t="n">
        <f>3753680882</f>
        <v>3.753680882E9</v>
      </c>
      <c r="W324" s="32" t="n">
        <f>528334682</f>
        <v>5.28334682E8</v>
      </c>
      <c r="X324" s="36" t="n">
        <f>19</f>
        <v>19.0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629</v>
      </c>
      <c r="J325" s="32" t="n">
        <v>1.0</v>
      </c>
      <c r="K325" s="33" t="n">
        <f>201400</f>
        <v>201400.0</v>
      </c>
      <c r="L325" s="34" t="s">
        <v>48</v>
      </c>
      <c r="M325" s="33" t="n">
        <f>201800</f>
        <v>201800.0</v>
      </c>
      <c r="N325" s="34" t="s">
        <v>48</v>
      </c>
      <c r="O325" s="33" t="n">
        <f>192700</f>
        <v>192700.0</v>
      </c>
      <c r="P325" s="34" t="s">
        <v>100</v>
      </c>
      <c r="Q325" s="33" t="n">
        <f>200000</f>
        <v>200000.0</v>
      </c>
      <c r="R325" s="34" t="s">
        <v>50</v>
      </c>
      <c r="S325" s="35" t="n">
        <f>196078.95</f>
        <v>196078.95</v>
      </c>
      <c r="T325" s="32" t="n">
        <f>14978</f>
        <v>14978.0</v>
      </c>
      <c r="U325" s="32" t="n">
        <f>2271</f>
        <v>2271.0</v>
      </c>
      <c r="V325" s="32" t="n">
        <f>2938845663</f>
        <v>2.938845663E9</v>
      </c>
      <c r="W325" s="32" t="n">
        <f>444142163</f>
        <v>4.44142163E8</v>
      </c>
      <c r="X325" s="36" t="n">
        <f>19</f>
        <v>19.0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255000</f>
        <v>255000.0</v>
      </c>
      <c r="L326" s="34" t="s">
        <v>48</v>
      </c>
      <c r="M326" s="33" t="n">
        <f>282900</f>
        <v>282900.0</v>
      </c>
      <c r="N326" s="34" t="s">
        <v>50</v>
      </c>
      <c r="O326" s="33" t="n">
        <f>253200</f>
        <v>253200.0</v>
      </c>
      <c r="P326" s="34" t="s">
        <v>48</v>
      </c>
      <c r="Q326" s="33" t="n">
        <f>281300</f>
        <v>281300.0</v>
      </c>
      <c r="R326" s="34" t="s">
        <v>50</v>
      </c>
      <c r="S326" s="35" t="n">
        <f>265536.84</f>
        <v>265536.84</v>
      </c>
      <c r="T326" s="32" t="n">
        <f>108821</f>
        <v>108821.0</v>
      </c>
      <c r="U326" s="32" t="n">
        <f>23292</f>
        <v>23292.0</v>
      </c>
      <c r="V326" s="32" t="n">
        <f>28946262233</f>
        <v>2.8946262233E10</v>
      </c>
      <c r="W326" s="32" t="n">
        <f>6179917633</f>
        <v>6.179917633E9</v>
      </c>
      <c r="X326" s="36" t="n">
        <f>19</f>
        <v>19.0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52800</f>
        <v>52800.0</v>
      </c>
      <c r="L327" s="34" t="s">
        <v>48</v>
      </c>
      <c r="M327" s="33" t="n">
        <f>55300</f>
        <v>55300.0</v>
      </c>
      <c r="N327" s="34" t="s">
        <v>371</v>
      </c>
      <c r="O327" s="33" t="n">
        <f>51000</f>
        <v>51000.0</v>
      </c>
      <c r="P327" s="34" t="s">
        <v>84</v>
      </c>
      <c r="Q327" s="33" t="n">
        <f>52500</f>
        <v>52500.0</v>
      </c>
      <c r="R327" s="34" t="s">
        <v>50</v>
      </c>
      <c r="S327" s="35" t="n">
        <f>53057.89</f>
        <v>53057.89</v>
      </c>
      <c r="T327" s="32" t="n">
        <f>540680</f>
        <v>540680.0</v>
      </c>
      <c r="U327" s="32" t="n">
        <f>127104</f>
        <v>127104.0</v>
      </c>
      <c r="V327" s="32" t="n">
        <f>28733648595</f>
        <v>2.8733648595E10</v>
      </c>
      <c r="W327" s="32" t="n">
        <f>6761111595</f>
        <v>6.761111595E9</v>
      </c>
      <c r="X327" s="36" t="n">
        <f>19</f>
        <v>19.0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96500</f>
        <v>96500.0</v>
      </c>
      <c r="L328" s="34" t="s">
        <v>48</v>
      </c>
      <c r="M328" s="33" t="n">
        <f>101400</f>
        <v>101400.0</v>
      </c>
      <c r="N328" s="34" t="s">
        <v>50</v>
      </c>
      <c r="O328" s="33" t="n">
        <f>93600</f>
        <v>93600.0</v>
      </c>
      <c r="P328" s="34" t="s">
        <v>49</v>
      </c>
      <c r="Q328" s="33" t="n">
        <f>100400</f>
        <v>100400.0</v>
      </c>
      <c r="R328" s="34" t="s">
        <v>50</v>
      </c>
      <c r="S328" s="35" t="n">
        <f>96563.16</f>
        <v>96563.16</v>
      </c>
      <c r="T328" s="32" t="n">
        <f>122184</f>
        <v>122184.0</v>
      </c>
      <c r="U328" s="32" t="n">
        <f>28025</f>
        <v>28025.0</v>
      </c>
      <c r="V328" s="32" t="n">
        <f>11789305140</f>
        <v>1.178930514E10</v>
      </c>
      <c r="W328" s="32" t="n">
        <f>2700195440</f>
        <v>2.70019544E9</v>
      </c>
      <c r="X328" s="36" t="n">
        <f>19</f>
        <v>19.0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127400</f>
        <v>127400.0</v>
      </c>
      <c r="L329" s="34" t="s">
        <v>48</v>
      </c>
      <c r="M329" s="33" t="n">
        <f>129300</f>
        <v>129300.0</v>
      </c>
      <c r="N329" s="34" t="s">
        <v>50</v>
      </c>
      <c r="O329" s="33" t="n">
        <f>119500</f>
        <v>119500.0</v>
      </c>
      <c r="P329" s="34" t="s">
        <v>100</v>
      </c>
      <c r="Q329" s="33" t="n">
        <f>127300</f>
        <v>127300.0</v>
      </c>
      <c r="R329" s="34" t="s">
        <v>50</v>
      </c>
      <c r="S329" s="35" t="n">
        <f>124321.05</f>
        <v>124321.05</v>
      </c>
      <c r="T329" s="32" t="n">
        <f>92199</f>
        <v>92199.0</v>
      </c>
      <c r="U329" s="32" t="n">
        <f>26696</f>
        <v>26696.0</v>
      </c>
      <c r="V329" s="32" t="n">
        <f>11479847093</f>
        <v>1.1479847093E10</v>
      </c>
      <c r="W329" s="32" t="n">
        <f>3315619093</f>
        <v>3.315619093E9</v>
      </c>
      <c r="X329" s="36" t="n">
        <f>19</f>
        <v>19.0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114800</f>
        <v>114800.0</v>
      </c>
      <c r="L330" s="34" t="s">
        <v>48</v>
      </c>
      <c r="M330" s="33" t="n">
        <f>117000</f>
        <v>117000.0</v>
      </c>
      <c r="N330" s="34" t="s">
        <v>50</v>
      </c>
      <c r="O330" s="33" t="n">
        <f>114800</f>
        <v>114800.0</v>
      </c>
      <c r="P330" s="34" t="s">
        <v>48</v>
      </c>
      <c r="Q330" s="33" t="n">
        <f>116600</f>
        <v>116600.0</v>
      </c>
      <c r="R330" s="34" t="s">
        <v>50</v>
      </c>
      <c r="S330" s="35" t="n">
        <f>116147.37</f>
        <v>116147.37</v>
      </c>
      <c r="T330" s="32" t="n">
        <f>7742</f>
        <v>7742.0</v>
      </c>
      <c r="U330" s="32" t="n">
        <f>337</f>
        <v>337.0</v>
      </c>
      <c r="V330" s="32" t="n">
        <f>898699650</f>
        <v>8.9869965E8</v>
      </c>
      <c r="W330" s="32" t="n">
        <f>39137950</f>
        <v>3.913795E7</v>
      </c>
      <c r="X330" s="36" t="n">
        <f>19</f>
        <v>19.0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629</v>
      </c>
      <c r="J331" s="32" t="n">
        <v>1.0</v>
      </c>
      <c r="K331" s="33" t="n">
        <f>62300</f>
        <v>62300.0</v>
      </c>
      <c r="L331" s="34" t="s">
        <v>48</v>
      </c>
      <c r="M331" s="33" t="n">
        <f>64000</f>
        <v>64000.0</v>
      </c>
      <c r="N331" s="34" t="s">
        <v>69</v>
      </c>
      <c r="O331" s="33" t="n">
        <f>61600</f>
        <v>61600.0</v>
      </c>
      <c r="P331" s="34" t="s">
        <v>48</v>
      </c>
      <c r="Q331" s="33" t="n">
        <f>63300</f>
        <v>63300.0</v>
      </c>
      <c r="R331" s="34" t="s">
        <v>50</v>
      </c>
      <c r="S331" s="35" t="n">
        <f>63210.53</f>
        <v>63210.53</v>
      </c>
      <c r="T331" s="32" t="n">
        <f>3421</f>
        <v>3421.0</v>
      </c>
      <c r="U331" s="32" t="str">
        <f>"－"</f>
        <v>－</v>
      </c>
      <c r="V331" s="32" t="n">
        <f>215924400</f>
        <v>2.159244E8</v>
      </c>
      <c r="W331" s="32" t="str">
        <f>"－"</f>
        <v>－</v>
      </c>
      <c r="X331" s="36" t="n">
        <f>19</f>
        <v>19.0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629</v>
      </c>
      <c r="J332" s="32" t="n">
        <v>1.0</v>
      </c>
      <c r="K332" s="33" t="n">
        <f>109000</f>
        <v>109000.0</v>
      </c>
      <c r="L332" s="34" t="s">
        <v>48</v>
      </c>
      <c r="M332" s="33" t="n">
        <f>110400</f>
        <v>110400.0</v>
      </c>
      <c r="N332" s="34" t="s">
        <v>96</v>
      </c>
      <c r="O332" s="33" t="n">
        <f>104100</f>
        <v>104100.0</v>
      </c>
      <c r="P332" s="34" t="s">
        <v>50</v>
      </c>
      <c r="Q332" s="33" t="n">
        <f>104100</f>
        <v>104100.0</v>
      </c>
      <c r="R332" s="34" t="s">
        <v>50</v>
      </c>
      <c r="S332" s="35" t="n">
        <f>108252.63</f>
        <v>108252.63</v>
      </c>
      <c r="T332" s="32" t="n">
        <f>11204</f>
        <v>11204.0</v>
      </c>
      <c r="U332" s="32" t="n">
        <f>1039</f>
        <v>1039.0</v>
      </c>
      <c r="V332" s="32" t="n">
        <f>1208455500</f>
        <v>1.2084555E9</v>
      </c>
      <c r="W332" s="32" t="n">
        <f>114188500</f>
        <v>1.141885E8</v>
      </c>
      <c r="X332" s="36" t="n">
        <f>19</f>
        <v>19.0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629</v>
      </c>
      <c r="J333" s="32" t="n">
        <v>1.0</v>
      </c>
      <c r="K333" s="33" t="n">
        <f>133500</f>
        <v>133500.0</v>
      </c>
      <c r="L333" s="34" t="s">
        <v>48</v>
      </c>
      <c r="M333" s="33" t="n">
        <f>134900</f>
        <v>134900.0</v>
      </c>
      <c r="N333" s="34" t="s">
        <v>84</v>
      </c>
      <c r="O333" s="33" t="n">
        <f>129100</f>
        <v>129100.0</v>
      </c>
      <c r="P333" s="34" t="s">
        <v>50</v>
      </c>
      <c r="Q333" s="33" t="n">
        <f>130300</f>
        <v>130300.0</v>
      </c>
      <c r="R333" s="34" t="s">
        <v>50</v>
      </c>
      <c r="S333" s="35" t="n">
        <f>131773.68</f>
        <v>131773.68</v>
      </c>
      <c r="T333" s="32" t="n">
        <f>4752</f>
        <v>4752.0</v>
      </c>
      <c r="U333" s="32" t="n">
        <f>207</f>
        <v>207.0</v>
      </c>
      <c r="V333" s="32" t="n">
        <f>628533070</f>
        <v>6.2853307E8</v>
      </c>
      <c r="W333" s="32" t="n">
        <f>27717870</f>
        <v>2.771787E7</v>
      </c>
      <c r="X333" s="36" t="n">
        <f>19</f>
        <v>19.0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629</v>
      </c>
      <c r="J334" s="32" t="n">
        <v>1.0</v>
      </c>
      <c r="K334" s="33" t="n">
        <f>93100</f>
        <v>93100.0</v>
      </c>
      <c r="L334" s="34" t="s">
        <v>48</v>
      </c>
      <c r="M334" s="33" t="n">
        <f>93900</f>
        <v>93900.0</v>
      </c>
      <c r="N334" s="34" t="s">
        <v>172</v>
      </c>
      <c r="O334" s="33" t="n">
        <f>92600</f>
        <v>92600.0</v>
      </c>
      <c r="P334" s="34" t="s">
        <v>48</v>
      </c>
      <c r="Q334" s="33" t="n">
        <f>93700</f>
        <v>93700.0</v>
      </c>
      <c r="R334" s="34" t="s">
        <v>50</v>
      </c>
      <c r="S334" s="35" t="n">
        <f>93463.16</f>
        <v>93463.16</v>
      </c>
      <c r="T334" s="32" t="n">
        <f>5588</f>
        <v>5588.0</v>
      </c>
      <c r="U334" s="32" t="str">
        <f>"－"</f>
        <v>－</v>
      </c>
      <c r="V334" s="32" t="n">
        <f>522339000</f>
        <v>5.22339E8</v>
      </c>
      <c r="W334" s="32" t="str">
        <f>"－"</f>
        <v>－</v>
      </c>
      <c r="X334" s="36" t="n">
        <f>19</f>
        <v>19.0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629</v>
      </c>
      <c r="J335" s="32" t="n">
        <v>1.0</v>
      </c>
      <c r="K335" s="33" t="n">
        <f>89000</f>
        <v>89000.0</v>
      </c>
      <c r="L335" s="34" t="s">
        <v>48</v>
      </c>
      <c r="M335" s="33" t="n">
        <f>89300</f>
        <v>89300.0</v>
      </c>
      <c r="N335" s="34" t="s">
        <v>48</v>
      </c>
      <c r="O335" s="33" t="n">
        <f>88200</f>
        <v>88200.0</v>
      </c>
      <c r="P335" s="34" t="s">
        <v>50</v>
      </c>
      <c r="Q335" s="33" t="n">
        <f>88300</f>
        <v>88300.0</v>
      </c>
      <c r="R335" s="34" t="s">
        <v>50</v>
      </c>
      <c r="S335" s="35" t="n">
        <f>88894.74</f>
        <v>88894.74</v>
      </c>
      <c r="T335" s="32" t="n">
        <f>35351</f>
        <v>35351.0</v>
      </c>
      <c r="U335" s="32" t="n">
        <f>1946</f>
        <v>1946.0</v>
      </c>
      <c r="V335" s="32" t="n">
        <f>3143691000</f>
        <v>3.143691E9</v>
      </c>
      <c r="W335" s="32" t="n">
        <f>173643000</f>
        <v>1.73643E8</v>
      </c>
      <c r="X335" s="36" t="n">
        <f>19</f>
        <v>19.0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629</v>
      </c>
      <c r="J336" s="32" t="n">
        <v>1.0</v>
      </c>
      <c r="K336" s="33" t="n">
        <f>92800</f>
        <v>92800.0</v>
      </c>
      <c r="L336" s="34" t="s">
        <v>48</v>
      </c>
      <c r="M336" s="33" t="n">
        <f>93700</f>
        <v>93700.0</v>
      </c>
      <c r="N336" s="34" t="s">
        <v>77</v>
      </c>
      <c r="O336" s="33" t="n">
        <f>92400</f>
        <v>92400.0</v>
      </c>
      <c r="P336" s="34" t="s">
        <v>84</v>
      </c>
      <c r="Q336" s="33" t="n">
        <f>93000</f>
        <v>93000.0</v>
      </c>
      <c r="R336" s="34" t="s">
        <v>50</v>
      </c>
      <c r="S336" s="35" t="n">
        <f>92847.37</f>
        <v>92847.37</v>
      </c>
      <c r="T336" s="32" t="n">
        <f>16335</f>
        <v>16335.0</v>
      </c>
      <c r="U336" s="32" t="n">
        <f>609</f>
        <v>609.0</v>
      </c>
      <c r="V336" s="32" t="n">
        <f>1516143477</f>
        <v>1.516143477E9</v>
      </c>
      <c r="W336" s="32" t="n">
        <f>56178577</f>
        <v>5.6178577E7</v>
      </c>
      <c r="X336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