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<sst xmlns="http://schemas.openxmlformats.org/spreadsheetml/2006/main" count="4066" uniqueCount="1071">
  <si>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</si>
  <si>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</si>
  <si>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</si>
  <si>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</si>
  <si>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</si>
  <si>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</si>
  <si>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</si>
  <si>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</si>
  <si>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</si>
  <si>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</si>
  <si>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</si>
  <si>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</si>
  <si>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</si>
  <si>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</si>
  <si>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</si>
  <si>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</si>
  <si>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</si>
  <si>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</si>
  <si>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</si>
  <si>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</si>
  <si>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</si>
  <si>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</si>
  <si>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</si>
  <si>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</si>
  <si>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</si>
  <si>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</si>
  <si>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</si>
  <si>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</si>
  <si>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</si>
  <si>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</si>
  <si>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</si>
  <si>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</si>
  <si>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</si>
  <si>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</si>
  <si>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</si>
  <si>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</si>
  <si>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</si>
  <si>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</si>
  <si>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</si>
  <si>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</si>
  <si>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</si>
  <si>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</si>
  <si>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2021/02</t>
  </si>
  <si>
    <t>1305</t>
  </si>
  <si>
    <t>ダイワ上場投信－トピックス　受益証券</t>
  </si>
  <si>
    <t>Daiwa ETF-TOPIX</t>
  </si>
  <si>
    <t/>
  </si>
  <si>
    <t>貸借</t>
  </si>
  <si>
    <t>1</t>
  </si>
  <si>
    <t>16</t>
  </si>
  <si>
    <t>26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</si>
  <si>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</si>
  <si>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</si>
  <si>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</si>
  <si>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</si>
  <si>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</si>
  <si>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</si>
  <si>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</si>
  <si>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</si>
  <si>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</si>
  <si>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18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</si>
  <si>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</si>
  <si>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</si>
  <si>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</si>
  <si>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</si>
  <si>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</si>
  <si>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</si>
  <si>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1313</t>
  </si>
  <si>
    <t>サムスンＫＯＤＥＸ２００証券上場指数投資信託[株式]　受益証券</t>
  </si>
  <si>
    <t>SAMSUNG KODEX200 SECURITIES EXCHANGE TRADED FUND [STOCK]</t>
  </si>
  <si>
    <t>17</t>
  </si>
  <si>
    <t>1319</t>
  </si>
  <si>
    <t>ＮＥＸＴ　ＦＵＮＤＳ　日経３００株価指数連動型上場投信　受益証券</t>
  </si>
  <si>
    <t>NEXT FUNDS Nikkei 300 Index Exchange Traded Fund</t>
  </si>
  <si>
    <t>22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</si>
  <si>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</si>
  <si>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</si>
  <si>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</si>
  <si>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</si>
  <si>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</si>
  <si>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</si>
  <si>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</si>
  <si>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</si>
  <si>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</si>
  <si>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</si>
  <si>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</si>
  <si>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</si>
  <si>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</si>
  <si>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</si>
  <si>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</si>
  <si>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</si>
  <si>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</si>
  <si>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</si>
  <si>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8</t>
  </si>
  <si>
    <t>24</t>
  </si>
  <si>
    <t>1326</t>
  </si>
  <si>
    <t>ＳＰＤＲゴールド・シェア　受益証券</t>
  </si>
  <si>
    <t>SPDR Gold Shares</t>
  </si>
  <si>
    <t>2</t>
  </si>
  <si>
    <t>19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</si>
  <si>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</si>
  <si>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</si>
  <si>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</si>
  <si>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</si>
  <si>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</si>
  <si>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</si>
  <si>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</si>
  <si>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</si>
  <si>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</si>
  <si>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</si>
  <si>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</si>
  <si>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</si>
  <si>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</si>
  <si>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</si>
  <si>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</si>
  <si>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3</t>
  </si>
  <si>
    <t>1344</t>
  </si>
  <si>
    <t>ＭＡＸＩＳ　トピックス・コア３０上場投信　受益証券</t>
  </si>
  <si>
    <t>MAXIS TOPIX Core30 ETF</t>
  </si>
  <si>
    <t>5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</si>
  <si>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</si>
  <si>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</si>
  <si>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</si>
  <si>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</si>
  <si>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</si>
  <si>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</si>
  <si>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</si>
  <si>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</si>
  <si>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</si>
  <si>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</si>
  <si>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</si>
  <si>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</si>
  <si>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</si>
  <si>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</si>
  <si>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</si>
  <si>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</si>
  <si>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</si>
  <si>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</si>
  <si>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</si>
  <si>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</si>
  <si>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</si>
  <si>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</si>
  <si>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</si>
  <si>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</si>
  <si>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</si>
  <si>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</si>
  <si>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</si>
  <si>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</si>
  <si>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</si>
  <si>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</si>
  <si>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</si>
  <si>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</si>
  <si>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</si>
  <si>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</si>
  <si>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</si>
  <si>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</si>
  <si>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</si>
  <si>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</si>
  <si>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</si>
  <si>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</si>
  <si>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</si>
  <si>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</si>
  <si>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</si>
  <si>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</si>
  <si>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</si>
  <si>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</si>
  <si>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</si>
  <si>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</si>
  <si>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</si>
  <si>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</si>
  <si>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</si>
  <si>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</si>
  <si>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</si>
  <si>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</si>
  <si>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12</t>
  </si>
  <si>
    <t>25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</si>
  <si>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</si>
  <si>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</si>
  <si>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</si>
  <si>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</si>
  <si>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</si>
  <si>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</si>
  <si>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9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</si>
  <si>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</si>
  <si>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</si>
  <si>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</si>
  <si>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</si>
  <si>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</si>
  <si>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</si>
  <si>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</si>
  <si>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</si>
  <si>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</si>
  <si>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</si>
  <si>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</si>
  <si>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</si>
  <si>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</si>
  <si>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</si>
  <si>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</si>
  <si>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</si>
  <si>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</si>
  <si>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</si>
  <si>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</si>
  <si>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</si>
  <si>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</si>
  <si>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</si>
  <si>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</si>
  <si>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</si>
  <si>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</si>
  <si>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</si>
  <si>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</si>
  <si>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</si>
  <si>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</si>
  <si>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</si>
  <si>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</si>
  <si>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</si>
  <si>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</si>
  <si>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</si>
  <si>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</si>
  <si>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</si>
  <si>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</si>
  <si>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</si>
  <si>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</si>
  <si>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</si>
  <si>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</si>
  <si>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</si>
  <si>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</si>
  <si>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</si>
  <si>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</si>
  <si>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</si>
  <si>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</si>
  <si>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</si>
  <si>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</si>
  <si>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</si>
  <si>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</si>
  <si>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</si>
  <si>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</si>
  <si>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</si>
  <si>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</si>
  <si>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</si>
  <si>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</si>
  <si>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</si>
  <si>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</si>
  <si>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</si>
  <si>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</si>
  <si>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</si>
  <si>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</si>
  <si>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</si>
  <si>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</si>
  <si>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</si>
  <si>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</si>
  <si>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</si>
  <si>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</si>
  <si>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</si>
  <si>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</si>
  <si>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</si>
  <si>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</si>
  <si>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</si>
  <si>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</si>
  <si>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</si>
  <si>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</si>
  <si>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</si>
  <si>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</si>
  <si>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</si>
  <si>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</si>
  <si>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</si>
  <si>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</si>
  <si>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</si>
  <si>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</si>
  <si>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</si>
  <si>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</si>
  <si>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</si>
  <si>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</si>
  <si>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</si>
  <si>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</si>
  <si>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</si>
  <si>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</si>
  <si>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</si>
  <si>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</si>
  <si>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</si>
  <si>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</si>
  <si>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</si>
  <si>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</si>
  <si>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</si>
  <si>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</si>
  <si>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</si>
  <si>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</si>
  <si>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</si>
  <si>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</si>
  <si>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</si>
  <si>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</si>
  <si>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</si>
  <si>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</si>
  <si>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</si>
  <si>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</si>
  <si>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</si>
  <si>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</si>
  <si>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</si>
  <si>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</si>
  <si>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</si>
  <si>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</si>
  <si>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</si>
  <si>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</si>
  <si>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</si>
  <si>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15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</si>
  <si>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</si>
  <si>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</si>
  <si>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</si>
  <si>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</si>
  <si>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</si>
  <si>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</si>
  <si>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</si>
  <si>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</si>
  <si>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</si>
  <si>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</si>
  <si>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</si>
  <si>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</si>
  <si>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</si>
  <si>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</si>
  <si>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</si>
  <si>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</si>
  <si>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</si>
  <si>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</si>
  <si>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</si>
  <si>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</si>
  <si>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</si>
  <si>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</si>
  <si>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</si>
  <si>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</si>
  <si>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</si>
  <si>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</si>
  <si>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</si>
  <si>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</si>
  <si>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</si>
  <si>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</si>
  <si>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</si>
  <si>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</si>
  <si>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</si>
  <si>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</si>
  <si>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</si>
  <si>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</si>
  <si>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</si>
  <si>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</si>
  <si>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</si>
  <si>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</si>
  <si>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</si>
  <si>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</si>
  <si>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</si>
  <si>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</si>
  <si>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</si>
  <si>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</si>
  <si>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</si>
  <si>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</si>
  <si>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</si>
  <si>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</si>
  <si>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</si>
  <si>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</si>
  <si>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</si>
  <si>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</si>
  <si>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</si>
  <si>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</si>
  <si>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</si>
  <si>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</si>
  <si>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</si>
  <si>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</si>
  <si>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</si>
  <si>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</si>
  <si>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</si>
  <si>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</si>
  <si>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</si>
  <si>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</si>
  <si>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</si>
  <si>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</si>
  <si>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</si>
  <si>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</si>
  <si>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</si>
  <si>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</si>
  <si>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</si>
  <si>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</si>
  <si>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</si>
  <si>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</si>
  <si>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</si>
  <si>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</si>
  <si>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</si>
  <si>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</si>
  <si>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</si>
  <si>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</si>
  <si>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</si>
  <si>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</si>
  <si>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</si>
  <si>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</si>
  <si>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</si>
  <si>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</si>
  <si>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</si>
  <si>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</si>
  <si>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</si>
  <si>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</si>
  <si>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</si>
  <si>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</si>
  <si>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</si>
  <si>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</si>
  <si>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</si>
  <si>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</si>
  <si>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</si>
  <si>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</si>
  <si>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</si>
  <si>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</si>
  <si>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確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</si>
  <si>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</si>
  <si>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</si>
  <si>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</si>
  <si>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</si>
  <si>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</si>
  <si>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</si>
  <si>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</si>
  <si>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</si>
  <si>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</si>
  <si>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</si>
  <si>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</si>
  <si>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</si>
  <si>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</si>
  <si>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</si>
  <si>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</si>
  <si>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</si>
  <si>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</si>
  <si>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</si>
  <si>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</si>
  <si>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</si>
  <si>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</si>
  <si>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</si>
  <si>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</si>
  <si>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</si>
  <si>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</si>
  <si>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</si>
  <si>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</si>
  <si>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</si>
  <si>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</si>
  <si>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</si>
  <si>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</si>
  <si>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</si>
  <si>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</si>
  <si>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</si>
  <si>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</si>
  <si>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</si>
  <si>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</si>
  <si>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</si>
  <si>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</si>
  <si>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</si>
  <si>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</si>
  <si>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</si>
  <si>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</si>
  <si>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</si>
  <si>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</si>
  <si>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</si>
  <si>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</si>
  <si>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</si>
  <si>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</si>
  <si>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</si>
  <si>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</si>
  <si>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</si>
  <si>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</si>
  <si>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</si>
  <si>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</si>
  <si>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</si>
  <si>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</si>
  <si>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</si>
  <si>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</si>
  <si>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</si>
  <si>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</si>
  <si>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</si>
  <si>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</si>
  <si>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</si>
  <si>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</si>
  <si>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</si>
  <si>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</si>
  <si>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</si>
  <si>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</si>
  <si>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</si>
  <si>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</si>
  <si>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</si>
  <si>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</si>
  <si>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</si>
  <si>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</si>
  <si>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</si>
  <si>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</si>
  <si>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</si>
  <si>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</si>
  <si>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</si>
  <si>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</si>
  <si>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10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</si>
  <si>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</si>
  <si>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</si>
  <si>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</si>
  <si>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</si>
  <si>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</si>
  <si>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</si>
  <si>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</si>
  <si>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</si>
  <si>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</si>
  <si>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</si>
  <si>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</si>
  <si>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</si>
  <si>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</si>
  <si>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</si>
  <si>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</si>
  <si>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</si>
  <si>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</si>
  <si>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</si>
  <si>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</si>
  <si>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</si>
  <si>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</si>
  <si>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</si>
  <si>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</si>
  <si>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</si>
  <si>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</si>
  <si>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</si>
  <si>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</si>
  <si>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</si>
  <si>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</si>
  <si>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</si>
  <si>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</si>
  <si>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</si>
  <si>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</si>
  <si>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</si>
  <si>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</si>
  <si>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</si>
  <si>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</si>
  <si>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</si>
  <si>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</si>
  <si>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</si>
  <si>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</si>
  <si>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</si>
  <si>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</si>
  <si>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</si>
  <si>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</si>
  <si>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</si>
  <si>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</si>
  <si>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</si>
  <si>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</si>
  <si>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</si>
  <si>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</si>
  <si>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</si>
  <si>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</si>
  <si>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</si>
  <si>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</si>
  <si>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</si>
  <si>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</si>
  <si>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</si>
  <si>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</si>
  <si>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</si>
  <si>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4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</si>
  <si>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</si>
  <si>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</si>
  <si>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</si>
  <si>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</si>
  <si>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</si>
  <si>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</si>
  <si>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</si>
  <si>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</si>
  <si>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</si>
  <si>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</si>
  <si>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</si>
  <si>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</si>
  <si>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</si>
  <si>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</si>
  <si>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</si>
  <si>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</si>
  <si>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</si>
  <si>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</si>
  <si>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</si>
  <si>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</si>
  <si>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</si>
  <si>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</si>
  <si>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</si>
  <si>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</si>
  <si>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</si>
  <si>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</si>
  <si>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</si>
  <si>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</si>
  <si>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</si>
  <si>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</si>
  <si>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</si>
  <si>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</si>
  <si>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</si>
  <si>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</si>
  <si>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</si>
  <si>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</si>
  <si>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</si>
  <si>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</si>
  <si>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</si>
  <si>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</si>
  <si>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</si>
  <si>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</si>
  <si>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</si>
  <si>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</si>
  <si>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</si>
  <si>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</si>
  <si>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</si>
  <si>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</si>
  <si>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</si>
  <si>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</si>
  <si>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</si>
  <si>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</si>
  <si>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</si>
  <si>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</si>
  <si>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</si>
  <si>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</si>
  <si>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</si>
  <si>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</si>
  <si>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</si>
  <si>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</si>
  <si>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</si>
  <si>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</si>
  <si>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</si>
  <si>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</si>
  <si>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</si>
  <si>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</si>
  <si>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</si>
  <si>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</si>
  <si>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</si>
  <si>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</si>
  <si>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</si>
  <si>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</si>
  <si>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</si>
  <si>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</si>
  <si>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</si>
  <si>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</si>
  <si>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</si>
  <si>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</si>
  <si>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</si>
  <si>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</si>
  <si>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</si>
  <si>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</si>
  <si>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</si>
  <si>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</si>
  <si>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</si>
  <si>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</si>
  <si>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</si>
  <si>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</si>
  <si>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</si>
  <si>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</si>
  <si>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</si>
  <si>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</si>
  <si>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</si>
  <si>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</si>
  <si>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</si>
  <si>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</si>
  <si>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</si>
  <si>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</si>
  <si>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</si>
  <si>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</si>
  <si>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</si>
  <si>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</si>
  <si>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</si>
  <si>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</si>
  <si>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</si>
  <si>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</si>
  <si>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</si>
  <si>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</si>
  <si>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</si>
  <si>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</si>
  <si>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</si>
  <si>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</si>
  <si>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</si>
  <si>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</si>
  <si>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</si>
  <si>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</si>
  <si>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</si>
  <si>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</si>
  <si>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</si>
  <si>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</si>
  <si>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</si>
  <si>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</si>
  <si>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</si>
  <si>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</si>
  <si>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</si>
  <si>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</si>
  <si>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</si>
  <si>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</si>
  <si>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</si>
  <si>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</si>
  <si>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</si>
  <si>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</si>
  <si>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</si>
  <si>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</si>
  <si>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</si>
  <si>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</si>
  <si>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</si>
  <si>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</si>
  <si>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</si>
  <si>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</si>
  <si>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</si>
  <si>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</si>
  <si>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</si>
  <si>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</si>
  <si>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</si>
  <si>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</si>
  <si>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</si>
  <si>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</si>
  <si>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</si>
  <si>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</si>
  <si>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</si>
  <si>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</si>
  <si>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</si>
  <si>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</si>
  <si>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</si>
  <si>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</si>
  <si>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</si>
  <si>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</si>
  <si>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</si>
  <si>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</si>
  <si>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</si>
  <si>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</si>
  <si>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</si>
  <si>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</si>
  <si>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</si>
  <si>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</si>
  <si>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</si>
  <si>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</si>
  <si>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</si>
  <si>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</si>
  <si>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</si>
  <si>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</si>
  <si>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</si>
  <si>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</si>
  <si>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</si>
  <si>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</si>
  <si>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</si>
  <si>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</si>
  <si>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</si>
  <si>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</si>
  <si>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</si>
  <si>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</si>
  <si>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</si>
  <si>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</si>
  <si>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</si>
  <si>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</si>
  <si>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</si>
  <si>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</si>
  <si>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</si>
  <si>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</si>
  <si>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</si>
  <si>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</si>
  <si>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</si>
  <si>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</si>
  <si>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</si>
  <si>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</si>
  <si>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</si>
  <si>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</si>
  <si>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</si>
  <si>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</si>
  <si>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</si>
  <si>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</si>
  <si>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</si>
  <si>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</si>
  <si>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</si>
  <si>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</si>
  <si>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</si>
  <si>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</si>
  <si>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</si>
  <si>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</si>
  <si>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</si>
  <si>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</si>
  <si>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</si>
  <si>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</si>
  <si>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</si>
  <si>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</si>
  <si>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</si>
  <si>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</si>
  <si>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</si>
  <si>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</si>
  <si>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</si>
  <si>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</si>
  <si>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</si>
  <si>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</si>
  <si>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</si>
  <si>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</si>
  <si>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</si>
  <si>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</si>
  <si>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</si>
  <si>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</si>
  <si>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</si>
  <si>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</si>
  <si>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</si>
  <si>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</si>
  <si>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</si>
  <si>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</si>
  <si>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</si>
  <si>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</si>
  <si>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</si>
  <si>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</si>
  <si>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</si>
  <si>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</si>
  <si>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</si>
  <si>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</si>
  <si>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</si>
  <si>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</si>
  <si>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</si>
  <si>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</si>
  <si>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</si>
  <si>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</si>
  <si>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</si>
  <si>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</si>
  <si>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</si>
  <si>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</si>
  <si>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</si>
  <si>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</si>
  <si>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</si>
  <si>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</si>
  <si>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</si>
  <si>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</si>
  <si>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</si>
  <si>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</si>
  <si>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</si>
  <si>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</si>
  <si>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</si>
  <si>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</si>
  <si>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</si>
  <si>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</si>
  <si>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</si>
  <si>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</si>
  <si>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</si>
  <si>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</si>
  <si>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</si>
  <si>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</si>
  <si>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</si>
  <si>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</si>
  <si>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</si>
  <si>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</si>
  <si>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</si>
  <si>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</si>
  <si>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</si>
  <si>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</si>
  <si>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</si>
  <si>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</si>
  <si>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</si>
  <si>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</si>
  <si>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</si>
  <si>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</si>
  <si>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</si>
  <si>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</si>
  <si>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</si>
  <si>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</si>
  <si>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</si>
  <si>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</si>
  <si>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</si>
  <si>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</si>
  <si>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</si>
  <si>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</si>
  <si>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2630</t>
  </si>
  <si>
    <t>ＭＡＸＩＳ米国株式（Ｓ＆Ｐ５００）上場投信（為替ヘッジあり）　受益証券</t>
  </si>
  <si>
    <t>MAXIS S&amp;P500 US Equity ETF (JPY Hedged)</t>
  </si>
  <si>
    <t xml:space="preserve">新規上場  </t>
  </si>
  <si>
    <t xml:space="preserve">New Listing  </t>
  </si>
  <si>
    <t xml:space="preserve">2021/02/25  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</si>
  <si>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</si>
  <si>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</si>
  <si>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</si>
  <si>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</si>
  <si>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</si>
  <si>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</si>
  <si>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</si>
  <si>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</si>
  <si>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</si>
  <si>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</si>
  <si>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</si>
  <si>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</si>
  <si>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</si>
  <si>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</si>
  <si>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</si>
  <si>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</si>
  <si>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</si>
  <si>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</si>
  <si>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</si>
  <si>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</si>
  <si>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</si>
  <si>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 xml:space="preserve">上場廃止  </t>
  </si>
  <si>
    <t xml:space="preserve">Removal  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</si>
  <si>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</si>
  <si>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</si>
  <si>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</si>
  <si>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</si>
  <si>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</si>
  <si>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</si>
  <si>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</si>
  <si>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</si>
  <si>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</si>
  <si>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</si>
  <si>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</si>
  <si>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</si>
  <si>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</si>
  <si>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</si>
  <si>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</si>
  <si>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</si>
  <si>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</si>
  <si>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</si>
  <si>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</si>
  <si>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</si>
  <si>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</si>
  <si>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</si>
  <si>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</si>
  <si>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</si>
  <si>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</si>
  <si>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</si>
  <si>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</si>
  <si>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</si>
  <si>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</si>
  <si>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</si>
  <si>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</si>
  <si>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</si>
  <si>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</si>
  <si>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</si>
  <si>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</si>
  <si>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</si>
  <si>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</si>
  <si>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</si>
  <si>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</si>
  <si>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</si>
  <si>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</si>
  <si>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</si>
  <si>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</si>
  <si>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</si>
  <si>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</si>
  <si>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</si>
  <si>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</si>
  <si>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</si>
  <si>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</si>
  <si>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</si>
  <si>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</si>
  <si>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</si>
  <si>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</si>
  <si>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</si>
  <si>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</si>
  <si>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</si>
  <si>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</si>
  <si>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</si>
  <si>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</si>
  <si>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</si>
  <si>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</si>
  <si>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</si>
  <si>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</si>
  <si>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</si>
  <si>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</si>
  <si>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</si>
  <si>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</si>
  <si>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</si>
  <si>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</si>
  <si>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</si>
  <si>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</si>
  <si>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</si>
  <si>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</si>
  <si>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</si>
  <si>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</si>
  <si>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</si>
  <si>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</si>
  <si>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</si>
  <si>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</si>
  <si>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</si>
  <si>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</si>
  <si>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</si>
  <si>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</si>
  <si>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</si>
  <si>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</si>
  <si>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</si>
  <si>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</si>
  <si>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</si>
  <si>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</si>
  <si>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</si>
  <si>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</si>
  <si>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</si>
  <si>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</si>
  <si>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</si>
  <si>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</si>
  <si>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</si>
  <si>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</si>
  <si>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</si>
  <si>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</si>
  <si>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</si>
  <si>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</si>
  <si>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</si>
  <si>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</si>
  <si>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</si>
  <si>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</si>
  <si>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</si>
  <si>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</si>
  <si>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</si>
  <si>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 xml:space="preserve">新株落ち  </t>
  </si>
  <si>
    <t xml:space="preserve">ex-subscription right  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</si>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</sst>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4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1897</f>
        <v>1897.0</v>
      </c>
      <c r="L7" s="34" t="s">
        <v>48</v>
      </c>
      <c r="M7" s="33" t="n">
        <f>2078</f>
        <v>2078.0</v>
      </c>
      <c r="N7" s="34" t="s">
        <v>49</v>
      </c>
      <c r="O7" s="33" t="n">
        <f>1896</f>
        <v>1896.0</v>
      </c>
      <c r="P7" s="34" t="s">
        <v>48</v>
      </c>
      <c r="Q7" s="33" t="n">
        <f>1953</f>
        <v>1953.0</v>
      </c>
      <c r="R7" s="34" t="s">
        <v>50</v>
      </c>
      <c r="S7" s="35" t="n">
        <f>2009.5</f>
        <v>2009.5</v>
      </c>
      <c r="T7" s="32" t="n">
        <f>5878630</f>
        <v>5878630.0</v>
      </c>
      <c r="U7" s="32" t="n">
        <f>960000</f>
        <v>960000.0</v>
      </c>
      <c r="V7" s="32" t="n">
        <f>11844684040</f>
        <v>1.184468404E10</v>
      </c>
      <c r="W7" s="32" t="n">
        <f>1928668000</f>
        <v>1.928668E9</v>
      </c>
      <c r="X7" s="36" t="n">
        <f>18</f>
        <v>18.0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1875</f>
        <v>1875.0</v>
      </c>
      <c r="L8" s="34" t="s">
        <v>48</v>
      </c>
      <c r="M8" s="33" t="n">
        <f>2054</f>
        <v>2054.0</v>
      </c>
      <c r="N8" s="34" t="s">
        <v>49</v>
      </c>
      <c r="O8" s="33" t="n">
        <f>1875</f>
        <v>1875.0</v>
      </c>
      <c r="P8" s="34" t="s">
        <v>48</v>
      </c>
      <c r="Q8" s="33" t="n">
        <f>1939</f>
        <v>1939.0</v>
      </c>
      <c r="R8" s="34" t="s">
        <v>50</v>
      </c>
      <c r="S8" s="35" t="n">
        <f>1987.33</f>
        <v>1987.33</v>
      </c>
      <c r="T8" s="32" t="n">
        <f>68762850</f>
        <v>6.876285E7</v>
      </c>
      <c r="U8" s="32" t="n">
        <f>17454790</f>
        <v>1.745479E7</v>
      </c>
      <c r="V8" s="32" t="n">
        <f>136639351355</f>
        <v>1.36639351355E11</v>
      </c>
      <c r="W8" s="32" t="n">
        <f>34831646645</f>
        <v>3.4831646645E10</v>
      </c>
      <c r="X8" s="36" t="n">
        <f>18</f>
        <v>18.0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1856</f>
        <v>1856.0</v>
      </c>
      <c r="L9" s="34" t="s">
        <v>48</v>
      </c>
      <c r="M9" s="33" t="n">
        <f>2032</f>
        <v>2032.0</v>
      </c>
      <c r="N9" s="34" t="s">
        <v>49</v>
      </c>
      <c r="O9" s="33" t="n">
        <f>1855</f>
        <v>1855.0</v>
      </c>
      <c r="P9" s="34" t="s">
        <v>48</v>
      </c>
      <c r="Q9" s="33" t="n">
        <f>1916</f>
        <v>1916.0</v>
      </c>
      <c r="R9" s="34" t="s">
        <v>50</v>
      </c>
      <c r="S9" s="35" t="n">
        <f>1965.67</f>
        <v>1965.67</v>
      </c>
      <c r="T9" s="32" t="n">
        <f>4240000</f>
        <v>4240000.0</v>
      </c>
      <c r="U9" s="32" t="n">
        <f>100200</f>
        <v>100200.0</v>
      </c>
      <c r="V9" s="32" t="n">
        <f>8366434800</f>
        <v>8.3664348E9</v>
      </c>
      <c r="W9" s="32" t="n">
        <f>197887800</f>
        <v>1.978878E8</v>
      </c>
      <c r="X9" s="36" t="n">
        <f>18</f>
        <v>18.0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44950</f>
        <v>44950.0</v>
      </c>
      <c r="L10" s="34" t="s">
        <v>48</v>
      </c>
      <c r="M10" s="33" t="n">
        <f>50800</f>
        <v>50800.0</v>
      </c>
      <c r="N10" s="34" t="s">
        <v>60</v>
      </c>
      <c r="O10" s="33" t="n">
        <f>44800</f>
        <v>44800.0</v>
      </c>
      <c r="P10" s="34" t="s">
        <v>48</v>
      </c>
      <c r="Q10" s="33" t="n">
        <f>46500</f>
        <v>46500.0</v>
      </c>
      <c r="R10" s="34" t="s">
        <v>50</v>
      </c>
      <c r="S10" s="35" t="n">
        <f>47708.33</f>
        <v>47708.33</v>
      </c>
      <c r="T10" s="32" t="n">
        <f>14369</f>
        <v>14369.0</v>
      </c>
      <c r="U10" s="32" t="n">
        <f>6</f>
        <v>6.0</v>
      </c>
      <c r="V10" s="32" t="n">
        <f>691527850</f>
        <v>6.9152785E8</v>
      </c>
      <c r="W10" s="32" t="n">
        <f>291200</f>
        <v>291200.0</v>
      </c>
      <c r="X10" s="36" t="n">
        <f>18</f>
        <v>18.0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829</f>
        <v>829.0</v>
      </c>
      <c r="L11" s="34" t="s">
        <v>48</v>
      </c>
      <c r="M11" s="33" t="n">
        <f>931</f>
        <v>931.0</v>
      </c>
      <c r="N11" s="34" t="s">
        <v>49</v>
      </c>
      <c r="O11" s="33" t="n">
        <f>829</f>
        <v>829.0</v>
      </c>
      <c r="P11" s="34" t="s">
        <v>48</v>
      </c>
      <c r="Q11" s="33" t="n">
        <f>875</f>
        <v>875.0</v>
      </c>
      <c r="R11" s="34" t="s">
        <v>50</v>
      </c>
      <c r="S11" s="35" t="n">
        <f>890.89</f>
        <v>890.89</v>
      </c>
      <c r="T11" s="32" t="n">
        <f>163910</f>
        <v>163910.0</v>
      </c>
      <c r="U11" s="32" t="str">
        <f>"－"</f>
        <v>－</v>
      </c>
      <c r="V11" s="32" t="n">
        <f>146817050</f>
        <v>1.4681705E8</v>
      </c>
      <c r="W11" s="32" t="str">
        <f>"－"</f>
        <v>－</v>
      </c>
      <c r="X11" s="36" t="n">
        <f>18</f>
        <v>18.0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20330</f>
        <v>20330.0</v>
      </c>
      <c r="L12" s="34" t="s">
        <v>48</v>
      </c>
      <c r="M12" s="33" t="n">
        <f>21720</f>
        <v>21720.0</v>
      </c>
      <c r="N12" s="34" t="s">
        <v>60</v>
      </c>
      <c r="O12" s="33" t="n">
        <f>20330</f>
        <v>20330.0</v>
      </c>
      <c r="P12" s="34" t="s">
        <v>48</v>
      </c>
      <c r="Q12" s="33" t="n">
        <f>20800</f>
        <v>20800.0</v>
      </c>
      <c r="R12" s="34" t="s">
        <v>50</v>
      </c>
      <c r="S12" s="35" t="n">
        <f>21261.67</f>
        <v>21261.67</v>
      </c>
      <c r="T12" s="32" t="n">
        <f>1162</f>
        <v>1162.0</v>
      </c>
      <c r="U12" s="32" t="str">
        <f>"－"</f>
        <v>－</v>
      </c>
      <c r="V12" s="32" t="n">
        <f>24621060</f>
        <v>2.462106E7</v>
      </c>
      <c r="W12" s="32" t="str">
        <f>"－"</f>
        <v>－</v>
      </c>
      <c r="X12" s="36" t="n">
        <f>18</f>
        <v>18.0</v>
      </c>
    </row>
    <row r="13">
      <c r="A13" s="27" t="s">
        <v>42</v>
      </c>
      <c r="B13" s="27" t="s">
        <v>67</v>
      </c>
      <c r="C13" s="27" t="s">
        <v>68</v>
      </c>
      <c r="D13" s="27" t="s">
        <v>69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3810</f>
        <v>3810.0</v>
      </c>
      <c r="L13" s="34" t="s">
        <v>48</v>
      </c>
      <c r="M13" s="33" t="n">
        <f>4200</f>
        <v>4200.0</v>
      </c>
      <c r="N13" s="34" t="s">
        <v>70</v>
      </c>
      <c r="O13" s="33" t="n">
        <f>3810</f>
        <v>3810.0</v>
      </c>
      <c r="P13" s="34" t="s">
        <v>48</v>
      </c>
      <c r="Q13" s="33" t="n">
        <f>3900</f>
        <v>3900.0</v>
      </c>
      <c r="R13" s="34" t="s">
        <v>50</v>
      </c>
      <c r="S13" s="35" t="n">
        <f>4043.89</f>
        <v>4043.89</v>
      </c>
      <c r="T13" s="32" t="n">
        <f>6660</f>
        <v>6660.0</v>
      </c>
      <c r="U13" s="32" t="n">
        <f>30</f>
        <v>30.0</v>
      </c>
      <c r="V13" s="32" t="n">
        <f>26883900</f>
        <v>2.68839E7</v>
      </c>
      <c r="W13" s="32" t="n">
        <f>123400</f>
        <v>123400.0</v>
      </c>
      <c r="X13" s="36" t="n">
        <f>18</f>
        <v>18.0</v>
      </c>
    </row>
    <row r="14">
      <c r="A14" s="27" t="s">
        <v>42</v>
      </c>
      <c r="B14" s="27" t="s">
        <v>71</v>
      </c>
      <c r="C14" s="27" t="s">
        <v>72</v>
      </c>
      <c r="D14" s="27" t="s">
        <v>73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343</f>
        <v>343.0</v>
      </c>
      <c r="L14" s="34" t="s">
        <v>48</v>
      </c>
      <c r="M14" s="33" t="n">
        <f>377</f>
        <v>377.0</v>
      </c>
      <c r="N14" s="34" t="s">
        <v>74</v>
      </c>
      <c r="O14" s="33" t="n">
        <f>343</f>
        <v>343.0</v>
      </c>
      <c r="P14" s="34" t="s">
        <v>48</v>
      </c>
      <c r="Q14" s="33" t="n">
        <f>363</f>
        <v>363.0</v>
      </c>
      <c r="R14" s="34" t="s">
        <v>50</v>
      </c>
      <c r="S14" s="35" t="n">
        <f>365.44</f>
        <v>365.44</v>
      </c>
      <c r="T14" s="32" t="n">
        <f>279000</f>
        <v>279000.0</v>
      </c>
      <c r="U14" s="32" t="str">
        <f>"－"</f>
        <v>－</v>
      </c>
      <c r="V14" s="32" t="n">
        <f>102382000</f>
        <v>1.02382E8</v>
      </c>
      <c r="W14" s="32" t="str">
        <f>"－"</f>
        <v>－</v>
      </c>
      <c r="X14" s="36" t="n">
        <f>18</f>
        <v>18.0</v>
      </c>
    </row>
    <row r="15">
      <c r="A15" s="27" t="s">
        <v>42</v>
      </c>
      <c r="B15" s="27" t="s">
        <v>75</v>
      </c>
      <c r="C15" s="27" t="s">
        <v>76</v>
      </c>
      <c r="D15" s="27" t="s">
        <v>77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28440</f>
        <v>28440.0</v>
      </c>
      <c r="L15" s="34" t="s">
        <v>48</v>
      </c>
      <c r="M15" s="33" t="n">
        <f>31600</f>
        <v>31600.0</v>
      </c>
      <c r="N15" s="34" t="s">
        <v>49</v>
      </c>
      <c r="O15" s="33" t="n">
        <f>28410</f>
        <v>28410.0</v>
      </c>
      <c r="P15" s="34" t="s">
        <v>48</v>
      </c>
      <c r="Q15" s="33" t="n">
        <f>29960</f>
        <v>29960.0</v>
      </c>
      <c r="R15" s="34" t="s">
        <v>50</v>
      </c>
      <c r="S15" s="35" t="n">
        <f>30320.56</f>
        <v>30320.56</v>
      </c>
      <c r="T15" s="32" t="n">
        <f>1443258</f>
        <v>1443258.0</v>
      </c>
      <c r="U15" s="32" t="n">
        <f>198902</f>
        <v>198902.0</v>
      </c>
      <c r="V15" s="32" t="n">
        <f>43867648007</f>
        <v>4.3867648007E10</v>
      </c>
      <c r="W15" s="32" t="n">
        <f>6068906757</f>
        <v>6.068906757E9</v>
      </c>
      <c r="X15" s="36" t="n">
        <f>18</f>
        <v>18.0</v>
      </c>
    </row>
    <row r="16">
      <c r="A16" s="27" t="s">
        <v>42</v>
      </c>
      <c r="B16" s="27" t="s">
        <v>78</v>
      </c>
      <c r="C16" s="27" t="s">
        <v>79</v>
      </c>
      <c r="D16" s="27" t="s">
        <v>80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28500</f>
        <v>28500.0</v>
      </c>
      <c r="L16" s="34" t="s">
        <v>48</v>
      </c>
      <c r="M16" s="33" t="n">
        <f>31700</f>
        <v>31700.0</v>
      </c>
      <c r="N16" s="34" t="s">
        <v>49</v>
      </c>
      <c r="O16" s="33" t="n">
        <f>28480</f>
        <v>28480.0</v>
      </c>
      <c r="P16" s="34" t="s">
        <v>48</v>
      </c>
      <c r="Q16" s="33" t="n">
        <f>29900</f>
        <v>29900.0</v>
      </c>
      <c r="R16" s="34" t="s">
        <v>50</v>
      </c>
      <c r="S16" s="35" t="n">
        <f>30375.56</f>
        <v>30375.56</v>
      </c>
      <c r="T16" s="32" t="n">
        <f>6252059</f>
        <v>6252059.0</v>
      </c>
      <c r="U16" s="32" t="n">
        <f>912978</f>
        <v>912978.0</v>
      </c>
      <c r="V16" s="32" t="n">
        <f>189945234090</f>
        <v>1.8994523409E11</v>
      </c>
      <c r="W16" s="32" t="n">
        <f>28091612520</f>
        <v>2.809161252E10</v>
      </c>
      <c r="X16" s="36" t="n">
        <f>18</f>
        <v>18.0</v>
      </c>
    </row>
    <row r="17">
      <c r="A17" s="27" t="s">
        <v>42</v>
      </c>
      <c r="B17" s="27" t="s">
        <v>81</v>
      </c>
      <c r="C17" s="27" t="s">
        <v>82</v>
      </c>
      <c r="D17" s="27" t="s">
        <v>83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8750</f>
        <v>8750.0</v>
      </c>
      <c r="L17" s="34" t="s">
        <v>48</v>
      </c>
      <c r="M17" s="33" t="n">
        <f>10950</f>
        <v>10950.0</v>
      </c>
      <c r="N17" s="34" t="s">
        <v>49</v>
      </c>
      <c r="O17" s="33" t="n">
        <f>8510</f>
        <v>8510.0</v>
      </c>
      <c r="P17" s="34" t="s">
        <v>50</v>
      </c>
      <c r="Q17" s="33" t="n">
        <f>8570</f>
        <v>8570.0</v>
      </c>
      <c r="R17" s="34" t="s">
        <v>50</v>
      </c>
      <c r="S17" s="35" t="n">
        <f>9322.78</f>
        <v>9322.78</v>
      </c>
      <c r="T17" s="32" t="n">
        <f>57480</f>
        <v>57480.0</v>
      </c>
      <c r="U17" s="32" t="n">
        <f>30</f>
        <v>30.0</v>
      </c>
      <c r="V17" s="32" t="n">
        <f>554028800</f>
        <v>5.540288E8</v>
      </c>
      <c r="W17" s="32" t="n">
        <f>261500</f>
        <v>261500.0</v>
      </c>
      <c r="X17" s="36" t="n">
        <f>18</f>
        <v>18.0</v>
      </c>
    </row>
    <row r="18">
      <c r="A18" s="27" t="s">
        <v>42</v>
      </c>
      <c r="B18" s="27" t="s">
        <v>84</v>
      </c>
      <c r="C18" s="27" t="s">
        <v>85</v>
      </c>
      <c r="D18" s="27" t="s">
        <v>86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380</f>
        <v>380.0</v>
      </c>
      <c r="L18" s="34" t="s">
        <v>48</v>
      </c>
      <c r="M18" s="33" t="n">
        <f>425</f>
        <v>425.0</v>
      </c>
      <c r="N18" s="34" t="s">
        <v>60</v>
      </c>
      <c r="O18" s="33" t="n">
        <f>364</f>
        <v>364.0</v>
      </c>
      <c r="P18" s="34" t="s">
        <v>48</v>
      </c>
      <c r="Q18" s="33" t="n">
        <f>403</f>
        <v>403.0</v>
      </c>
      <c r="R18" s="34" t="s">
        <v>50</v>
      </c>
      <c r="S18" s="35" t="n">
        <f>391.94</f>
        <v>391.94</v>
      </c>
      <c r="T18" s="32" t="n">
        <f>117200</f>
        <v>117200.0</v>
      </c>
      <c r="U18" s="32" t="str">
        <f>"－"</f>
        <v>－</v>
      </c>
      <c r="V18" s="32" t="n">
        <f>46012800</f>
        <v>4.60128E7</v>
      </c>
      <c r="W18" s="32" t="str">
        <f>"－"</f>
        <v>－</v>
      </c>
      <c r="X18" s="36" t="n">
        <f>18</f>
        <v>18.0</v>
      </c>
    </row>
    <row r="19">
      <c r="A19" s="27" t="s">
        <v>42</v>
      </c>
      <c r="B19" s="27" t="s">
        <v>87</v>
      </c>
      <c r="C19" s="27" t="s">
        <v>88</v>
      </c>
      <c r="D19" s="27" t="s">
        <v>89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138</f>
        <v>138.0</v>
      </c>
      <c r="L19" s="34" t="s">
        <v>48</v>
      </c>
      <c r="M19" s="33" t="n">
        <f>145</f>
        <v>145.0</v>
      </c>
      <c r="N19" s="34" t="s">
        <v>60</v>
      </c>
      <c r="O19" s="33" t="n">
        <f>136</f>
        <v>136.0</v>
      </c>
      <c r="P19" s="34" t="s">
        <v>48</v>
      </c>
      <c r="Q19" s="33" t="n">
        <f>141</f>
        <v>141.0</v>
      </c>
      <c r="R19" s="34" t="s">
        <v>50</v>
      </c>
      <c r="S19" s="35" t="n">
        <f>140.89</f>
        <v>140.89</v>
      </c>
      <c r="T19" s="32" t="n">
        <f>581100</f>
        <v>581100.0</v>
      </c>
      <c r="U19" s="32" t="str">
        <f>"－"</f>
        <v>－</v>
      </c>
      <c r="V19" s="32" t="n">
        <f>82044400</f>
        <v>8.20444E7</v>
      </c>
      <c r="W19" s="32" t="str">
        <f>"－"</f>
        <v>－</v>
      </c>
      <c r="X19" s="36" t="n">
        <f>18</f>
        <v>18.0</v>
      </c>
    </row>
    <row r="20">
      <c r="A20" s="27" t="s">
        <v>42</v>
      </c>
      <c r="B20" s="27" t="s">
        <v>90</v>
      </c>
      <c r="C20" s="27" t="s">
        <v>91</v>
      </c>
      <c r="D20" s="27" t="s">
        <v>92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166</f>
        <v>166.0</v>
      </c>
      <c r="L20" s="34" t="s">
        <v>48</v>
      </c>
      <c r="M20" s="33" t="n">
        <f>175</f>
        <v>175.0</v>
      </c>
      <c r="N20" s="34" t="s">
        <v>93</v>
      </c>
      <c r="O20" s="33" t="n">
        <f>165</f>
        <v>165.0</v>
      </c>
      <c r="P20" s="34" t="s">
        <v>94</v>
      </c>
      <c r="Q20" s="33" t="n">
        <f>166</f>
        <v>166.0</v>
      </c>
      <c r="R20" s="34" t="s">
        <v>50</v>
      </c>
      <c r="S20" s="35" t="n">
        <f>170.11</f>
        <v>170.11</v>
      </c>
      <c r="T20" s="32" t="n">
        <f>494400</f>
        <v>494400.0</v>
      </c>
      <c r="U20" s="32" t="n">
        <f>600</f>
        <v>600.0</v>
      </c>
      <c r="V20" s="32" t="n">
        <f>84006500</f>
        <v>8.40065E7</v>
      </c>
      <c r="W20" s="32" t="n">
        <f>103200</f>
        <v>103200.0</v>
      </c>
      <c r="X20" s="36" t="n">
        <f>18</f>
        <v>18.0</v>
      </c>
    </row>
    <row r="21">
      <c r="A21" s="27" t="s">
        <v>42</v>
      </c>
      <c r="B21" s="27" t="s">
        <v>95</v>
      </c>
      <c r="C21" s="27" t="s">
        <v>96</v>
      </c>
      <c r="D21" s="27" t="s">
        <v>97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18210</f>
        <v>18210.0</v>
      </c>
      <c r="L21" s="34" t="s">
        <v>48</v>
      </c>
      <c r="M21" s="33" t="n">
        <f>18330</f>
        <v>18330.0</v>
      </c>
      <c r="N21" s="34" t="s">
        <v>98</v>
      </c>
      <c r="O21" s="33" t="n">
        <f>17450</f>
        <v>17450.0</v>
      </c>
      <c r="P21" s="34" t="s">
        <v>99</v>
      </c>
      <c r="Q21" s="33" t="n">
        <f>17550</f>
        <v>17550.0</v>
      </c>
      <c r="R21" s="34" t="s">
        <v>50</v>
      </c>
      <c r="S21" s="35" t="n">
        <f>17920.56</f>
        <v>17920.56</v>
      </c>
      <c r="T21" s="32" t="n">
        <f>403051</f>
        <v>403051.0</v>
      </c>
      <c r="U21" s="32" t="n">
        <f>1009</f>
        <v>1009.0</v>
      </c>
      <c r="V21" s="32" t="n">
        <f>7188827400</f>
        <v>7.1888274E9</v>
      </c>
      <c r="W21" s="32" t="n">
        <f>18296970</f>
        <v>1.829697E7</v>
      </c>
      <c r="X21" s="36" t="n">
        <f>18</f>
        <v>18.0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3015</f>
        <v>3015.0</v>
      </c>
      <c r="L22" s="34" t="s">
        <v>48</v>
      </c>
      <c r="M22" s="33" t="n">
        <f>3550</f>
        <v>3550.0</v>
      </c>
      <c r="N22" s="34" t="s">
        <v>70</v>
      </c>
      <c r="O22" s="33" t="n">
        <f>3005</f>
        <v>3005.0</v>
      </c>
      <c r="P22" s="34" t="s">
        <v>48</v>
      </c>
      <c r="Q22" s="33" t="n">
        <f>3390</f>
        <v>3390.0</v>
      </c>
      <c r="R22" s="34" t="s">
        <v>50</v>
      </c>
      <c r="S22" s="35" t="n">
        <f>3308.33</f>
        <v>3308.33</v>
      </c>
      <c r="T22" s="32" t="n">
        <f>10729</f>
        <v>10729.0</v>
      </c>
      <c r="U22" s="32" t="str">
        <f>"－"</f>
        <v>－</v>
      </c>
      <c r="V22" s="32" t="n">
        <f>35865015</f>
        <v>3.5865015E7</v>
      </c>
      <c r="W22" s="32" t="str">
        <f>"－"</f>
        <v>－</v>
      </c>
      <c r="X22" s="36" t="n">
        <f>18</f>
        <v>18.0</v>
      </c>
    </row>
    <row r="23">
      <c r="A23" s="27" t="s">
        <v>42</v>
      </c>
      <c r="B23" s="27" t="s">
        <v>103</v>
      </c>
      <c r="C23" s="27" t="s">
        <v>104</v>
      </c>
      <c r="D23" s="27" t="s">
        <v>105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4970</f>
        <v>4970.0</v>
      </c>
      <c r="L23" s="34" t="s">
        <v>48</v>
      </c>
      <c r="M23" s="33" t="n">
        <f>4990</f>
        <v>4990.0</v>
      </c>
      <c r="N23" s="34" t="s">
        <v>98</v>
      </c>
      <c r="O23" s="33" t="n">
        <f>4740</f>
        <v>4740.0</v>
      </c>
      <c r="P23" s="34" t="s">
        <v>99</v>
      </c>
      <c r="Q23" s="33" t="n">
        <f>4755</f>
        <v>4755.0</v>
      </c>
      <c r="R23" s="34" t="s">
        <v>50</v>
      </c>
      <c r="S23" s="35" t="n">
        <f>4873.06</f>
        <v>4873.06</v>
      </c>
      <c r="T23" s="32" t="n">
        <f>671650</f>
        <v>671650.0</v>
      </c>
      <c r="U23" s="32" t="str">
        <f>"－"</f>
        <v>－</v>
      </c>
      <c r="V23" s="32" t="n">
        <f>3266941250</f>
        <v>3.26694125E9</v>
      </c>
      <c r="W23" s="32" t="str">
        <f>"－"</f>
        <v>－</v>
      </c>
      <c r="X23" s="36" t="n">
        <f>18</f>
        <v>18.0</v>
      </c>
    </row>
    <row r="24">
      <c r="A24" s="27" t="s">
        <v>42</v>
      </c>
      <c r="B24" s="27" t="s">
        <v>106</v>
      </c>
      <c r="C24" s="27" t="s">
        <v>107</v>
      </c>
      <c r="D24" s="27" t="s">
        <v>108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28600</f>
        <v>28600.0</v>
      </c>
      <c r="L24" s="34" t="s">
        <v>48</v>
      </c>
      <c r="M24" s="33" t="n">
        <f>31650</f>
        <v>31650.0</v>
      </c>
      <c r="N24" s="34" t="s">
        <v>49</v>
      </c>
      <c r="O24" s="33" t="n">
        <f>28600</f>
        <v>28600.0</v>
      </c>
      <c r="P24" s="34" t="s">
        <v>48</v>
      </c>
      <c r="Q24" s="33" t="n">
        <f>29900</f>
        <v>29900.0</v>
      </c>
      <c r="R24" s="34" t="s">
        <v>50</v>
      </c>
      <c r="S24" s="35" t="n">
        <f>30389.44</f>
        <v>30389.44</v>
      </c>
      <c r="T24" s="32" t="n">
        <f>797304</f>
        <v>797304.0</v>
      </c>
      <c r="U24" s="32" t="n">
        <f>247199</f>
        <v>247199.0</v>
      </c>
      <c r="V24" s="32" t="n">
        <f>24280618302</f>
        <v>2.4280618302E10</v>
      </c>
      <c r="W24" s="32" t="n">
        <f>7473118392</f>
        <v>7.473118392E9</v>
      </c>
      <c r="X24" s="36" t="n">
        <f>18</f>
        <v>18.0</v>
      </c>
    </row>
    <row r="25">
      <c r="A25" s="27" t="s">
        <v>42</v>
      </c>
      <c r="B25" s="27" t="s">
        <v>109</v>
      </c>
      <c r="C25" s="27" t="s">
        <v>110</v>
      </c>
      <c r="D25" s="27" t="s">
        <v>111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28550</f>
        <v>28550.0</v>
      </c>
      <c r="L25" s="34" t="s">
        <v>48</v>
      </c>
      <c r="M25" s="33" t="n">
        <f>31750</f>
        <v>31750.0</v>
      </c>
      <c r="N25" s="34" t="s">
        <v>49</v>
      </c>
      <c r="O25" s="33" t="n">
        <f>28530</f>
        <v>28530.0</v>
      </c>
      <c r="P25" s="34" t="s">
        <v>48</v>
      </c>
      <c r="Q25" s="33" t="n">
        <f>29980</f>
        <v>29980.0</v>
      </c>
      <c r="R25" s="34" t="s">
        <v>50</v>
      </c>
      <c r="S25" s="35" t="n">
        <f>30418.89</f>
        <v>30418.89</v>
      </c>
      <c r="T25" s="32" t="n">
        <f>1281280</f>
        <v>1281280.0</v>
      </c>
      <c r="U25" s="32" t="n">
        <f>429730</f>
        <v>429730.0</v>
      </c>
      <c r="V25" s="32" t="n">
        <f>38890747411</f>
        <v>3.8890747411E10</v>
      </c>
      <c r="W25" s="32" t="n">
        <f>12945593711</f>
        <v>1.2945593711E10</v>
      </c>
      <c r="X25" s="36" t="n">
        <f>18</f>
        <v>18.0</v>
      </c>
    </row>
    <row r="26">
      <c r="A26" s="27" t="s">
        <v>42</v>
      </c>
      <c r="B26" s="27" t="s">
        <v>112</v>
      </c>
      <c r="C26" s="27" t="s">
        <v>113</v>
      </c>
      <c r="D26" s="27" t="s">
        <v>114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1985</f>
        <v>1985.0</v>
      </c>
      <c r="L26" s="34" t="s">
        <v>48</v>
      </c>
      <c r="M26" s="33" t="n">
        <f>2140</f>
        <v>2140.0</v>
      </c>
      <c r="N26" s="34" t="s">
        <v>70</v>
      </c>
      <c r="O26" s="33" t="n">
        <f>1955</f>
        <v>1955.0</v>
      </c>
      <c r="P26" s="34" t="s">
        <v>115</v>
      </c>
      <c r="Q26" s="33" t="n">
        <f>2063</f>
        <v>2063.0</v>
      </c>
      <c r="R26" s="34" t="s">
        <v>50</v>
      </c>
      <c r="S26" s="35" t="n">
        <f>2044.83</f>
        <v>2044.83</v>
      </c>
      <c r="T26" s="32" t="n">
        <f>13098160</f>
        <v>1.309816E7</v>
      </c>
      <c r="U26" s="32" t="n">
        <f>1022700</f>
        <v>1022700.0</v>
      </c>
      <c r="V26" s="32" t="n">
        <f>26571917733</f>
        <v>2.6571917733E10</v>
      </c>
      <c r="W26" s="32" t="n">
        <f>2050464643</f>
        <v>2.050464643E9</v>
      </c>
      <c r="X26" s="36" t="n">
        <f>18</f>
        <v>18.0</v>
      </c>
    </row>
    <row r="27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800</f>
        <v>800.0</v>
      </c>
      <c r="L27" s="34" t="s">
        <v>48</v>
      </c>
      <c r="M27" s="33" t="n">
        <f>863</f>
        <v>863.0</v>
      </c>
      <c r="N27" s="34" t="s">
        <v>70</v>
      </c>
      <c r="O27" s="33" t="n">
        <f>779</f>
        <v>779.0</v>
      </c>
      <c r="P27" s="34" t="s">
        <v>119</v>
      </c>
      <c r="Q27" s="33" t="n">
        <f>822</f>
        <v>822.0</v>
      </c>
      <c r="R27" s="34" t="s">
        <v>50</v>
      </c>
      <c r="S27" s="35" t="n">
        <f>829.44</f>
        <v>829.44</v>
      </c>
      <c r="T27" s="32" t="n">
        <f>40770</f>
        <v>40770.0</v>
      </c>
      <c r="U27" s="32" t="str">
        <f>"－"</f>
        <v>－</v>
      </c>
      <c r="V27" s="32" t="n">
        <f>33767010</f>
        <v>3.376701E7</v>
      </c>
      <c r="W27" s="32" t="str">
        <f>"－"</f>
        <v>－</v>
      </c>
      <c r="X27" s="36" t="n">
        <f>18</f>
        <v>18.0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1869</f>
        <v>1869.0</v>
      </c>
      <c r="L28" s="34" t="s">
        <v>48</v>
      </c>
      <c r="M28" s="33" t="n">
        <f>2029</f>
        <v>2029.0</v>
      </c>
      <c r="N28" s="34" t="s">
        <v>70</v>
      </c>
      <c r="O28" s="33" t="n">
        <f>1841</f>
        <v>1841.0</v>
      </c>
      <c r="P28" s="34" t="s">
        <v>115</v>
      </c>
      <c r="Q28" s="33" t="n">
        <f>1950</f>
        <v>1950.0</v>
      </c>
      <c r="R28" s="34" t="s">
        <v>50</v>
      </c>
      <c r="S28" s="35" t="n">
        <f>1933.5</f>
        <v>1933.5</v>
      </c>
      <c r="T28" s="32" t="n">
        <f>1910500</f>
        <v>1910500.0</v>
      </c>
      <c r="U28" s="32" t="n">
        <f>142900</f>
        <v>142900.0</v>
      </c>
      <c r="V28" s="32" t="n">
        <f>3720688506</f>
        <v>3.720688506E9</v>
      </c>
      <c r="W28" s="32" t="n">
        <f>268154806</f>
        <v>2.68154806E8</v>
      </c>
      <c r="X28" s="36" t="n">
        <f>18</f>
        <v>18.0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28460</f>
        <v>28460.0</v>
      </c>
      <c r="L29" s="34" t="s">
        <v>48</v>
      </c>
      <c r="M29" s="33" t="n">
        <f>31650</f>
        <v>31650.0</v>
      </c>
      <c r="N29" s="34" t="s">
        <v>49</v>
      </c>
      <c r="O29" s="33" t="n">
        <f>28460</f>
        <v>28460.0</v>
      </c>
      <c r="P29" s="34" t="s">
        <v>48</v>
      </c>
      <c r="Q29" s="33" t="n">
        <f>29950</f>
        <v>29950.0</v>
      </c>
      <c r="R29" s="34" t="s">
        <v>50</v>
      </c>
      <c r="S29" s="35" t="n">
        <f>30355.56</f>
        <v>30355.56</v>
      </c>
      <c r="T29" s="32" t="n">
        <f>492444</f>
        <v>492444.0</v>
      </c>
      <c r="U29" s="32" t="n">
        <f>14878</f>
        <v>14878.0</v>
      </c>
      <c r="V29" s="32" t="n">
        <f>14969354327</f>
        <v>1.4969354327E10</v>
      </c>
      <c r="W29" s="32" t="n">
        <f>447917597</f>
        <v>4.47917597E8</v>
      </c>
      <c r="X29" s="36" t="n">
        <f>18</f>
        <v>18.0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1864</f>
        <v>1864.0</v>
      </c>
      <c r="L30" s="34" t="s">
        <v>48</v>
      </c>
      <c r="M30" s="33" t="n">
        <f>2038</f>
        <v>2038.0</v>
      </c>
      <c r="N30" s="34" t="s">
        <v>49</v>
      </c>
      <c r="O30" s="33" t="n">
        <f>1862</f>
        <v>1862.0</v>
      </c>
      <c r="P30" s="34" t="s">
        <v>48</v>
      </c>
      <c r="Q30" s="33" t="n">
        <f>1924</f>
        <v>1924.0</v>
      </c>
      <c r="R30" s="34" t="s">
        <v>50</v>
      </c>
      <c r="S30" s="35" t="n">
        <f>1971.94</f>
        <v>1971.94</v>
      </c>
      <c r="T30" s="32" t="n">
        <f>1992280</f>
        <v>1992280.0</v>
      </c>
      <c r="U30" s="32" t="n">
        <f>280010</f>
        <v>280010.0</v>
      </c>
      <c r="V30" s="32" t="n">
        <f>3908166630</f>
        <v>3.90816663E9</v>
      </c>
      <c r="W30" s="32" t="n">
        <f>541449900</f>
        <v>5.414499E8</v>
      </c>
      <c r="X30" s="36" t="n">
        <f>18</f>
        <v>18.0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13050</f>
        <v>13050.0</v>
      </c>
      <c r="L31" s="34" t="s">
        <v>98</v>
      </c>
      <c r="M31" s="33" t="n">
        <f>13290</f>
        <v>13290.0</v>
      </c>
      <c r="N31" s="34" t="s">
        <v>70</v>
      </c>
      <c r="O31" s="33" t="n">
        <f>13040</f>
        <v>13040.0</v>
      </c>
      <c r="P31" s="34" t="s">
        <v>93</v>
      </c>
      <c r="Q31" s="33" t="n">
        <f>13060</f>
        <v>13060.0</v>
      </c>
      <c r="R31" s="34" t="s">
        <v>50</v>
      </c>
      <c r="S31" s="35" t="n">
        <f>13155.29</f>
        <v>13155.29</v>
      </c>
      <c r="T31" s="32" t="n">
        <f>1127</f>
        <v>1127.0</v>
      </c>
      <c r="U31" s="32" t="n">
        <f>5</f>
        <v>5.0</v>
      </c>
      <c r="V31" s="32" t="n">
        <f>14820760</f>
        <v>1.482076E7</v>
      </c>
      <c r="W31" s="32" t="n">
        <f>65800</f>
        <v>65800.0</v>
      </c>
      <c r="X31" s="36" t="n">
        <f>17</f>
        <v>17.0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1417</f>
        <v>1417.0</v>
      </c>
      <c r="L32" s="34" t="s">
        <v>48</v>
      </c>
      <c r="M32" s="33" t="n">
        <f>1417</f>
        <v>1417.0</v>
      </c>
      <c r="N32" s="34" t="s">
        <v>48</v>
      </c>
      <c r="O32" s="33" t="n">
        <f>1174</f>
        <v>1174.0</v>
      </c>
      <c r="P32" s="34" t="s">
        <v>49</v>
      </c>
      <c r="Q32" s="33" t="n">
        <f>1317</f>
        <v>1317.0</v>
      </c>
      <c r="R32" s="34" t="s">
        <v>50</v>
      </c>
      <c r="S32" s="35" t="n">
        <f>1257.61</f>
        <v>1257.61</v>
      </c>
      <c r="T32" s="32" t="n">
        <f>7123530</f>
        <v>7123530.0</v>
      </c>
      <c r="U32" s="32" t="n">
        <f>86170</f>
        <v>86170.0</v>
      </c>
      <c r="V32" s="32" t="n">
        <f>8937703290</f>
        <v>8.93770329E9</v>
      </c>
      <c r="W32" s="32" t="n">
        <f>117948810</f>
        <v>1.1794881E8</v>
      </c>
      <c r="X32" s="36" t="n">
        <f>18</f>
        <v>18.0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484</f>
        <v>484.0</v>
      </c>
      <c r="L33" s="34" t="s">
        <v>48</v>
      </c>
      <c r="M33" s="33" t="n">
        <f>485</f>
        <v>485.0</v>
      </c>
      <c r="N33" s="34" t="s">
        <v>48</v>
      </c>
      <c r="O33" s="33" t="n">
        <f>388</f>
        <v>388.0</v>
      </c>
      <c r="P33" s="34" t="s">
        <v>49</v>
      </c>
      <c r="Q33" s="33" t="n">
        <f>432</f>
        <v>432.0</v>
      </c>
      <c r="R33" s="34" t="s">
        <v>50</v>
      </c>
      <c r="S33" s="35" t="n">
        <f>423.67</f>
        <v>423.67</v>
      </c>
      <c r="T33" s="32" t="n">
        <f>1166185362</f>
        <v>1.166185362E9</v>
      </c>
      <c r="U33" s="32" t="n">
        <f>780924</f>
        <v>780924.0</v>
      </c>
      <c r="V33" s="32" t="n">
        <f>493930831133</f>
        <v>4.93930831133E11</v>
      </c>
      <c r="W33" s="32" t="n">
        <f>348187864</f>
        <v>3.48187864E8</v>
      </c>
      <c r="X33" s="36" t="n">
        <f>18</f>
        <v>18.0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27090</f>
        <v>27090.0</v>
      </c>
      <c r="L34" s="34" t="s">
        <v>48</v>
      </c>
      <c r="M34" s="33" t="n">
        <f>33400</f>
        <v>33400.0</v>
      </c>
      <c r="N34" s="34" t="s">
        <v>49</v>
      </c>
      <c r="O34" s="33" t="n">
        <f>27060</f>
        <v>27060.0</v>
      </c>
      <c r="P34" s="34" t="s">
        <v>48</v>
      </c>
      <c r="Q34" s="33" t="n">
        <f>29700</f>
        <v>29700.0</v>
      </c>
      <c r="R34" s="34" t="s">
        <v>50</v>
      </c>
      <c r="S34" s="35" t="n">
        <f>30737.78</f>
        <v>30737.78</v>
      </c>
      <c r="T34" s="32" t="n">
        <f>350077</f>
        <v>350077.0</v>
      </c>
      <c r="U34" s="32" t="n">
        <f>1</f>
        <v>1.0</v>
      </c>
      <c r="V34" s="32" t="n">
        <f>10766568580</f>
        <v>1.076656858E10</v>
      </c>
      <c r="W34" s="32" t="n">
        <f>28470</f>
        <v>28470.0</v>
      </c>
      <c r="X34" s="36" t="n">
        <f>18</f>
        <v>18.0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1177</f>
        <v>1177.0</v>
      </c>
      <c r="L35" s="34" t="s">
        <v>48</v>
      </c>
      <c r="M35" s="33" t="n">
        <f>1178</f>
        <v>1178.0</v>
      </c>
      <c r="N35" s="34" t="s">
        <v>48</v>
      </c>
      <c r="O35" s="33" t="n">
        <f>945</f>
        <v>945.0</v>
      </c>
      <c r="P35" s="34" t="s">
        <v>49</v>
      </c>
      <c r="Q35" s="33" t="n">
        <f>1052</f>
        <v>1052.0</v>
      </c>
      <c r="R35" s="34" t="s">
        <v>50</v>
      </c>
      <c r="S35" s="35" t="n">
        <f>1030.89</f>
        <v>1030.89</v>
      </c>
      <c r="T35" s="32" t="n">
        <f>157566800</f>
        <v>1.575668E8</v>
      </c>
      <c r="U35" s="32" t="n">
        <f>4930</f>
        <v>4930.0</v>
      </c>
      <c r="V35" s="32" t="n">
        <f>163444817900</f>
        <v>1.634448179E11</v>
      </c>
      <c r="W35" s="32" t="n">
        <f>5207800</f>
        <v>5207800.0</v>
      </c>
      <c r="X35" s="36" t="n">
        <f>18</f>
        <v>18.0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16800</f>
        <v>16800.0</v>
      </c>
      <c r="L36" s="34" t="s">
        <v>48</v>
      </c>
      <c r="M36" s="33" t="n">
        <f>18200</f>
        <v>18200.0</v>
      </c>
      <c r="N36" s="34" t="s">
        <v>49</v>
      </c>
      <c r="O36" s="33" t="n">
        <f>16780</f>
        <v>16780.0</v>
      </c>
      <c r="P36" s="34" t="s">
        <v>48</v>
      </c>
      <c r="Q36" s="33" t="n">
        <f>17170</f>
        <v>17170.0</v>
      </c>
      <c r="R36" s="34" t="s">
        <v>50</v>
      </c>
      <c r="S36" s="35" t="n">
        <f>17615</f>
        <v>17615.0</v>
      </c>
      <c r="T36" s="32" t="n">
        <f>23792</f>
        <v>23792.0</v>
      </c>
      <c r="U36" s="32" t="n">
        <f>3024</f>
        <v>3024.0</v>
      </c>
      <c r="V36" s="32" t="n">
        <f>418151322</f>
        <v>4.18151322E8</v>
      </c>
      <c r="W36" s="32" t="n">
        <f>52520832</f>
        <v>5.2520832E7</v>
      </c>
      <c r="X36" s="36" t="n">
        <f>18</f>
        <v>18.0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22400</f>
        <v>22400.0</v>
      </c>
      <c r="L37" s="34" t="s">
        <v>48</v>
      </c>
      <c r="M37" s="33" t="n">
        <f>27610</f>
        <v>27610.0</v>
      </c>
      <c r="N37" s="34" t="s">
        <v>49</v>
      </c>
      <c r="O37" s="33" t="n">
        <f>22380</f>
        <v>22380.0</v>
      </c>
      <c r="P37" s="34" t="s">
        <v>48</v>
      </c>
      <c r="Q37" s="33" t="n">
        <f>24530</f>
        <v>24530.0</v>
      </c>
      <c r="R37" s="34" t="s">
        <v>50</v>
      </c>
      <c r="S37" s="35" t="n">
        <f>25416.11</f>
        <v>25416.11</v>
      </c>
      <c r="T37" s="32" t="n">
        <f>1107264</f>
        <v>1107264.0</v>
      </c>
      <c r="U37" s="32" t="str">
        <f>"－"</f>
        <v>－</v>
      </c>
      <c r="V37" s="32" t="n">
        <f>28348541420</f>
        <v>2.834854142E10</v>
      </c>
      <c r="W37" s="32" t="str">
        <f>"－"</f>
        <v>－</v>
      </c>
      <c r="X37" s="36" t="n">
        <f>18</f>
        <v>18.0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1263</f>
        <v>1263.0</v>
      </c>
      <c r="L38" s="34" t="s">
        <v>48</v>
      </c>
      <c r="M38" s="33" t="n">
        <f>1263</f>
        <v>1263.0</v>
      </c>
      <c r="N38" s="34" t="s">
        <v>48</v>
      </c>
      <c r="O38" s="33" t="n">
        <f>1013</f>
        <v>1013.0</v>
      </c>
      <c r="P38" s="34" t="s">
        <v>49</v>
      </c>
      <c r="Q38" s="33" t="n">
        <f>1128</f>
        <v>1128.0</v>
      </c>
      <c r="R38" s="34" t="s">
        <v>50</v>
      </c>
      <c r="S38" s="35" t="n">
        <f>1106.22</f>
        <v>1106.22</v>
      </c>
      <c r="T38" s="32" t="n">
        <f>15490153</f>
        <v>1.5490153E7</v>
      </c>
      <c r="U38" s="32" t="n">
        <f>85600</f>
        <v>85600.0</v>
      </c>
      <c r="V38" s="32" t="n">
        <f>17197917485</f>
        <v>1.7197917485E10</v>
      </c>
      <c r="W38" s="32" t="n">
        <f>100059400</f>
        <v>1.000594E8</v>
      </c>
      <c r="X38" s="36" t="n">
        <f>18</f>
        <v>18.0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15880</f>
        <v>15880.0</v>
      </c>
      <c r="L39" s="34" t="s">
        <v>48</v>
      </c>
      <c r="M39" s="33" t="n">
        <f>18970</f>
        <v>18970.0</v>
      </c>
      <c r="N39" s="34" t="s">
        <v>49</v>
      </c>
      <c r="O39" s="33" t="n">
        <f>15850</f>
        <v>15850.0</v>
      </c>
      <c r="P39" s="34" t="s">
        <v>48</v>
      </c>
      <c r="Q39" s="33" t="n">
        <f>16890</f>
        <v>16890.0</v>
      </c>
      <c r="R39" s="34" t="s">
        <v>50</v>
      </c>
      <c r="S39" s="35" t="n">
        <f>17781.11</f>
        <v>17781.11</v>
      </c>
      <c r="T39" s="32" t="n">
        <f>223118</f>
        <v>223118.0</v>
      </c>
      <c r="U39" s="32" t="n">
        <f>710</f>
        <v>710.0</v>
      </c>
      <c r="V39" s="32" t="n">
        <f>3953002180</f>
        <v>3.95300218E9</v>
      </c>
      <c r="W39" s="32" t="n">
        <f>13096200</f>
        <v>1.30962E7</v>
      </c>
      <c r="X39" s="36" t="n">
        <f>18</f>
        <v>18.0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2059</f>
        <v>2059.0</v>
      </c>
      <c r="L40" s="34" t="s">
        <v>48</v>
      </c>
      <c r="M40" s="33" t="n">
        <f>2059</f>
        <v>2059.0</v>
      </c>
      <c r="N40" s="34" t="s">
        <v>48</v>
      </c>
      <c r="O40" s="33" t="n">
        <f>1707</f>
        <v>1707.0</v>
      </c>
      <c r="P40" s="34" t="s">
        <v>49</v>
      </c>
      <c r="Q40" s="33" t="n">
        <f>1838</f>
        <v>1838.0</v>
      </c>
      <c r="R40" s="34" t="s">
        <v>50</v>
      </c>
      <c r="S40" s="35" t="n">
        <f>1821.5</f>
        <v>1821.5</v>
      </c>
      <c r="T40" s="32" t="n">
        <f>1549025</f>
        <v>1549025.0</v>
      </c>
      <c r="U40" s="32" t="n">
        <f>4000</f>
        <v>4000.0</v>
      </c>
      <c r="V40" s="32" t="n">
        <f>2823088044</f>
        <v>2.823088044E9</v>
      </c>
      <c r="W40" s="32" t="n">
        <f>7390900</f>
        <v>7390900.0</v>
      </c>
      <c r="X40" s="36" t="n">
        <f>18</f>
        <v>18.0</v>
      </c>
    </row>
    <row r="41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27660</f>
        <v>27660.0</v>
      </c>
      <c r="L41" s="34" t="s">
        <v>48</v>
      </c>
      <c r="M41" s="33" t="n">
        <f>30750</f>
        <v>30750.0</v>
      </c>
      <c r="N41" s="34" t="s">
        <v>49</v>
      </c>
      <c r="O41" s="33" t="n">
        <f>27660</f>
        <v>27660.0</v>
      </c>
      <c r="P41" s="34" t="s">
        <v>48</v>
      </c>
      <c r="Q41" s="33" t="n">
        <f>29050</f>
        <v>29050.0</v>
      </c>
      <c r="R41" s="34" t="s">
        <v>50</v>
      </c>
      <c r="S41" s="35" t="n">
        <f>29483.89</f>
        <v>29483.89</v>
      </c>
      <c r="T41" s="32" t="n">
        <f>124705</f>
        <v>124705.0</v>
      </c>
      <c r="U41" s="32" t="n">
        <f>36417</f>
        <v>36417.0</v>
      </c>
      <c r="V41" s="32" t="n">
        <f>3662452140</f>
        <v>3.66245214E9</v>
      </c>
      <c r="W41" s="32" t="n">
        <f>1056900490</f>
        <v>1.05690049E9</v>
      </c>
      <c r="X41" s="36" t="n">
        <f>18</f>
        <v>18.0</v>
      </c>
    </row>
    <row r="42">
      <c r="A42" s="27" t="s">
        <v>42</v>
      </c>
      <c r="B42" s="27" t="s">
        <v>162</v>
      </c>
      <c r="C42" s="27" t="s">
        <v>163</v>
      </c>
      <c r="D42" s="27" t="s">
        <v>164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4400</f>
        <v>4400.0</v>
      </c>
      <c r="L42" s="34" t="s">
        <v>48</v>
      </c>
      <c r="M42" s="33" t="n">
        <f>4800</f>
        <v>4800.0</v>
      </c>
      <c r="N42" s="34" t="s">
        <v>49</v>
      </c>
      <c r="O42" s="33" t="n">
        <f>4320</f>
        <v>4320.0</v>
      </c>
      <c r="P42" s="34" t="s">
        <v>48</v>
      </c>
      <c r="Q42" s="33" t="n">
        <f>4695</f>
        <v>4695.0</v>
      </c>
      <c r="R42" s="34" t="s">
        <v>50</v>
      </c>
      <c r="S42" s="35" t="n">
        <f>4663.89</f>
        <v>4663.89</v>
      </c>
      <c r="T42" s="32" t="n">
        <f>7041</f>
        <v>7041.0</v>
      </c>
      <c r="U42" s="32" t="str">
        <f>"－"</f>
        <v>－</v>
      </c>
      <c r="V42" s="32" t="n">
        <f>32926410</f>
        <v>3.292641E7</v>
      </c>
      <c r="W42" s="32" t="str">
        <f>"－"</f>
        <v>－</v>
      </c>
      <c r="X42" s="36" t="n">
        <f>18</f>
        <v>18.0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8060</f>
        <v>8060.0</v>
      </c>
      <c r="L43" s="34" t="s">
        <v>48</v>
      </c>
      <c r="M43" s="33" t="n">
        <f>8690</f>
        <v>8690.0</v>
      </c>
      <c r="N43" s="34" t="s">
        <v>49</v>
      </c>
      <c r="O43" s="33" t="n">
        <f>8060</f>
        <v>8060.0</v>
      </c>
      <c r="P43" s="34" t="s">
        <v>48</v>
      </c>
      <c r="Q43" s="33" t="n">
        <f>8420</f>
        <v>8420.0</v>
      </c>
      <c r="R43" s="34" t="s">
        <v>50</v>
      </c>
      <c r="S43" s="35" t="n">
        <f>8438.33</f>
        <v>8438.33</v>
      </c>
      <c r="T43" s="32" t="n">
        <f>3605</f>
        <v>3605.0</v>
      </c>
      <c r="U43" s="32" t="str">
        <f>"－"</f>
        <v>－</v>
      </c>
      <c r="V43" s="32" t="n">
        <f>30559620</f>
        <v>3.055962E7</v>
      </c>
      <c r="W43" s="32" t="str">
        <f>"－"</f>
        <v>－</v>
      </c>
      <c r="X43" s="36" t="n">
        <f>18</f>
        <v>18.0</v>
      </c>
    </row>
    <row r="44">
      <c r="A44" s="27" t="s">
        <v>42</v>
      </c>
      <c r="B44" s="27" t="s">
        <v>168</v>
      </c>
      <c r="C44" s="27" t="s">
        <v>169</v>
      </c>
      <c r="D44" s="27" t="s">
        <v>170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15600</f>
        <v>15600.0</v>
      </c>
      <c r="L44" s="34" t="s">
        <v>48</v>
      </c>
      <c r="M44" s="33" t="n">
        <f>17550</f>
        <v>17550.0</v>
      </c>
      <c r="N44" s="34" t="s">
        <v>70</v>
      </c>
      <c r="O44" s="33" t="n">
        <f>15600</f>
        <v>15600.0</v>
      </c>
      <c r="P44" s="34" t="s">
        <v>48</v>
      </c>
      <c r="Q44" s="33" t="n">
        <f>16700</f>
        <v>16700.0</v>
      </c>
      <c r="R44" s="34" t="s">
        <v>50</v>
      </c>
      <c r="S44" s="35" t="n">
        <f>16731.43</f>
        <v>16731.43</v>
      </c>
      <c r="T44" s="32" t="n">
        <f>473</f>
        <v>473.0</v>
      </c>
      <c r="U44" s="32" t="str">
        <f>"－"</f>
        <v>－</v>
      </c>
      <c r="V44" s="32" t="n">
        <f>8011940</f>
        <v>8011940.0</v>
      </c>
      <c r="W44" s="32" t="str">
        <f>"－"</f>
        <v>－</v>
      </c>
      <c r="X44" s="36" t="n">
        <f>14</f>
        <v>14.0</v>
      </c>
    </row>
    <row r="45">
      <c r="A45" s="27" t="s">
        <v>42</v>
      </c>
      <c r="B45" s="27" t="s">
        <v>171</v>
      </c>
      <c r="C45" s="27" t="s">
        <v>172</v>
      </c>
      <c r="D45" s="27" t="s">
        <v>173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14460</f>
        <v>14460.0</v>
      </c>
      <c r="L45" s="34" t="s">
        <v>98</v>
      </c>
      <c r="M45" s="33" t="n">
        <f>15270</f>
        <v>15270.0</v>
      </c>
      <c r="N45" s="34" t="s">
        <v>49</v>
      </c>
      <c r="O45" s="33" t="n">
        <f>14260</f>
        <v>14260.0</v>
      </c>
      <c r="P45" s="34" t="s">
        <v>174</v>
      </c>
      <c r="Q45" s="33" t="n">
        <f>14430</f>
        <v>14430.0</v>
      </c>
      <c r="R45" s="34" t="s">
        <v>175</v>
      </c>
      <c r="S45" s="35" t="n">
        <f>14564</f>
        <v>14564.0</v>
      </c>
      <c r="T45" s="32" t="n">
        <f>352</f>
        <v>352.0</v>
      </c>
      <c r="U45" s="32" t="str">
        <f>"－"</f>
        <v>－</v>
      </c>
      <c r="V45" s="32" t="n">
        <f>5097500</f>
        <v>5097500.0</v>
      </c>
      <c r="W45" s="32" t="str">
        <f>"－"</f>
        <v>－</v>
      </c>
      <c r="X45" s="36" t="n">
        <f>10</f>
        <v>10.0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8520</f>
        <v>8520.0</v>
      </c>
      <c r="L46" s="34" t="s">
        <v>48</v>
      </c>
      <c r="M46" s="33" t="n">
        <f>9900</f>
        <v>9900.0</v>
      </c>
      <c r="N46" s="34" t="s">
        <v>175</v>
      </c>
      <c r="O46" s="33" t="n">
        <f>8420</f>
        <v>8420.0</v>
      </c>
      <c r="P46" s="34" t="s">
        <v>48</v>
      </c>
      <c r="Q46" s="33" t="n">
        <f>9710</f>
        <v>9710.0</v>
      </c>
      <c r="R46" s="34" t="s">
        <v>50</v>
      </c>
      <c r="S46" s="35" t="n">
        <f>9024.44</f>
        <v>9024.44</v>
      </c>
      <c r="T46" s="32" t="n">
        <f>13506</f>
        <v>13506.0</v>
      </c>
      <c r="U46" s="32" t="str">
        <f>"－"</f>
        <v>－</v>
      </c>
      <c r="V46" s="32" t="n">
        <f>124957860</f>
        <v>1.2495786E8</v>
      </c>
      <c r="W46" s="32" t="str">
        <f>"－"</f>
        <v>－</v>
      </c>
      <c r="X46" s="36" t="n">
        <f>18</f>
        <v>18.0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4830</f>
        <v>4830.0</v>
      </c>
      <c r="L47" s="34" t="s">
        <v>48</v>
      </c>
      <c r="M47" s="33" t="n">
        <f>5140</f>
        <v>5140.0</v>
      </c>
      <c r="N47" s="34" t="s">
        <v>175</v>
      </c>
      <c r="O47" s="33" t="n">
        <f>4825</f>
        <v>4825.0</v>
      </c>
      <c r="P47" s="34" t="s">
        <v>182</v>
      </c>
      <c r="Q47" s="33" t="n">
        <f>4960</f>
        <v>4960.0</v>
      </c>
      <c r="R47" s="34" t="s">
        <v>50</v>
      </c>
      <c r="S47" s="35" t="n">
        <f>4965.83</f>
        <v>4965.83</v>
      </c>
      <c r="T47" s="32" t="n">
        <f>4666</f>
        <v>4666.0</v>
      </c>
      <c r="U47" s="32" t="str">
        <f>"－"</f>
        <v>－</v>
      </c>
      <c r="V47" s="32" t="n">
        <f>23290310</f>
        <v>2.329031E7</v>
      </c>
      <c r="W47" s="32" t="str">
        <f>"－"</f>
        <v>－</v>
      </c>
      <c r="X47" s="36" t="n">
        <f>18</f>
        <v>18.0</v>
      </c>
    </row>
    <row r="48">
      <c r="A48" s="27" t="s">
        <v>42</v>
      </c>
      <c r="B48" s="27" t="s">
        <v>183</v>
      </c>
      <c r="C48" s="27" t="s">
        <v>184</v>
      </c>
      <c r="D48" s="27" t="s">
        <v>185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2385</f>
        <v>2385.0</v>
      </c>
      <c r="L48" s="34" t="s">
        <v>48</v>
      </c>
      <c r="M48" s="33" t="n">
        <f>2528</f>
        <v>2528.0</v>
      </c>
      <c r="N48" s="34" t="s">
        <v>49</v>
      </c>
      <c r="O48" s="33" t="n">
        <f>2352</f>
        <v>2352.0</v>
      </c>
      <c r="P48" s="34" t="s">
        <v>50</v>
      </c>
      <c r="Q48" s="33" t="n">
        <f>2386</f>
        <v>2386.0</v>
      </c>
      <c r="R48" s="34" t="s">
        <v>50</v>
      </c>
      <c r="S48" s="35" t="n">
        <f>2412</f>
        <v>2412.0</v>
      </c>
      <c r="T48" s="32" t="n">
        <f>3575</f>
        <v>3575.0</v>
      </c>
      <c r="U48" s="32" t="str">
        <f>"－"</f>
        <v>－</v>
      </c>
      <c r="V48" s="32" t="n">
        <f>8613241</f>
        <v>8613241.0</v>
      </c>
      <c r="W48" s="32" t="str">
        <f>"－"</f>
        <v>－</v>
      </c>
      <c r="X48" s="36" t="n">
        <f>18</f>
        <v>18.0</v>
      </c>
    </row>
    <row r="49">
      <c r="A49" s="27" t="s">
        <v>42</v>
      </c>
      <c r="B49" s="27" t="s">
        <v>186</v>
      </c>
      <c r="C49" s="27" t="s">
        <v>187</v>
      </c>
      <c r="D49" s="27" t="s">
        <v>188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2280</f>
        <v>2280.0</v>
      </c>
      <c r="L49" s="34" t="s">
        <v>48</v>
      </c>
      <c r="M49" s="33" t="n">
        <f>2760</f>
        <v>2760.0</v>
      </c>
      <c r="N49" s="34" t="s">
        <v>93</v>
      </c>
      <c r="O49" s="33" t="n">
        <f>2272</f>
        <v>2272.0</v>
      </c>
      <c r="P49" s="34" t="s">
        <v>48</v>
      </c>
      <c r="Q49" s="33" t="n">
        <f>2512</f>
        <v>2512.0</v>
      </c>
      <c r="R49" s="34" t="s">
        <v>50</v>
      </c>
      <c r="S49" s="35" t="n">
        <f>2465.33</f>
        <v>2465.33</v>
      </c>
      <c r="T49" s="32" t="n">
        <f>33088</f>
        <v>33088.0</v>
      </c>
      <c r="U49" s="32" t="str">
        <f>"－"</f>
        <v>－</v>
      </c>
      <c r="V49" s="32" t="n">
        <f>84426231</f>
        <v>8.4426231E7</v>
      </c>
      <c r="W49" s="32" t="str">
        <f>"－"</f>
        <v>－</v>
      </c>
      <c r="X49" s="36" t="n">
        <f>18</f>
        <v>18.0</v>
      </c>
    </row>
    <row r="50">
      <c r="A50" s="27" t="s">
        <v>42</v>
      </c>
      <c r="B50" s="27" t="s">
        <v>189</v>
      </c>
      <c r="C50" s="27" t="s">
        <v>190</v>
      </c>
      <c r="D50" s="27" t="s">
        <v>191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38000</f>
        <v>38000.0</v>
      </c>
      <c r="L50" s="34" t="s">
        <v>48</v>
      </c>
      <c r="M50" s="33" t="n">
        <f>41750</f>
        <v>41750.0</v>
      </c>
      <c r="N50" s="34" t="s">
        <v>74</v>
      </c>
      <c r="O50" s="33" t="n">
        <f>38000</f>
        <v>38000.0</v>
      </c>
      <c r="P50" s="34" t="s">
        <v>48</v>
      </c>
      <c r="Q50" s="33" t="n">
        <f>40400</f>
        <v>40400.0</v>
      </c>
      <c r="R50" s="34" t="s">
        <v>50</v>
      </c>
      <c r="S50" s="35" t="n">
        <f>40388.89</f>
        <v>40388.89</v>
      </c>
      <c r="T50" s="32" t="n">
        <f>633</f>
        <v>633.0</v>
      </c>
      <c r="U50" s="32" t="str">
        <f>"－"</f>
        <v>－</v>
      </c>
      <c r="V50" s="32" t="n">
        <f>25608250</f>
        <v>2.560825E7</v>
      </c>
      <c r="W50" s="32" t="str">
        <f>"－"</f>
        <v>－</v>
      </c>
      <c r="X50" s="36" t="n">
        <f>18</f>
        <v>18.0</v>
      </c>
    </row>
    <row r="51">
      <c r="A51" s="27" t="s">
        <v>42</v>
      </c>
      <c r="B51" s="27" t="s">
        <v>192</v>
      </c>
      <c r="C51" s="27" t="s">
        <v>193</v>
      </c>
      <c r="D51" s="27" t="s">
        <v>194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28300</f>
        <v>28300.0</v>
      </c>
      <c r="L51" s="34" t="s">
        <v>48</v>
      </c>
      <c r="M51" s="33" t="n">
        <f>30650</f>
        <v>30650.0</v>
      </c>
      <c r="N51" s="34" t="s">
        <v>70</v>
      </c>
      <c r="O51" s="33" t="n">
        <f>28300</f>
        <v>28300.0</v>
      </c>
      <c r="P51" s="34" t="s">
        <v>48</v>
      </c>
      <c r="Q51" s="33" t="n">
        <f>29840</f>
        <v>29840.0</v>
      </c>
      <c r="R51" s="34" t="s">
        <v>50</v>
      </c>
      <c r="S51" s="35" t="n">
        <f>29751.88</f>
        <v>29751.88</v>
      </c>
      <c r="T51" s="32" t="n">
        <f>150</f>
        <v>150.0</v>
      </c>
      <c r="U51" s="32" t="str">
        <f>"－"</f>
        <v>－</v>
      </c>
      <c r="V51" s="32" t="n">
        <f>4473080</f>
        <v>4473080.0</v>
      </c>
      <c r="W51" s="32" t="str">
        <f>"－"</f>
        <v>－</v>
      </c>
      <c r="X51" s="36" t="n">
        <f>16</f>
        <v>16.0</v>
      </c>
    </row>
    <row r="52">
      <c r="A52" s="27" t="s">
        <v>42</v>
      </c>
      <c r="B52" s="27" t="s">
        <v>195</v>
      </c>
      <c r="C52" s="27" t="s">
        <v>196</v>
      </c>
      <c r="D52" s="27" t="s">
        <v>197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27850</f>
        <v>27850.0</v>
      </c>
      <c r="L52" s="34" t="s">
        <v>48</v>
      </c>
      <c r="M52" s="33" t="n">
        <f>30950</f>
        <v>30950.0</v>
      </c>
      <c r="N52" s="34" t="s">
        <v>49</v>
      </c>
      <c r="O52" s="33" t="n">
        <f>27850</f>
        <v>27850.0</v>
      </c>
      <c r="P52" s="34" t="s">
        <v>48</v>
      </c>
      <c r="Q52" s="33" t="n">
        <f>29300</f>
        <v>29300.0</v>
      </c>
      <c r="R52" s="34" t="s">
        <v>50</v>
      </c>
      <c r="S52" s="35" t="n">
        <f>29644.44</f>
        <v>29644.44</v>
      </c>
      <c r="T52" s="32" t="n">
        <f>1478284</f>
        <v>1478284.0</v>
      </c>
      <c r="U52" s="32" t="n">
        <f>1477270</f>
        <v>1477270.0</v>
      </c>
      <c r="V52" s="32" t="n">
        <f>43337028937</f>
        <v>4.3337028937E10</v>
      </c>
      <c r="W52" s="32" t="n">
        <f>43306962847</f>
        <v>4.3306962847E10</v>
      </c>
      <c r="X52" s="36" t="n">
        <f>18</f>
        <v>18.0</v>
      </c>
    </row>
    <row r="53">
      <c r="A53" s="27" t="s">
        <v>42</v>
      </c>
      <c r="B53" s="27" t="s">
        <v>198</v>
      </c>
      <c r="C53" s="27" t="s">
        <v>199</v>
      </c>
      <c r="D53" s="27" t="s">
        <v>200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1887</f>
        <v>1887.0</v>
      </c>
      <c r="L53" s="34" t="s">
        <v>48</v>
      </c>
      <c r="M53" s="33" t="n">
        <f>2048</f>
        <v>2048.0</v>
      </c>
      <c r="N53" s="34" t="s">
        <v>50</v>
      </c>
      <c r="O53" s="33" t="n">
        <f>1860</f>
        <v>1860.0</v>
      </c>
      <c r="P53" s="34" t="s">
        <v>115</v>
      </c>
      <c r="Q53" s="33" t="n">
        <f>1989</f>
        <v>1989.0</v>
      </c>
      <c r="R53" s="34" t="s">
        <v>50</v>
      </c>
      <c r="S53" s="35" t="n">
        <f>1951.17</f>
        <v>1951.17</v>
      </c>
      <c r="T53" s="32" t="n">
        <f>226670</f>
        <v>226670.0</v>
      </c>
      <c r="U53" s="32" t="n">
        <f>85000</f>
        <v>85000.0</v>
      </c>
      <c r="V53" s="32" t="n">
        <f>442862910</f>
        <v>4.4286291E8</v>
      </c>
      <c r="W53" s="32" t="n">
        <f>166308500</f>
        <v>1.663085E8</v>
      </c>
      <c r="X53" s="36" t="n">
        <f>18</f>
        <v>18.0</v>
      </c>
    </row>
    <row r="54">
      <c r="A54" s="27" t="s">
        <v>42</v>
      </c>
      <c r="B54" s="27" t="s">
        <v>201</v>
      </c>
      <c r="C54" s="27" t="s">
        <v>202</v>
      </c>
      <c r="D54" s="27" t="s">
        <v>203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1482</f>
        <v>1482.0</v>
      </c>
      <c r="L54" s="34" t="s">
        <v>48</v>
      </c>
      <c r="M54" s="33" t="n">
        <f>1581</f>
        <v>1581.0</v>
      </c>
      <c r="N54" s="34" t="s">
        <v>49</v>
      </c>
      <c r="O54" s="33" t="n">
        <f>1470</f>
        <v>1470.0</v>
      </c>
      <c r="P54" s="34" t="s">
        <v>48</v>
      </c>
      <c r="Q54" s="33" t="n">
        <f>1509</f>
        <v>1509.0</v>
      </c>
      <c r="R54" s="34" t="s">
        <v>50</v>
      </c>
      <c r="S54" s="35" t="n">
        <f>1532.83</f>
        <v>1532.83</v>
      </c>
      <c r="T54" s="32" t="n">
        <f>8420</f>
        <v>8420.0</v>
      </c>
      <c r="U54" s="32" t="str">
        <f>"－"</f>
        <v>－</v>
      </c>
      <c r="V54" s="32" t="n">
        <f>12915480</f>
        <v>1.291548E7</v>
      </c>
      <c r="W54" s="32" t="str">
        <f>"－"</f>
        <v>－</v>
      </c>
      <c r="X54" s="36" t="n">
        <f>18</f>
        <v>18.0</v>
      </c>
    </row>
    <row r="55">
      <c r="A55" s="27" t="s">
        <v>42</v>
      </c>
      <c r="B55" s="27" t="s">
        <v>204</v>
      </c>
      <c r="C55" s="27" t="s">
        <v>205</v>
      </c>
      <c r="D55" s="27" t="s">
        <v>206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4665</f>
        <v>4665.0</v>
      </c>
      <c r="L55" s="34" t="s">
        <v>48</v>
      </c>
      <c r="M55" s="33" t="n">
        <f>4670</f>
        <v>4670.0</v>
      </c>
      <c r="N55" s="34" t="s">
        <v>48</v>
      </c>
      <c r="O55" s="33" t="n">
        <f>4190</f>
        <v>4190.0</v>
      </c>
      <c r="P55" s="34" t="s">
        <v>49</v>
      </c>
      <c r="Q55" s="33" t="n">
        <f>4420</f>
        <v>4420.0</v>
      </c>
      <c r="R55" s="34" t="s">
        <v>50</v>
      </c>
      <c r="S55" s="35" t="n">
        <f>4373.33</f>
        <v>4373.33</v>
      </c>
      <c r="T55" s="32" t="n">
        <f>1255740</f>
        <v>1255740.0</v>
      </c>
      <c r="U55" s="32" t="n">
        <f>15000</f>
        <v>15000.0</v>
      </c>
      <c r="V55" s="32" t="n">
        <f>5437958975</f>
        <v>5.437958975E9</v>
      </c>
      <c r="W55" s="32" t="n">
        <f>64151850</f>
        <v>6.415185E7</v>
      </c>
      <c r="X55" s="36" t="n">
        <f>18</f>
        <v>18.0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5900</f>
        <v>5900.0</v>
      </c>
      <c r="L56" s="34" t="s">
        <v>48</v>
      </c>
      <c r="M56" s="33" t="n">
        <f>5900</f>
        <v>5900.0</v>
      </c>
      <c r="N56" s="34" t="s">
        <v>48</v>
      </c>
      <c r="O56" s="33" t="n">
        <f>5380</f>
        <v>5380.0</v>
      </c>
      <c r="P56" s="34" t="s">
        <v>49</v>
      </c>
      <c r="Q56" s="33" t="n">
        <f>5690</f>
        <v>5690.0</v>
      </c>
      <c r="R56" s="34" t="s">
        <v>50</v>
      </c>
      <c r="S56" s="35" t="n">
        <f>5559.44</f>
        <v>5559.44</v>
      </c>
      <c r="T56" s="32" t="n">
        <f>249190</f>
        <v>249190.0</v>
      </c>
      <c r="U56" s="32" t="str">
        <f>"－"</f>
        <v>－</v>
      </c>
      <c r="V56" s="32" t="n">
        <f>1377953750</f>
        <v>1.37795375E9</v>
      </c>
      <c r="W56" s="32" t="str">
        <f>"－"</f>
        <v>－</v>
      </c>
      <c r="X56" s="36" t="n">
        <f>18</f>
        <v>18.0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16980</f>
        <v>16980.0</v>
      </c>
      <c r="L57" s="34" t="s">
        <v>48</v>
      </c>
      <c r="M57" s="33" t="n">
        <f>20940</f>
        <v>20940.0</v>
      </c>
      <c r="N57" s="34" t="s">
        <v>49</v>
      </c>
      <c r="O57" s="33" t="n">
        <f>16960</f>
        <v>16960.0</v>
      </c>
      <c r="P57" s="34" t="s">
        <v>48</v>
      </c>
      <c r="Q57" s="33" t="n">
        <f>18620</f>
        <v>18620.0</v>
      </c>
      <c r="R57" s="34" t="s">
        <v>50</v>
      </c>
      <c r="S57" s="35" t="n">
        <f>19277.22</f>
        <v>19277.22</v>
      </c>
      <c r="T57" s="32" t="n">
        <f>18413342</f>
        <v>1.8413342E7</v>
      </c>
      <c r="U57" s="32" t="n">
        <f>1</f>
        <v>1.0</v>
      </c>
      <c r="V57" s="32" t="n">
        <f>356493876440</f>
        <v>3.5649387644E11</v>
      </c>
      <c r="W57" s="32" t="n">
        <f>19840</f>
        <v>19840.0</v>
      </c>
      <c r="X57" s="36" t="n">
        <f>18</f>
        <v>18.0</v>
      </c>
    </row>
    <row r="58">
      <c r="A58" s="27" t="s">
        <v>42</v>
      </c>
      <c r="B58" s="27" t="s">
        <v>213</v>
      </c>
      <c r="C58" s="27" t="s">
        <v>214</v>
      </c>
      <c r="D58" s="27" t="s">
        <v>215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1924</f>
        <v>1924.0</v>
      </c>
      <c r="L58" s="34" t="s">
        <v>48</v>
      </c>
      <c r="M58" s="33" t="n">
        <f>1927</f>
        <v>1927.0</v>
      </c>
      <c r="N58" s="34" t="s">
        <v>48</v>
      </c>
      <c r="O58" s="33" t="n">
        <f>1544</f>
        <v>1544.0</v>
      </c>
      <c r="P58" s="34" t="s">
        <v>49</v>
      </c>
      <c r="Q58" s="33" t="n">
        <f>1720</f>
        <v>1720.0</v>
      </c>
      <c r="R58" s="34" t="s">
        <v>50</v>
      </c>
      <c r="S58" s="35" t="n">
        <f>1685.89</f>
        <v>1685.89</v>
      </c>
      <c r="T58" s="32" t="n">
        <f>59439214</f>
        <v>5.9439214E7</v>
      </c>
      <c r="U58" s="32" t="n">
        <f>32</f>
        <v>32.0</v>
      </c>
      <c r="V58" s="32" t="n">
        <f>100785247245</f>
        <v>1.00785247245E11</v>
      </c>
      <c r="W58" s="32" t="n">
        <f>50902</f>
        <v>50902.0</v>
      </c>
      <c r="X58" s="36" t="n">
        <f>18</f>
        <v>18.0</v>
      </c>
    </row>
    <row r="59">
      <c r="A59" s="27" t="s">
        <v>42</v>
      </c>
      <c r="B59" s="27" t="s">
        <v>216</v>
      </c>
      <c r="C59" s="27" t="s">
        <v>217</v>
      </c>
      <c r="D59" s="27" t="s">
        <v>218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23570</f>
        <v>23570.0</v>
      </c>
      <c r="L59" s="34" t="s">
        <v>50</v>
      </c>
      <c r="M59" s="33" t="n">
        <f>23570</f>
        <v>23570.0</v>
      </c>
      <c r="N59" s="34" t="s">
        <v>50</v>
      </c>
      <c r="O59" s="33" t="n">
        <f>23570</f>
        <v>23570.0</v>
      </c>
      <c r="P59" s="34" t="s">
        <v>50</v>
      </c>
      <c r="Q59" s="33" t="n">
        <f>23570</f>
        <v>23570.0</v>
      </c>
      <c r="R59" s="34" t="s">
        <v>50</v>
      </c>
      <c r="S59" s="35" t="n">
        <f>23570</f>
        <v>23570.0</v>
      </c>
      <c r="T59" s="32" t="n">
        <f>4</f>
        <v>4.0</v>
      </c>
      <c r="U59" s="32" t="str">
        <f>"－"</f>
        <v>－</v>
      </c>
      <c r="V59" s="32" t="n">
        <f>94280</f>
        <v>94280.0</v>
      </c>
      <c r="W59" s="32" t="str">
        <f>"－"</f>
        <v>－</v>
      </c>
      <c r="X59" s="36" t="n">
        <f>1</f>
        <v>1.0</v>
      </c>
    </row>
    <row r="60">
      <c r="A60" s="27" t="s">
        <v>42</v>
      </c>
      <c r="B60" s="27" t="s">
        <v>219</v>
      </c>
      <c r="C60" s="27" t="s">
        <v>220</v>
      </c>
      <c r="D60" s="27" t="s">
        <v>221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12880</f>
        <v>12880.0</v>
      </c>
      <c r="L60" s="34" t="s">
        <v>48</v>
      </c>
      <c r="M60" s="33" t="n">
        <f>15270</f>
        <v>15270.0</v>
      </c>
      <c r="N60" s="34" t="s">
        <v>49</v>
      </c>
      <c r="O60" s="33" t="n">
        <f>12850</f>
        <v>12850.0</v>
      </c>
      <c r="P60" s="34" t="s">
        <v>48</v>
      </c>
      <c r="Q60" s="33" t="n">
        <f>13600</f>
        <v>13600.0</v>
      </c>
      <c r="R60" s="34" t="s">
        <v>50</v>
      </c>
      <c r="S60" s="35" t="n">
        <f>14297.22</f>
        <v>14297.22</v>
      </c>
      <c r="T60" s="32" t="n">
        <f>5566</f>
        <v>5566.0</v>
      </c>
      <c r="U60" s="32" t="str">
        <f>"－"</f>
        <v>－</v>
      </c>
      <c r="V60" s="32" t="n">
        <f>79082420</f>
        <v>7.908242E7</v>
      </c>
      <c r="W60" s="32" t="str">
        <f>"－"</f>
        <v>－</v>
      </c>
      <c r="X60" s="36" t="n">
        <f>18</f>
        <v>18.0</v>
      </c>
    </row>
    <row r="61">
      <c r="A61" s="27" t="s">
        <v>42</v>
      </c>
      <c r="B61" s="27" t="s">
        <v>222</v>
      </c>
      <c r="C61" s="27" t="s">
        <v>223</v>
      </c>
      <c r="D61" s="27" t="s">
        <v>224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5710</f>
        <v>5710.0</v>
      </c>
      <c r="L61" s="34" t="s">
        <v>48</v>
      </c>
      <c r="M61" s="33" t="n">
        <f>5710</f>
        <v>5710.0</v>
      </c>
      <c r="N61" s="34" t="s">
        <v>48</v>
      </c>
      <c r="O61" s="33" t="n">
        <f>5210</f>
        <v>5210.0</v>
      </c>
      <c r="P61" s="34" t="s">
        <v>49</v>
      </c>
      <c r="Q61" s="33" t="n">
        <f>5480</f>
        <v>5480.0</v>
      </c>
      <c r="R61" s="34" t="s">
        <v>50</v>
      </c>
      <c r="S61" s="35" t="n">
        <f>5401.11</f>
        <v>5401.11</v>
      </c>
      <c r="T61" s="32" t="n">
        <f>7482</f>
        <v>7482.0</v>
      </c>
      <c r="U61" s="32" t="n">
        <f>6300</f>
        <v>6300.0</v>
      </c>
      <c r="V61" s="32" t="n">
        <f>41891683</f>
        <v>4.1891683E7</v>
      </c>
      <c r="W61" s="32" t="n">
        <f>35477303</f>
        <v>3.5477303E7</v>
      </c>
      <c r="X61" s="36" t="n">
        <f>18</f>
        <v>18.0</v>
      </c>
    </row>
    <row r="62">
      <c r="A62" s="27" t="s">
        <v>42</v>
      </c>
      <c r="B62" s="27" t="s">
        <v>225</v>
      </c>
      <c r="C62" s="27" t="s">
        <v>226</v>
      </c>
      <c r="D62" s="27" t="s">
        <v>227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2560</f>
        <v>2560.0</v>
      </c>
      <c r="L62" s="34" t="s">
        <v>48</v>
      </c>
      <c r="M62" s="33" t="n">
        <f>2630</f>
        <v>2630.0</v>
      </c>
      <c r="N62" s="34" t="s">
        <v>48</v>
      </c>
      <c r="O62" s="33" t="n">
        <f>2200</f>
        <v>2200.0</v>
      </c>
      <c r="P62" s="34" t="s">
        <v>49</v>
      </c>
      <c r="Q62" s="33" t="n">
        <f>2445</f>
        <v>2445.0</v>
      </c>
      <c r="R62" s="34" t="s">
        <v>50</v>
      </c>
      <c r="S62" s="35" t="n">
        <f>2348.72</f>
        <v>2348.72</v>
      </c>
      <c r="T62" s="32" t="n">
        <f>26065</f>
        <v>26065.0</v>
      </c>
      <c r="U62" s="32" t="str">
        <f>"－"</f>
        <v>－</v>
      </c>
      <c r="V62" s="32" t="n">
        <f>61413606</f>
        <v>6.1413606E7</v>
      </c>
      <c r="W62" s="32" t="str">
        <f>"－"</f>
        <v>－</v>
      </c>
      <c r="X62" s="36" t="n">
        <f>18</f>
        <v>18.0</v>
      </c>
    </row>
    <row r="63">
      <c r="A63" s="27" t="s">
        <v>42</v>
      </c>
      <c r="B63" s="27" t="s">
        <v>228</v>
      </c>
      <c r="C63" s="27" t="s">
        <v>229</v>
      </c>
      <c r="D63" s="27" t="s">
        <v>230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12390</f>
        <v>12390.0</v>
      </c>
      <c r="L63" s="34" t="s">
        <v>48</v>
      </c>
      <c r="M63" s="33" t="n">
        <f>14470</f>
        <v>14470.0</v>
      </c>
      <c r="N63" s="34" t="s">
        <v>60</v>
      </c>
      <c r="O63" s="33" t="n">
        <f>12340</f>
        <v>12340.0</v>
      </c>
      <c r="P63" s="34" t="s">
        <v>48</v>
      </c>
      <c r="Q63" s="33" t="n">
        <f>13010</f>
        <v>13010.0</v>
      </c>
      <c r="R63" s="34" t="s">
        <v>50</v>
      </c>
      <c r="S63" s="35" t="n">
        <f>13491.18</f>
        <v>13491.18</v>
      </c>
      <c r="T63" s="32" t="n">
        <f>8950</f>
        <v>8950.0</v>
      </c>
      <c r="U63" s="32" t="str">
        <f>"－"</f>
        <v>－</v>
      </c>
      <c r="V63" s="32" t="n">
        <f>118625500</f>
        <v>1.186255E8</v>
      </c>
      <c r="W63" s="32" t="str">
        <f>"－"</f>
        <v>－</v>
      </c>
      <c r="X63" s="36" t="n">
        <f>17</f>
        <v>17.0</v>
      </c>
    </row>
    <row r="64">
      <c r="A64" s="27" t="s">
        <v>42</v>
      </c>
      <c r="B64" s="27" t="s">
        <v>231</v>
      </c>
      <c r="C64" s="27" t="s">
        <v>232</v>
      </c>
      <c r="D64" s="27" t="s">
        <v>233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5530</f>
        <v>5530.0</v>
      </c>
      <c r="L64" s="34" t="s">
        <v>48</v>
      </c>
      <c r="M64" s="33" t="n">
        <f>5530</f>
        <v>5530.0</v>
      </c>
      <c r="N64" s="34" t="s">
        <v>48</v>
      </c>
      <c r="O64" s="33" t="n">
        <f>5130</f>
        <v>5130.0</v>
      </c>
      <c r="P64" s="34" t="s">
        <v>49</v>
      </c>
      <c r="Q64" s="33" t="n">
        <f>5340</f>
        <v>5340.0</v>
      </c>
      <c r="R64" s="34" t="s">
        <v>50</v>
      </c>
      <c r="S64" s="35" t="n">
        <f>5299.09</f>
        <v>5299.09</v>
      </c>
      <c r="T64" s="32" t="n">
        <f>2200</f>
        <v>2200.0</v>
      </c>
      <c r="U64" s="32" t="str">
        <f>"－"</f>
        <v>－</v>
      </c>
      <c r="V64" s="32" t="n">
        <f>11592200</f>
        <v>1.15922E7</v>
      </c>
      <c r="W64" s="32" t="str">
        <f>"－"</f>
        <v>－</v>
      </c>
      <c r="X64" s="36" t="n">
        <f>11</f>
        <v>11.0</v>
      </c>
    </row>
    <row r="65">
      <c r="A65" s="27" t="s">
        <v>42</v>
      </c>
      <c r="B65" s="27" t="s">
        <v>234</v>
      </c>
      <c r="C65" s="27" t="s">
        <v>235</v>
      </c>
      <c r="D65" s="27" t="s">
        <v>236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2673</f>
        <v>2673.0</v>
      </c>
      <c r="L65" s="34" t="s">
        <v>48</v>
      </c>
      <c r="M65" s="33" t="n">
        <f>2673</f>
        <v>2673.0</v>
      </c>
      <c r="N65" s="34" t="s">
        <v>48</v>
      </c>
      <c r="O65" s="33" t="n">
        <f>2211</f>
        <v>2211.0</v>
      </c>
      <c r="P65" s="34" t="s">
        <v>70</v>
      </c>
      <c r="Q65" s="33" t="n">
        <f>2370</f>
        <v>2370.0</v>
      </c>
      <c r="R65" s="34" t="s">
        <v>50</v>
      </c>
      <c r="S65" s="35" t="n">
        <f>2345.44</f>
        <v>2345.44</v>
      </c>
      <c r="T65" s="32" t="n">
        <f>88850</f>
        <v>88850.0</v>
      </c>
      <c r="U65" s="32" t="str">
        <f>"－"</f>
        <v>－</v>
      </c>
      <c r="V65" s="32" t="n">
        <f>210401240</f>
        <v>2.1040124E8</v>
      </c>
      <c r="W65" s="32" t="str">
        <f>"－"</f>
        <v>－</v>
      </c>
      <c r="X65" s="36" t="n">
        <f>18</f>
        <v>18.0</v>
      </c>
    </row>
    <row r="66">
      <c r="A66" s="27" t="s">
        <v>42</v>
      </c>
      <c r="B66" s="27" t="s">
        <v>237</v>
      </c>
      <c r="C66" s="27" t="s">
        <v>238</v>
      </c>
      <c r="D66" s="27" t="s">
        <v>239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23380</f>
        <v>23380.0</v>
      </c>
      <c r="L66" s="34" t="s">
        <v>48</v>
      </c>
      <c r="M66" s="33" t="n">
        <f>26500</f>
        <v>26500.0</v>
      </c>
      <c r="N66" s="34" t="s">
        <v>74</v>
      </c>
      <c r="O66" s="33" t="n">
        <f>22500</f>
        <v>22500.0</v>
      </c>
      <c r="P66" s="34" t="s">
        <v>48</v>
      </c>
      <c r="Q66" s="33" t="n">
        <f>23760</f>
        <v>23760.0</v>
      </c>
      <c r="R66" s="34" t="s">
        <v>50</v>
      </c>
      <c r="S66" s="35" t="n">
        <f>24342.78</f>
        <v>24342.78</v>
      </c>
      <c r="T66" s="32" t="n">
        <f>5291</f>
        <v>5291.0</v>
      </c>
      <c r="U66" s="32" t="str">
        <f>"－"</f>
        <v>－</v>
      </c>
      <c r="V66" s="32" t="n">
        <f>129565840</f>
        <v>1.2956584E8</v>
      </c>
      <c r="W66" s="32" t="str">
        <f>"－"</f>
        <v>－</v>
      </c>
      <c r="X66" s="36" t="n">
        <f>18</f>
        <v>18.0</v>
      </c>
    </row>
    <row r="67">
      <c r="A67" s="27" t="s">
        <v>42</v>
      </c>
      <c r="B67" s="27" t="s">
        <v>240</v>
      </c>
      <c r="C67" s="27" t="s">
        <v>241</v>
      </c>
      <c r="D67" s="27" t="s">
        <v>242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3675</f>
        <v>3675.0</v>
      </c>
      <c r="L67" s="34" t="s">
        <v>48</v>
      </c>
      <c r="M67" s="33" t="n">
        <f>3675</f>
        <v>3675.0</v>
      </c>
      <c r="N67" s="34" t="s">
        <v>48</v>
      </c>
      <c r="O67" s="33" t="n">
        <f>3355</f>
        <v>3355.0</v>
      </c>
      <c r="P67" s="34" t="s">
        <v>49</v>
      </c>
      <c r="Q67" s="33" t="n">
        <f>3560</f>
        <v>3560.0</v>
      </c>
      <c r="R67" s="34" t="s">
        <v>50</v>
      </c>
      <c r="S67" s="35" t="n">
        <f>3483.33</f>
        <v>3483.33</v>
      </c>
      <c r="T67" s="32" t="n">
        <f>34150</f>
        <v>34150.0</v>
      </c>
      <c r="U67" s="32" t="n">
        <f>32000</f>
        <v>32000.0</v>
      </c>
      <c r="V67" s="32" t="n">
        <f>123442660</f>
        <v>1.2344266E8</v>
      </c>
      <c r="W67" s="32" t="n">
        <f>115953600</f>
        <v>1.159536E8</v>
      </c>
      <c r="X67" s="36" t="n">
        <f>18</f>
        <v>18.0</v>
      </c>
    </row>
    <row r="68">
      <c r="A68" s="27" t="s">
        <v>42</v>
      </c>
      <c r="B68" s="27" t="s">
        <v>243</v>
      </c>
      <c r="C68" s="27" t="s">
        <v>244</v>
      </c>
      <c r="D68" s="27" t="s">
        <v>245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1057</f>
        <v>1057.0</v>
      </c>
      <c r="L68" s="34" t="s">
        <v>48</v>
      </c>
      <c r="M68" s="33" t="n">
        <f>1057</f>
        <v>1057.0</v>
      </c>
      <c r="N68" s="34" t="s">
        <v>48</v>
      </c>
      <c r="O68" s="33" t="n">
        <f>889</f>
        <v>889.0</v>
      </c>
      <c r="P68" s="34" t="s">
        <v>49</v>
      </c>
      <c r="Q68" s="33" t="n">
        <f>965</f>
        <v>965.0</v>
      </c>
      <c r="R68" s="34" t="s">
        <v>50</v>
      </c>
      <c r="S68" s="35" t="n">
        <f>944.28</f>
        <v>944.28</v>
      </c>
      <c r="T68" s="32" t="n">
        <f>89279</f>
        <v>89279.0</v>
      </c>
      <c r="U68" s="32" t="str">
        <f>"－"</f>
        <v>－</v>
      </c>
      <c r="V68" s="32" t="n">
        <f>84228899</f>
        <v>8.4228899E7</v>
      </c>
      <c r="W68" s="32" t="str">
        <f>"－"</f>
        <v>－</v>
      </c>
      <c r="X68" s="36" t="n">
        <f>18</f>
        <v>18.0</v>
      </c>
    </row>
    <row r="69">
      <c r="A69" s="27" t="s">
        <v>42</v>
      </c>
      <c r="B69" s="27" t="s">
        <v>246</v>
      </c>
      <c r="C69" s="27" t="s">
        <v>247</v>
      </c>
      <c r="D69" s="27" t="s">
        <v>248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1825</f>
        <v>1825.0</v>
      </c>
      <c r="L69" s="34" t="s">
        <v>48</v>
      </c>
      <c r="M69" s="33" t="n">
        <f>1995</f>
        <v>1995.0</v>
      </c>
      <c r="N69" s="34" t="s">
        <v>49</v>
      </c>
      <c r="O69" s="33" t="n">
        <f>1824</f>
        <v>1824.0</v>
      </c>
      <c r="P69" s="34" t="s">
        <v>48</v>
      </c>
      <c r="Q69" s="33" t="n">
        <f>1881</f>
        <v>1881.0</v>
      </c>
      <c r="R69" s="34" t="s">
        <v>50</v>
      </c>
      <c r="S69" s="35" t="n">
        <f>1931.89</f>
        <v>1931.89</v>
      </c>
      <c r="T69" s="32" t="n">
        <f>1635190</f>
        <v>1635190.0</v>
      </c>
      <c r="U69" s="32" t="n">
        <f>1422000</f>
        <v>1422000.0</v>
      </c>
      <c r="V69" s="32" t="n">
        <f>3192326460</f>
        <v>3.19232646E9</v>
      </c>
      <c r="W69" s="32" t="n">
        <f>2775596500</f>
        <v>2.7755965E9</v>
      </c>
      <c r="X69" s="36" t="n">
        <f>18</f>
        <v>18.0</v>
      </c>
    </row>
    <row r="70">
      <c r="A70" s="27" t="s">
        <v>42</v>
      </c>
      <c r="B70" s="27" t="s">
        <v>249</v>
      </c>
      <c r="C70" s="27" t="s">
        <v>250</v>
      </c>
      <c r="D70" s="27" t="s">
        <v>251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16440</f>
        <v>16440.0</v>
      </c>
      <c r="L70" s="34" t="s">
        <v>48</v>
      </c>
      <c r="M70" s="33" t="n">
        <f>18020</f>
        <v>18020.0</v>
      </c>
      <c r="N70" s="34" t="s">
        <v>49</v>
      </c>
      <c r="O70" s="33" t="n">
        <f>16440</f>
        <v>16440.0</v>
      </c>
      <c r="P70" s="34" t="s">
        <v>48</v>
      </c>
      <c r="Q70" s="33" t="n">
        <f>17070</f>
        <v>17070.0</v>
      </c>
      <c r="R70" s="34" t="s">
        <v>50</v>
      </c>
      <c r="S70" s="35" t="n">
        <f>17423.89</f>
        <v>17423.89</v>
      </c>
      <c r="T70" s="32" t="n">
        <f>55841</f>
        <v>55841.0</v>
      </c>
      <c r="U70" s="32" t="n">
        <f>13306</f>
        <v>13306.0</v>
      </c>
      <c r="V70" s="32" t="n">
        <f>965842214</f>
        <v>9.65842214E8</v>
      </c>
      <c r="W70" s="32" t="n">
        <f>231435884</f>
        <v>2.31435884E8</v>
      </c>
      <c r="X70" s="36" t="n">
        <f>18</f>
        <v>18.0</v>
      </c>
    </row>
    <row r="71">
      <c r="A71" s="27" t="s">
        <v>42</v>
      </c>
      <c r="B71" s="27" t="s">
        <v>252</v>
      </c>
      <c r="C71" s="27" t="s">
        <v>253</v>
      </c>
      <c r="D71" s="27" t="s">
        <v>254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1850</f>
        <v>1850.0</v>
      </c>
      <c r="L71" s="34" t="s">
        <v>48</v>
      </c>
      <c r="M71" s="33" t="n">
        <f>2011</f>
        <v>2011.0</v>
      </c>
      <c r="N71" s="34" t="s">
        <v>49</v>
      </c>
      <c r="O71" s="33" t="n">
        <f>1848</f>
        <v>1848.0</v>
      </c>
      <c r="P71" s="34" t="s">
        <v>48</v>
      </c>
      <c r="Q71" s="33" t="n">
        <f>1876</f>
        <v>1876.0</v>
      </c>
      <c r="R71" s="34" t="s">
        <v>50</v>
      </c>
      <c r="S71" s="35" t="n">
        <f>1947.67</f>
        <v>1947.67</v>
      </c>
      <c r="T71" s="32" t="n">
        <f>4570969</f>
        <v>4570969.0</v>
      </c>
      <c r="U71" s="32" t="n">
        <f>1727521</f>
        <v>1727521.0</v>
      </c>
      <c r="V71" s="32" t="n">
        <f>8897366779</f>
        <v>8.897366779E9</v>
      </c>
      <c r="W71" s="32" t="n">
        <f>3377115982</f>
        <v>3.377115982E9</v>
      </c>
      <c r="X71" s="36" t="n">
        <f>18</f>
        <v>18.0</v>
      </c>
    </row>
    <row r="72">
      <c r="A72" s="27" t="s">
        <v>42</v>
      </c>
      <c r="B72" s="27" t="s">
        <v>255</v>
      </c>
      <c r="C72" s="27" t="s">
        <v>256</v>
      </c>
      <c r="D72" s="27" t="s">
        <v>257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1907</f>
        <v>1907.0</v>
      </c>
      <c r="L72" s="34" t="s">
        <v>48</v>
      </c>
      <c r="M72" s="33" t="n">
        <f>2055</f>
        <v>2055.0</v>
      </c>
      <c r="N72" s="34" t="s">
        <v>70</v>
      </c>
      <c r="O72" s="33" t="n">
        <f>1879</f>
        <v>1879.0</v>
      </c>
      <c r="P72" s="34" t="s">
        <v>98</v>
      </c>
      <c r="Q72" s="33" t="n">
        <f>2009</f>
        <v>2009.0</v>
      </c>
      <c r="R72" s="34" t="s">
        <v>50</v>
      </c>
      <c r="S72" s="35" t="n">
        <f>1964.83</f>
        <v>1964.83</v>
      </c>
      <c r="T72" s="32" t="n">
        <f>5958652</f>
        <v>5958652.0</v>
      </c>
      <c r="U72" s="32" t="n">
        <f>1696096</f>
        <v>1696096.0</v>
      </c>
      <c r="V72" s="32" t="n">
        <f>11604984181</f>
        <v>1.1604984181E10</v>
      </c>
      <c r="W72" s="32" t="n">
        <f>3369059330</f>
        <v>3.36905933E9</v>
      </c>
      <c r="X72" s="36" t="n">
        <f>18</f>
        <v>18.0</v>
      </c>
    </row>
    <row r="73">
      <c r="A73" s="27" t="s">
        <v>42</v>
      </c>
      <c r="B73" s="27" t="s">
        <v>258</v>
      </c>
      <c r="C73" s="27" t="s">
        <v>259</v>
      </c>
      <c r="D73" s="27" t="s">
        <v>260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1837</f>
        <v>1837.0</v>
      </c>
      <c r="L73" s="34" t="s">
        <v>48</v>
      </c>
      <c r="M73" s="33" t="n">
        <f>1975</f>
        <v>1975.0</v>
      </c>
      <c r="N73" s="34" t="s">
        <v>175</v>
      </c>
      <c r="O73" s="33" t="n">
        <f>1803</f>
        <v>1803.0</v>
      </c>
      <c r="P73" s="34" t="s">
        <v>50</v>
      </c>
      <c r="Q73" s="33" t="n">
        <f>1807</f>
        <v>1807.0</v>
      </c>
      <c r="R73" s="34" t="s">
        <v>50</v>
      </c>
      <c r="S73" s="35" t="n">
        <f>1867.22</f>
        <v>1867.22</v>
      </c>
      <c r="T73" s="32" t="n">
        <f>17152</f>
        <v>17152.0</v>
      </c>
      <c r="U73" s="32" t="n">
        <f>2202</f>
        <v>2202.0</v>
      </c>
      <c r="V73" s="32" t="n">
        <f>31799555</f>
        <v>3.1799555E7</v>
      </c>
      <c r="W73" s="32" t="n">
        <f>3970492</f>
        <v>3970492.0</v>
      </c>
      <c r="X73" s="36" t="n">
        <f>18</f>
        <v>18.0</v>
      </c>
    </row>
    <row r="74">
      <c r="A74" s="27" t="s">
        <v>42</v>
      </c>
      <c r="B74" s="27" t="s">
        <v>261</v>
      </c>
      <c r="C74" s="27" t="s">
        <v>262</v>
      </c>
      <c r="D74" s="27" t="s">
        <v>263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1993</f>
        <v>1993.0</v>
      </c>
      <c r="L74" s="34" t="s">
        <v>48</v>
      </c>
      <c r="M74" s="33" t="n">
        <f>2118</f>
        <v>2118.0</v>
      </c>
      <c r="N74" s="34" t="s">
        <v>49</v>
      </c>
      <c r="O74" s="33" t="n">
        <f>1973</f>
        <v>1973.0</v>
      </c>
      <c r="P74" s="34" t="s">
        <v>48</v>
      </c>
      <c r="Q74" s="33" t="n">
        <f>2065</f>
        <v>2065.0</v>
      </c>
      <c r="R74" s="34" t="s">
        <v>50</v>
      </c>
      <c r="S74" s="35" t="n">
        <f>2064</f>
        <v>2064.0</v>
      </c>
      <c r="T74" s="32" t="n">
        <f>139779</f>
        <v>139779.0</v>
      </c>
      <c r="U74" s="32" t="str">
        <f>"－"</f>
        <v>－</v>
      </c>
      <c r="V74" s="32" t="n">
        <f>287732649</f>
        <v>2.87732649E8</v>
      </c>
      <c r="W74" s="32" t="str">
        <f>"－"</f>
        <v>－</v>
      </c>
      <c r="X74" s="36" t="n">
        <f>18</f>
        <v>18.0</v>
      </c>
    </row>
    <row r="75">
      <c r="A75" s="27" t="s">
        <v>42</v>
      </c>
      <c r="B75" s="27" t="s">
        <v>264</v>
      </c>
      <c r="C75" s="27" t="s">
        <v>265</v>
      </c>
      <c r="D75" s="27" t="s">
        <v>266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22370</f>
        <v>22370.0</v>
      </c>
      <c r="L75" s="34" t="s">
        <v>98</v>
      </c>
      <c r="M75" s="33" t="n">
        <f>23890</f>
        <v>23890.0</v>
      </c>
      <c r="N75" s="34" t="s">
        <v>49</v>
      </c>
      <c r="O75" s="33" t="n">
        <f>22370</f>
        <v>22370.0</v>
      </c>
      <c r="P75" s="34" t="s">
        <v>98</v>
      </c>
      <c r="Q75" s="33" t="n">
        <f>22540</f>
        <v>22540.0</v>
      </c>
      <c r="R75" s="34" t="s">
        <v>50</v>
      </c>
      <c r="S75" s="35" t="n">
        <f>23222</f>
        <v>23222.0</v>
      </c>
      <c r="T75" s="32" t="n">
        <f>80</f>
        <v>80.0</v>
      </c>
      <c r="U75" s="32" t="str">
        <f>"－"</f>
        <v>－</v>
      </c>
      <c r="V75" s="32" t="n">
        <f>1860470</f>
        <v>1860470.0</v>
      </c>
      <c r="W75" s="32" t="str">
        <f>"－"</f>
        <v>－</v>
      </c>
      <c r="X75" s="36" t="n">
        <f>10</f>
        <v>10.0</v>
      </c>
    </row>
    <row r="76">
      <c r="A76" s="27" t="s">
        <v>42</v>
      </c>
      <c r="B76" s="27" t="s">
        <v>267</v>
      </c>
      <c r="C76" s="27" t="s">
        <v>268</v>
      </c>
      <c r="D76" s="27" t="s">
        <v>269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18750</f>
        <v>18750.0</v>
      </c>
      <c r="L76" s="34" t="s">
        <v>98</v>
      </c>
      <c r="M76" s="33" t="n">
        <f>19900</f>
        <v>19900.0</v>
      </c>
      <c r="N76" s="34" t="s">
        <v>49</v>
      </c>
      <c r="O76" s="33" t="n">
        <f>18680</f>
        <v>18680.0</v>
      </c>
      <c r="P76" s="34" t="s">
        <v>98</v>
      </c>
      <c r="Q76" s="33" t="n">
        <f>18720</f>
        <v>18720.0</v>
      </c>
      <c r="R76" s="34" t="s">
        <v>50</v>
      </c>
      <c r="S76" s="35" t="n">
        <f>19295.71</f>
        <v>19295.71</v>
      </c>
      <c r="T76" s="32" t="n">
        <f>673</f>
        <v>673.0</v>
      </c>
      <c r="U76" s="32" t="str">
        <f>"－"</f>
        <v>－</v>
      </c>
      <c r="V76" s="32" t="n">
        <f>12827310</f>
        <v>1.282731E7</v>
      </c>
      <c r="W76" s="32" t="str">
        <f>"－"</f>
        <v>－</v>
      </c>
      <c r="X76" s="36" t="n">
        <f>14</f>
        <v>14.0</v>
      </c>
    </row>
    <row r="77">
      <c r="A77" s="27" t="s">
        <v>42</v>
      </c>
      <c r="B77" s="27" t="s">
        <v>270</v>
      </c>
      <c r="C77" s="27" t="s">
        <v>271</v>
      </c>
      <c r="D77" s="27" t="s">
        <v>272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1811</f>
        <v>1811.0</v>
      </c>
      <c r="L77" s="34" t="s">
        <v>48</v>
      </c>
      <c r="M77" s="33" t="n">
        <f>1943</f>
        <v>1943.0</v>
      </c>
      <c r="N77" s="34" t="s">
        <v>94</v>
      </c>
      <c r="O77" s="33" t="n">
        <f>1811</f>
        <v>1811.0</v>
      </c>
      <c r="P77" s="34" t="s">
        <v>48</v>
      </c>
      <c r="Q77" s="33" t="n">
        <f>1825</f>
        <v>1825.0</v>
      </c>
      <c r="R77" s="34" t="s">
        <v>50</v>
      </c>
      <c r="S77" s="35" t="n">
        <f>1871.76</f>
        <v>1871.76</v>
      </c>
      <c r="T77" s="32" t="n">
        <f>11283</f>
        <v>11283.0</v>
      </c>
      <c r="U77" s="32" t="str">
        <f>"－"</f>
        <v>－</v>
      </c>
      <c r="V77" s="32" t="n">
        <f>21242597</f>
        <v>2.1242597E7</v>
      </c>
      <c r="W77" s="32" t="str">
        <f>"－"</f>
        <v>－</v>
      </c>
      <c r="X77" s="36" t="n">
        <f>17</f>
        <v>17.0</v>
      </c>
    </row>
    <row r="78">
      <c r="A78" s="27" t="s">
        <v>42</v>
      </c>
      <c r="B78" s="27" t="s">
        <v>273</v>
      </c>
      <c r="C78" s="27" t="s">
        <v>274</v>
      </c>
      <c r="D78" s="27" t="s">
        <v>275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2434</f>
        <v>2434.0</v>
      </c>
      <c r="L78" s="34" t="s">
        <v>48</v>
      </c>
      <c r="M78" s="33" t="n">
        <f>2434</f>
        <v>2434.0</v>
      </c>
      <c r="N78" s="34" t="s">
        <v>48</v>
      </c>
      <c r="O78" s="33" t="n">
        <f>2344</f>
        <v>2344.0</v>
      </c>
      <c r="P78" s="34" t="s">
        <v>50</v>
      </c>
      <c r="Q78" s="33" t="n">
        <f>2357</f>
        <v>2357.0</v>
      </c>
      <c r="R78" s="34" t="s">
        <v>50</v>
      </c>
      <c r="S78" s="35" t="n">
        <f>2406.44</f>
        <v>2406.44</v>
      </c>
      <c r="T78" s="32" t="n">
        <f>2352381</f>
        <v>2352381.0</v>
      </c>
      <c r="U78" s="32" t="n">
        <f>953000</f>
        <v>953000.0</v>
      </c>
      <c r="V78" s="32" t="n">
        <f>5607757529</f>
        <v>5.607757529E9</v>
      </c>
      <c r="W78" s="32" t="n">
        <f>2255160500</f>
        <v>2.2551605E9</v>
      </c>
      <c r="X78" s="36" t="n">
        <f>18</f>
        <v>18.0</v>
      </c>
    </row>
    <row r="79">
      <c r="A79" s="27" t="s">
        <v>42</v>
      </c>
      <c r="B79" s="27" t="s">
        <v>276</v>
      </c>
      <c r="C79" s="27" t="s">
        <v>277</v>
      </c>
      <c r="D79" s="27" t="s">
        <v>278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1798</f>
        <v>1798.0</v>
      </c>
      <c r="L79" s="34" t="s">
        <v>48</v>
      </c>
      <c r="M79" s="33" t="n">
        <f>1919</f>
        <v>1919.0</v>
      </c>
      <c r="N79" s="34" t="s">
        <v>70</v>
      </c>
      <c r="O79" s="33" t="n">
        <f>1770</f>
        <v>1770.0</v>
      </c>
      <c r="P79" s="34" t="s">
        <v>98</v>
      </c>
      <c r="Q79" s="33" t="n">
        <f>1801</f>
        <v>1801.0</v>
      </c>
      <c r="R79" s="34" t="s">
        <v>50</v>
      </c>
      <c r="S79" s="35" t="n">
        <f>1850.56</f>
        <v>1850.56</v>
      </c>
      <c r="T79" s="32" t="n">
        <f>2908</f>
        <v>2908.0</v>
      </c>
      <c r="U79" s="32" t="str">
        <f>"－"</f>
        <v>－</v>
      </c>
      <c r="V79" s="32" t="n">
        <f>5450960</f>
        <v>5450960.0</v>
      </c>
      <c r="W79" s="32" t="str">
        <f>"－"</f>
        <v>－</v>
      </c>
      <c r="X79" s="36" t="n">
        <f>18</f>
        <v>18.0</v>
      </c>
    </row>
    <row r="80">
      <c r="A80" s="27" t="s">
        <v>42</v>
      </c>
      <c r="B80" s="27" t="s">
        <v>279</v>
      </c>
      <c r="C80" s="27" t="s">
        <v>280</v>
      </c>
      <c r="D80" s="27" t="s">
        <v>281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1790</f>
        <v>1790.0</v>
      </c>
      <c r="L80" s="34" t="s">
        <v>48</v>
      </c>
      <c r="M80" s="33" t="n">
        <f>1912</f>
        <v>1912.0</v>
      </c>
      <c r="N80" s="34" t="s">
        <v>49</v>
      </c>
      <c r="O80" s="33" t="n">
        <f>1790</f>
        <v>1790.0</v>
      </c>
      <c r="P80" s="34" t="s">
        <v>48</v>
      </c>
      <c r="Q80" s="33" t="n">
        <f>1801</f>
        <v>1801.0</v>
      </c>
      <c r="R80" s="34" t="s">
        <v>50</v>
      </c>
      <c r="S80" s="35" t="n">
        <f>1851.44</f>
        <v>1851.44</v>
      </c>
      <c r="T80" s="32" t="n">
        <f>40490</f>
        <v>40490.0</v>
      </c>
      <c r="U80" s="32" t="n">
        <f>32000</f>
        <v>32000.0</v>
      </c>
      <c r="V80" s="32" t="n">
        <f>75465781</f>
        <v>7.5465781E7</v>
      </c>
      <c r="W80" s="32" t="n">
        <f>59818291</f>
        <v>5.9818291E7</v>
      </c>
      <c r="X80" s="36" t="n">
        <f>18</f>
        <v>18.0</v>
      </c>
    </row>
    <row r="81">
      <c r="A81" s="27" t="s">
        <v>42</v>
      </c>
      <c r="B81" s="27" t="s">
        <v>282</v>
      </c>
      <c r="C81" s="27" t="s">
        <v>283</v>
      </c>
      <c r="D81" s="27" t="s">
        <v>284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29600</f>
        <v>29600.0</v>
      </c>
      <c r="L81" s="34" t="s">
        <v>48</v>
      </c>
      <c r="M81" s="33" t="n">
        <f>31200</f>
        <v>31200.0</v>
      </c>
      <c r="N81" s="34" t="s">
        <v>74</v>
      </c>
      <c r="O81" s="33" t="n">
        <f>29530</f>
        <v>29530.0</v>
      </c>
      <c r="P81" s="34" t="s">
        <v>48</v>
      </c>
      <c r="Q81" s="33" t="n">
        <f>30000</f>
        <v>30000.0</v>
      </c>
      <c r="R81" s="34" t="s">
        <v>50</v>
      </c>
      <c r="S81" s="35" t="n">
        <f>30252.14</f>
        <v>30252.14</v>
      </c>
      <c r="T81" s="32" t="n">
        <f>45</f>
        <v>45.0</v>
      </c>
      <c r="U81" s="32" t="str">
        <f>"－"</f>
        <v>－</v>
      </c>
      <c r="V81" s="32" t="n">
        <f>1357030</f>
        <v>1357030.0</v>
      </c>
      <c r="W81" s="32" t="str">
        <f>"－"</f>
        <v>－</v>
      </c>
      <c r="X81" s="36" t="n">
        <f>14</f>
        <v>14.0</v>
      </c>
    </row>
    <row r="82">
      <c r="A82" s="27" t="s">
        <v>42</v>
      </c>
      <c r="B82" s="27" t="s">
        <v>285</v>
      </c>
      <c r="C82" s="27" t="s">
        <v>286</v>
      </c>
      <c r="D82" s="27" t="s">
        <v>287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21000</f>
        <v>21000.0</v>
      </c>
      <c r="L82" s="34" t="s">
        <v>48</v>
      </c>
      <c r="M82" s="33" t="n">
        <f>21110</f>
        <v>21110.0</v>
      </c>
      <c r="N82" s="34" t="s">
        <v>119</v>
      </c>
      <c r="O82" s="33" t="n">
        <f>20600</f>
        <v>20600.0</v>
      </c>
      <c r="P82" s="34" t="s">
        <v>50</v>
      </c>
      <c r="Q82" s="33" t="n">
        <f>20640</f>
        <v>20640.0</v>
      </c>
      <c r="R82" s="34" t="s">
        <v>50</v>
      </c>
      <c r="S82" s="35" t="n">
        <f>20912.78</f>
        <v>20912.78</v>
      </c>
      <c r="T82" s="32" t="n">
        <f>53432</f>
        <v>53432.0</v>
      </c>
      <c r="U82" s="32" t="n">
        <f>34000</f>
        <v>34000.0</v>
      </c>
      <c r="V82" s="32" t="n">
        <f>1117264200</f>
        <v>1.1172642E9</v>
      </c>
      <c r="W82" s="32" t="n">
        <f>712264450</f>
        <v>7.1226445E8</v>
      </c>
      <c r="X82" s="36" t="n">
        <f>18</f>
        <v>18.0</v>
      </c>
    </row>
    <row r="83">
      <c r="A83" s="27" t="s">
        <v>42</v>
      </c>
      <c r="B83" s="27" t="s">
        <v>288</v>
      </c>
      <c r="C83" s="27" t="s">
        <v>289</v>
      </c>
      <c r="D83" s="27" t="s">
        <v>290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19000</f>
        <v>19000.0</v>
      </c>
      <c r="L83" s="34" t="s">
        <v>48</v>
      </c>
      <c r="M83" s="33" t="n">
        <f>19000</f>
        <v>19000.0</v>
      </c>
      <c r="N83" s="34" t="s">
        <v>48</v>
      </c>
      <c r="O83" s="33" t="n">
        <f>18340</f>
        <v>18340.0</v>
      </c>
      <c r="P83" s="34" t="s">
        <v>50</v>
      </c>
      <c r="Q83" s="33" t="n">
        <f>18400</f>
        <v>18400.0</v>
      </c>
      <c r="R83" s="34" t="s">
        <v>50</v>
      </c>
      <c r="S83" s="35" t="n">
        <f>18788.24</f>
        <v>18788.24</v>
      </c>
      <c r="T83" s="32" t="n">
        <f>196238</f>
        <v>196238.0</v>
      </c>
      <c r="U83" s="32" t="n">
        <f>83000</f>
        <v>83000.0</v>
      </c>
      <c r="V83" s="32" t="n">
        <f>3676764335</f>
        <v>3.676764335E9</v>
      </c>
      <c r="W83" s="32" t="n">
        <f>1551606985</f>
        <v>1.551606985E9</v>
      </c>
      <c r="X83" s="36" t="n">
        <f>17</f>
        <v>17.0</v>
      </c>
    </row>
    <row r="84">
      <c r="A84" s="27" t="s">
        <v>42</v>
      </c>
      <c r="B84" s="27" t="s">
        <v>291</v>
      </c>
      <c r="C84" s="27" t="s">
        <v>292</v>
      </c>
      <c r="D84" s="27" t="s">
        <v>293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1903</f>
        <v>1903.0</v>
      </c>
      <c r="L84" s="34" t="s">
        <v>48</v>
      </c>
      <c r="M84" s="33" t="n">
        <f>2109</f>
        <v>2109.0</v>
      </c>
      <c r="N84" s="34" t="s">
        <v>175</v>
      </c>
      <c r="O84" s="33" t="n">
        <f>1876</f>
        <v>1876.0</v>
      </c>
      <c r="P84" s="34" t="s">
        <v>115</v>
      </c>
      <c r="Q84" s="33" t="n">
        <f>2012</f>
        <v>2012.0</v>
      </c>
      <c r="R84" s="34" t="s">
        <v>50</v>
      </c>
      <c r="S84" s="35" t="n">
        <f>1970.94</f>
        <v>1970.94</v>
      </c>
      <c r="T84" s="32" t="n">
        <f>1475360</f>
        <v>1475360.0</v>
      </c>
      <c r="U84" s="32" t="n">
        <f>350000</f>
        <v>350000.0</v>
      </c>
      <c r="V84" s="32" t="n">
        <f>2953946000</f>
        <v>2.953946E9</v>
      </c>
      <c r="W84" s="32" t="n">
        <f>714822600</f>
        <v>7.148226E8</v>
      </c>
      <c r="X84" s="36" t="n">
        <f>18</f>
        <v>18.0</v>
      </c>
    </row>
    <row r="85">
      <c r="A85" s="27" t="s">
        <v>42</v>
      </c>
      <c r="B85" s="27" t="s">
        <v>294</v>
      </c>
      <c r="C85" s="27" t="s">
        <v>295</v>
      </c>
      <c r="D85" s="27" t="s">
        <v>296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31000</f>
        <v>31000.0</v>
      </c>
      <c r="L85" s="34" t="s">
        <v>48</v>
      </c>
      <c r="M85" s="33" t="n">
        <f>34200</f>
        <v>34200.0</v>
      </c>
      <c r="N85" s="34" t="s">
        <v>60</v>
      </c>
      <c r="O85" s="33" t="n">
        <f>31000</f>
        <v>31000.0</v>
      </c>
      <c r="P85" s="34" t="s">
        <v>48</v>
      </c>
      <c r="Q85" s="33" t="n">
        <f>33100</f>
        <v>33100.0</v>
      </c>
      <c r="R85" s="34" t="s">
        <v>50</v>
      </c>
      <c r="S85" s="35" t="n">
        <f>32947.22</f>
        <v>32947.22</v>
      </c>
      <c r="T85" s="32" t="n">
        <f>24009</f>
        <v>24009.0</v>
      </c>
      <c r="U85" s="32" t="str">
        <f>"－"</f>
        <v>－</v>
      </c>
      <c r="V85" s="32" t="n">
        <f>797364200</f>
        <v>7.973642E8</v>
      </c>
      <c r="W85" s="32" t="str">
        <f>"－"</f>
        <v>－</v>
      </c>
      <c r="X85" s="36" t="n">
        <f>18</f>
        <v>18.0</v>
      </c>
    </row>
    <row r="86">
      <c r="A86" s="27" t="s">
        <v>42</v>
      </c>
      <c r="B86" s="27" t="s">
        <v>297</v>
      </c>
      <c r="C86" s="27" t="s">
        <v>298</v>
      </c>
      <c r="D86" s="27" t="s">
        <v>299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7730</f>
        <v>7730.0</v>
      </c>
      <c r="L86" s="34" t="s">
        <v>93</v>
      </c>
      <c r="M86" s="33" t="n">
        <f>7730</f>
        <v>7730.0</v>
      </c>
      <c r="N86" s="34" t="s">
        <v>93</v>
      </c>
      <c r="O86" s="33" t="n">
        <f>7610</f>
        <v>7610.0</v>
      </c>
      <c r="P86" s="34" t="s">
        <v>49</v>
      </c>
      <c r="Q86" s="33" t="n">
        <f>7660</f>
        <v>7660.0</v>
      </c>
      <c r="R86" s="34" t="s">
        <v>99</v>
      </c>
      <c r="S86" s="35" t="n">
        <f>7692</f>
        <v>7692.0</v>
      </c>
      <c r="T86" s="32" t="n">
        <f>160</f>
        <v>160.0</v>
      </c>
      <c r="U86" s="32" t="str">
        <f>"－"</f>
        <v>－</v>
      </c>
      <c r="V86" s="32" t="n">
        <f>1229200</f>
        <v>1229200.0</v>
      </c>
      <c r="W86" s="32" t="str">
        <f>"－"</f>
        <v>－</v>
      </c>
      <c r="X86" s="36" t="n">
        <f>5</f>
        <v>5.0</v>
      </c>
    </row>
    <row r="87">
      <c r="A87" s="27" t="s">
        <v>42</v>
      </c>
      <c r="B87" s="27" t="s">
        <v>300</v>
      </c>
      <c r="C87" s="27" t="s">
        <v>301</v>
      </c>
      <c r="D87" s="27" t="s">
        <v>302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14900</f>
        <v>14900.0</v>
      </c>
      <c r="L87" s="34" t="s">
        <v>48</v>
      </c>
      <c r="M87" s="33" t="n">
        <f>15810</f>
        <v>15810.0</v>
      </c>
      <c r="N87" s="34" t="s">
        <v>303</v>
      </c>
      <c r="O87" s="33" t="n">
        <f>14900</f>
        <v>14900.0</v>
      </c>
      <c r="P87" s="34" t="s">
        <v>48</v>
      </c>
      <c r="Q87" s="33" t="n">
        <f>15310</f>
        <v>15310.0</v>
      </c>
      <c r="R87" s="34" t="s">
        <v>50</v>
      </c>
      <c r="S87" s="35" t="n">
        <f>15520</f>
        <v>15520.0</v>
      </c>
      <c r="T87" s="32" t="n">
        <f>971</f>
        <v>971.0</v>
      </c>
      <c r="U87" s="32" t="n">
        <f>3</f>
        <v>3.0</v>
      </c>
      <c r="V87" s="32" t="n">
        <f>15037730</f>
        <v>1.503773E7</v>
      </c>
      <c r="W87" s="32" t="n">
        <f>46290</f>
        <v>46290.0</v>
      </c>
      <c r="X87" s="36" t="n">
        <f>17</f>
        <v>17.0</v>
      </c>
    </row>
    <row r="88">
      <c r="A88" s="27" t="s">
        <v>42</v>
      </c>
      <c r="B88" s="27" t="s">
        <v>304</v>
      </c>
      <c r="C88" s="27" t="s">
        <v>305</v>
      </c>
      <c r="D88" s="27" t="s">
        <v>306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15050</f>
        <v>15050.0</v>
      </c>
      <c r="L88" s="34" t="s">
        <v>48</v>
      </c>
      <c r="M88" s="33" t="n">
        <f>15890</f>
        <v>15890.0</v>
      </c>
      <c r="N88" s="34" t="s">
        <v>49</v>
      </c>
      <c r="O88" s="33" t="n">
        <f>15050</f>
        <v>15050.0</v>
      </c>
      <c r="P88" s="34" t="s">
        <v>48</v>
      </c>
      <c r="Q88" s="33" t="n">
        <f>15230</f>
        <v>15230.0</v>
      </c>
      <c r="R88" s="34" t="s">
        <v>50</v>
      </c>
      <c r="S88" s="35" t="n">
        <f>15616.67</f>
        <v>15616.67</v>
      </c>
      <c r="T88" s="32" t="n">
        <f>995</f>
        <v>995.0</v>
      </c>
      <c r="U88" s="32" t="str">
        <f>"－"</f>
        <v>－</v>
      </c>
      <c r="V88" s="32" t="n">
        <f>15561160</f>
        <v>1.556116E7</v>
      </c>
      <c r="W88" s="32" t="str">
        <f>"－"</f>
        <v>－</v>
      </c>
      <c r="X88" s="36" t="n">
        <f>18</f>
        <v>18.0</v>
      </c>
    </row>
    <row r="89">
      <c r="A89" s="27" t="s">
        <v>42</v>
      </c>
      <c r="B89" s="27" t="s">
        <v>307</v>
      </c>
      <c r="C89" s="27" t="s">
        <v>308</v>
      </c>
      <c r="D89" s="27" t="s">
        <v>309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18000</f>
        <v>18000.0</v>
      </c>
      <c r="L89" s="34" t="s">
        <v>48</v>
      </c>
      <c r="M89" s="33" t="n">
        <f>19320</f>
        <v>19320.0</v>
      </c>
      <c r="N89" s="34" t="s">
        <v>70</v>
      </c>
      <c r="O89" s="33" t="n">
        <f>17800</f>
        <v>17800.0</v>
      </c>
      <c r="P89" s="34" t="s">
        <v>48</v>
      </c>
      <c r="Q89" s="33" t="n">
        <f>18680</f>
        <v>18680.0</v>
      </c>
      <c r="R89" s="34" t="s">
        <v>50</v>
      </c>
      <c r="S89" s="35" t="n">
        <f>18712.78</f>
        <v>18712.78</v>
      </c>
      <c r="T89" s="32" t="n">
        <f>3327</f>
        <v>3327.0</v>
      </c>
      <c r="U89" s="32" t="str">
        <f>"－"</f>
        <v>－</v>
      </c>
      <c r="V89" s="32" t="n">
        <f>63126060</f>
        <v>6.312606E7</v>
      </c>
      <c r="W89" s="32" t="str">
        <f>"－"</f>
        <v>－</v>
      </c>
      <c r="X89" s="36" t="n">
        <f>18</f>
        <v>18.0</v>
      </c>
    </row>
    <row r="90">
      <c r="A90" s="27" t="s">
        <v>42</v>
      </c>
      <c r="B90" s="27" t="s">
        <v>310</v>
      </c>
      <c r="C90" s="27" t="s">
        <v>311</v>
      </c>
      <c r="D90" s="27" t="s">
        <v>312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10250</f>
        <v>10250.0</v>
      </c>
      <c r="L90" s="34" t="s">
        <v>48</v>
      </c>
      <c r="M90" s="33" t="n">
        <f>10250</f>
        <v>10250.0</v>
      </c>
      <c r="N90" s="34" t="s">
        <v>48</v>
      </c>
      <c r="O90" s="33" t="n">
        <f>9840</f>
        <v>9840.0</v>
      </c>
      <c r="P90" s="34" t="s">
        <v>50</v>
      </c>
      <c r="Q90" s="33" t="n">
        <f>9910</f>
        <v>9910.0</v>
      </c>
      <c r="R90" s="34" t="s">
        <v>50</v>
      </c>
      <c r="S90" s="35" t="n">
        <f>10008.89</f>
        <v>10008.89</v>
      </c>
      <c r="T90" s="32" t="n">
        <f>33340</f>
        <v>33340.0</v>
      </c>
      <c r="U90" s="32" t="n">
        <f>20</f>
        <v>20.0</v>
      </c>
      <c r="V90" s="32" t="n">
        <f>332821400</f>
        <v>3.328214E8</v>
      </c>
      <c r="W90" s="32" t="n">
        <f>198400</f>
        <v>198400.0</v>
      </c>
      <c r="X90" s="36" t="n">
        <f>18</f>
        <v>18.0</v>
      </c>
    </row>
    <row r="91">
      <c r="A91" s="27" t="s">
        <v>42</v>
      </c>
      <c r="B91" s="27" t="s">
        <v>313</v>
      </c>
      <c r="C91" s="27" t="s">
        <v>314</v>
      </c>
      <c r="D91" s="27" t="s">
        <v>315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2633</f>
        <v>2633.0</v>
      </c>
      <c r="L91" s="34" t="s">
        <v>48</v>
      </c>
      <c r="M91" s="33" t="n">
        <f>2637</f>
        <v>2637.0</v>
      </c>
      <c r="N91" s="34" t="s">
        <v>98</v>
      </c>
      <c r="O91" s="33" t="n">
        <f>2528</f>
        <v>2528.0</v>
      </c>
      <c r="P91" s="34" t="s">
        <v>50</v>
      </c>
      <c r="Q91" s="33" t="n">
        <f>2543</f>
        <v>2543.0</v>
      </c>
      <c r="R91" s="34" t="s">
        <v>50</v>
      </c>
      <c r="S91" s="35" t="n">
        <f>2608.33</f>
        <v>2608.33</v>
      </c>
      <c r="T91" s="32" t="n">
        <f>204664</f>
        <v>204664.0</v>
      </c>
      <c r="U91" s="32" t="n">
        <f>100965</f>
        <v>100965.0</v>
      </c>
      <c r="V91" s="32" t="n">
        <f>536216992</f>
        <v>5.36216992E8</v>
      </c>
      <c r="W91" s="32" t="n">
        <f>265638969</f>
        <v>2.65638969E8</v>
      </c>
      <c r="X91" s="36" t="n">
        <f>18</f>
        <v>18.0</v>
      </c>
    </row>
    <row r="92">
      <c r="A92" s="27" t="s">
        <v>42</v>
      </c>
      <c r="B92" s="27" t="s">
        <v>316</v>
      </c>
      <c r="C92" s="27" t="s">
        <v>317</v>
      </c>
      <c r="D92" s="27" t="s">
        <v>318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2346</f>
        <v>2346.0</v>
      </c>
      <c r="L92" s="34" t="s">
        <v>48</v>
      </c>
      <c r="M92" s="33" t="n">
        <f>2381</f>
        <v>2381.0</v>
      </c>
      <c r="N92" s="34" t="s">
        <v>49</v>
      </c>
      <c r="O92" s="33" t="n">
        <f>2340</f>
        <v>2340.0</v>
      </c>
      <c r="P92" s="34" t="s">
        <v>50</v>
      </c>
      <c r="Q92" s="33" t="n">
        <f>2347</f>
        <v>2347.0</v>
      </c>
      <c r="R92" s="34" t="s">
        <v>50</v>
      </c>
      <c r="S92" s="35" t="n">
        <f>2367.83</f>
        <v>2367.83</v>
      </c>
      <c r="T92" s="32" t="n">
        <f>134562</f>
        <v>134562.0</v>
      </c>
      <c r="U92" s="32" t="str">
        <f>"－"</f>
        <v>－</v>
      </c>
      <c r="V92" s="32" t="n">
        <f>318433358</f>
        <v>3.18433358E8</v>
      </c>
      <c r="W92" s="32" t="str">
        <f>"－"</f>
        <v>－</v>
      </c>
      <c r="X92" s="36" t="n">
        <f>18</f>
        <v>18.0</v>
      </c>
    </row>
    <row r="93">
      <c r="A93" s="27" t="s">
        <v>42</v>
      </c>
      <c r="B93" s="27" t="s">
        <v>319</v>
      </c>
      <c r="C93" s="27" t="s">
        <v>320</v>
      </c>
      <c r="D93" s="27" t="s">
        <v>321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13330</f>
        <v>13330.0</v>
      </c>
      <c r="L93" s="34" t="s">
        <v>48</v>
      </c>
      <c r="M93" s="33" t="n">
        <f>14900</f>
        <v>14900.0</v>
      </c>
      <c r="N93" s="34" t="s">
        <v>94</v>
      </c>
      <c r="O93" s="33" t="n">
        <f>13330</f>
        <v>13330.0</v>
      </c>
      <c r="P93" s="34" t="s">
        <v>48</v>
      </c>
      <c r="Q93" s="33" t="n">
        <f>14070</f>
        <v>14070.0</v>
      </c>
      <c r="R93" s="34" t="s">
        <v>50</v>
      </c>
      <c r="S93" s="35" t="n">
        <f>14296.67</f>
        <v>14296.67</v>
      </c>
      <c r="T93" s="32" t="n">
        <f>24443</f>
        <v>24443.0</v>
      </c>
      <c r="U93" s="32" t="n">
        <f>3000</f>
        <v>3000.0</v>
      </c>
      <c r="V93" s="32" t="n">
        <f>351791640</f>
        <v>3.5179164E8</v>
      </c>
      <c r="W93" s="32" t="n">
        <f>43401990</f>
        <v>4.340199E7</v>
      </c>
      <c r="X93" s="36" t="n">
        <f>18</f>
        <v>18.0</v>
      </c>
    </row>
    <row r="94">
      <c r="A94" s="27" t="s">
        <v>42</v>
      </c>
      <c r="B94" s="27" t="s">
        <v>322</v>
      </c>
      <c r="C94" s="27" t="s">
        <v>323</v>
      </c>
      <c r="D94" s="27" t="s">
        <v>324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7980</f>
        <v>7980.0</v>
      </c>
      <c r="L94" s="34" t="s">
        <v>48</v>
      </c>
      <c r="M94" s="33" t="n">
        <f>8500</f>
        <v>8500.0</v>
      </c>
      <c r="N94" s="34" t="s">
        <v>119</v>
      </c>
      <c r="O94" s="33" t="n">
        <f>7610</f>
        <v>7610.0</v>
      </c>
      <c r="P94" s="34" t="s">
        <v>175</v>
      </c>
      <c r="Q94" s="33" t="n">
        <f>7900</f>
        <v>7900.0</v>
      </c>
      <c r="R94" s="34" t="s">
        <v>50</v>
      </c>
      <c r="S94" s="35" t="n">
        <f>7907.78</f>
        <v>7907.78</v>
      </c>
      <c r="T94" s="32" t="n">
        <f>6006</f>
        <v>6006.0</v>
      </c>
      <c r="U94" s="32" t="n">
        <f>1</f>
        <v>1.0</v>
      </c>
      <c r="V94" s="32" t="n">
        <f>47729510</f>
        <v>4.772951E7</v>
      </c>
      <c r="W94" s="32" t="n">
        <f>7900</f>
        <v>7900.0</v>
      </c>
      <c r="X94" s="36" t="n">
        <f>18</f>
        <v>18.0</v>
      </c>
    </row>
    <row r="95">
      <c r="A95" s="27" t="s">
        <v>42</v>
      </c>
      <c r="B95" s="27" t="s">
        <v>325</v>
      </c>
      <c r="C95" s="27" t="s">
        <v>326</v>
      </c>
      <c r="D95" s="27" t="s">
        <v>327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6030</f>
        <v>6030.0</v>
      </c>
      <c r="L95" s="34" t="s">
        <v>48</v>
      </c>
      <c r="M95" s="33" t="n">
        <f>6050</f>
        <v>6050.0</v>
      </c>
      <c r="N95" s="34" t="s">
        <v>98</v>
      </c>
      <c r="O95" s="33" t="n">
        <f>5760</f>
        <v>5760.0</v>
      </c>
      <c r="P95" s="34" t="s">
        <v>99</v>
      </c>
      <c r="Q95" s="33" t="n">
        <f>5770</f>
        <v>5770.0</v>
      </c>
      <c r="R95" s="34" t="s">
        <v>50</v>
      </c>
      <c r="S95" s="35" t="n">
        <f>5915</f>
        <v>5915.0</v>
      </c>
      <c r="T95" s="32" t="n">
        <f>3475100</f>
        <v>3475100.0</v>
      </c>
      <c r="U95" s="32" t="n">
        <f>56433</f>
        <v>56433.0</v>
      </c>
      <c r="V95" s="32" t="n">
        <f>20546691351</f>
        <v>2.0546691351E10</v>
      </c>
      <c r="W95" s="32" t="n">
        <f>334309141</f>
        <v>3.34309141E8</v>
      </c>
      <c r="X95" s="36" t="n">
        <f>18</f>
        <v>18.0</v>
      </c>
    </row>
    <row r="96">
      <c r="A96" s="27" t="s">
        <v>42</v>
      </c>
      <c r="B96" s="27" t="s">
        <v>328</v>
      </c>
      <c r="C96" s="27" t="s">
        <v>329</v>
      </c>
      <c r="D96" s="27" t="s">
        <v>330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3385</f>
        <v>3385.0</v>
      </c>
      <c r="L96" s="34" t="s">
        <v>48</v>
      </c>
      <c r="M96" s="33" t="n">
        <f>4260</f>
        <v>4260.0</v>
      </c>
      <c r="N96" s="34" t="s">
        <v>49</v>
      </c>
      <c r="O96" s="33" t="n">
        <f>3380</f>
        <v>3380.0</v>
      </c>
      <c r="P96" s="34" t="s">
        <v>48</v>
      </c>
      <c r="Q96" s="33" t="n">
        <f>3835</f>
        <v>3835.0</v>
      </c>
      <c r="R96" s="34" t="s">
        <v>50</v>
      </c>
      <c r="S96" s="35" t="n">
        <f>3771.67</f>
        <v>3771.67</v>
      </c>
      <c r="T96" s="32" t="n">
        <f>2874696</f>
        <v>2874696.0</v>
      </c>
      <c r="U96" s="32" t="n">
        <f>50</f>
        <v>50.0</v>
      </c>
      <c r="V96" s="32" t="n">
        <f>11071819880</f>
        <v>1.107181988E10</v>
      </c>
      <c r="W96" s="32" t="n">
        <f>198750</f>
        <v>198750.0</v>
      </c>
      <c r="X96" s="36" t="n">
        <f>18</f>
        <v>18.0</v>
      </c>
    </row>
    <row r="97">
      <c r="A97" s="27" t="s">
        <v>42</v>
      </c>
      <c r="B97" s="27" t="s">
        <v>331</v>
      </c>
      <c r="C97" s="27" t="s">
        <v>332</v>
      </c>
      <c r="D97" s="27" t="s">
        <v>333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9200</f>
        <v>9200.0</v>
      </c>
      <c r="L97" s="34" t="s">
        <v>48</v>
      </c>
      <c r="M97" s="33" t="n">
        <f>9310</f>
        <v>9310.0</v>
      </c>
      <c r="N97" s="34" t="s">
        <v>49</v>
      </c>
      <c r="O97" s="33" t="n">
        <f>8390</f>
        <v>8390.0</v>
      </c>
      <c r="P97" s="34" t="s">
        <v>119</v>
      </c>
      <c r="Q97" s="33" t="n">
        <f>8890</f>
        <v>8890.0</v>
      </c>
      <c r="R97" s="34" t="s">
        <v>50</v>
      </c>
      <c r="S97" s="35" t="n">
        <f>8881.67</f>
        <v>8881.67</v>
      </c>
      <c r="T97" s="32" t="n">
        <f>1048167</f>
        <v>1048167.0</v>
      </c>
      <c r="U97" s="32" t="n">
        <f>3467</f>
        <v>3467.0</v>
      </c>
      <c r="V97" s="32" t="n">
        <f>9380720865</f>
        <v>9.380720865E9</v>
      </c>
      <c r="W97" s="32" t="n">
        <f>32151985</f>
        <v>3.2151985E7</v>
      </c>
      <c r="X97" s="36" t="n">
        <f>18</f>
        <v>18.0</v>
      </c>
    </row>
    <row r="98">
      <c r="A98" s="27" t="s">
        <v>42</v>
      </c>
      <c r="B98" s="27" t="s">
        <v>334</v>
      </c>
      <c r="C98" s="27" t="s">
        <v>335</v>
      </c>
      <c r="D98" s="27" t="s">
        <v>336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67800</f>
        <v>67800.0</v>
      </c>
      <c r="L98" s="34" t="s">
        <v>48</v>
      </c>
      <c r="M98" s="33" t="n">
        <f>74600</f>
        <v>74600.0</v>
      </c>
      <c r="N98" s="34" t="s">
        <v>60</v>
      </c>
      <c r="O98" s="33" t="n">
        <f>67300</f>
        <v>67300.0</v>
      </c>
      <c r="P98" s="34" t="s">
        <v>48</v>
      </c>
      <c r="Q98" s="33" t="n">
        <f>71600</f>
        <v>71600.0</v>
      </c>
      <c r="R98" s="34" t="s">
        <v>50</v>
      </c>
      <c r="S98" s="35" t="n">
        <f>70627.78</f>
        <v>70627.78</v>
      </c>
      <c r="T98" s="32" t="n">
        <f>5818</f>
        <v>5818.0</v>
      </c>
      <c r="U98" s="32" t="str">
        <f>"－"</f>
        <v>－</v>
      </c>
      <c r="V98" s="32" t="n">
        <f>417365500</f>
        <v>4.173655E8</v>
      </c>
      <c r="W98" s="32" t="str">
        <f>"－"</f>
        <v>－</v>
      </c>
      <c r="X98" s="36" t="n">
        <f>18</f>
        <v>18.0</v>
      </c>
    </row>
    <row r="99">
      <c r="A99" s="27" t="s">
        <v>42</v>
      </c>
      <c r="B99" s="27" t="s">
        <v>337</v>
      </c>
      <c r="C99" s="27" t="s">
        <v>338</v>
      </c>
      <c r="D99" s="27" t="s">
        <v>339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13560</f>
        <v>13560.0</v>
      </c>
      <c r="L99" s="34" t="s">
        <v>48</v>
      </c>
      <c r="M99" s="33" t="n">
        <f>14860</f>
        <v>14860.0</v>
      </c>
      <c r="N99" s="34" t="s">
        <v>49</v>
      </c>
      <c r="O99" s="33" t="n">
        <f>13550</f>
        <v>13550.0</v>
      </c>
      <c r="P99" s="34" t="s">
        <v>48</v>
      </c>
      <c r="Q99" s="33" t="n">
        <f>13660</f>
        <v>13660.0</v>
      </c>
      <c r="R99" s="34" t="s">
        <v>50</v>
      </c>
      <c r="S99" s="35" t="n">
        <f>14404.44</f>
        <v>14404.44</v>
      </c>
      <c r="T99" s="32" t="n">
        <f>2055432</f>
        <v>2055432.0</v>
      </c>
      <c r="U99" s="32" t="n">
        <f>79051</f>
        <v>79051.0</v>
      </c>
      <c r="V99" s="32" t="n">
        <f>29302344922</f>
        <v>2.9302344922E10</v>
      </c>
      <c r="W99" s="32" t="n">
        <f>1132118842</f>
        <v>1.132118842E9</v>
      </c>
      <c r="X99" s="36" t="n">
        <f>18</f>
        <v>18.0</v>
      </c>
    </row>
    <row r="100">
      <c r="A100" s="27" t="s">
        <v>42</v>
      </c>
      <c r="B100" s="27" t="s">
        <v>340</v>
      </c>
      <c r="C100" s="27" t="s">
        <v>341</v>
      </c>
      <c r="D100" s="27" t="s">
        <v>342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30450</f>
        <v>30450.0</v>
      </c>
      <c r="L100" s="34" t="s">
        <v>48</v>
      </c>
      <c r="M100" s="33" t="n">
        <f>33200</f>
        <v>33200.0</v>
      </c>
      <c r="N100" s="34" t="s">
        <v>175</v>
      </c>
      <c r="O100" s="33" t="n">
        <f>30400</f>
        <v>30400.0</v>
      </c>
      <c r="P100" s="34" t="s">
        <v>48</v>
      </c>
      <c r="Q100" s="33" t="n">
        <f>32350</f>
        <v>32350.0</v>
      </c>
      <c r="R100" s="34" t="s">
        <v>50</v>
      </c>
      <c r="S100" s="35" t="n">
        <f>32116.67</f>
        <v>32116.67</v>
      </c>
      <c r="T100" s="32" t="n">
        <f>295262</f>
        <v>295262.0</v>
      </c>
      <c r="U100" s="32" t="n">
        <f>88042</f>
        <v>88042.0</v>
      </c>
      <c r="V100" s="32" t="n">
        <f>9570048356</f>
        <v>9.570048356E9</v>
      </c>
      <c r="W100" s="32" t="n">
        <f>2873159506</f>
        <v>2.873159506E9</v>
      </c>
      <c r="X100" s="36" t="n">
        <f>18</f>
        <v>18.0</v>
      </c>
    </row>
    <row r="101">
      <c r="A101" s="27" t="s">
        <v>42</v>
      </c>
      <c r="B101" s="27" t="s">
        <v>343</v>
      </c>
      <c r="C101" s="27" t="s">
        <v>344</v>
      </c>
      <c r="D101" s="27" t="s">
        <v>345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4175</f>
        <v>4175.0</v>
      </c>
      <c r="L101" s="34" t="s">
        <v>48</v>
      </c>
      <c r="M101" s="33" t="n">
        <f>4535</f>
        <v>4535.0</v>
      </c>
      <c r="N101" s="34" t="s">
        <v>49</v>
      </c>
      <c r="O101" s="33" t="n">
        <f>4170</f>
        <v>4170.0</v>
      </c>
      <c r="P101" s="34" t="s">
        <v>48</v>
      </c>
      <c r="Q101" s="33" t="n">
        <f>4385</f>
        <v>4385.0</v>
      </c>
      <c r="R101" s="34" t="s">
        <v>50</v>
      </c>
      <c r="S101" s="35" t="n">
        <f>4426.39</f>
        <v>4426.39</v>
      </c>
      <c r="T101" s="32" t="n">
        <f>989740</f>
        <v>989740.0</v>
      </c>
      <c r="U101" s="32" t="n">
        <f>273510</f>
        <v>273510.0</v>
      </c>
      <c r="V101" s="32" t="n">
        <f>4390344172</f>
        <v>4.390344172E9</v>
      </c>
      <c r="W101" s="32" t="n">
        <f>1224973572</f>
        <v>1.224973572E9</v>
      </c>
      <c r="X101" s="36" t="n">
        <f>18</f>
        <v>18.0</v>
      </c>
    </row>
    <row r="102">
      <c r="A102" s="27" t="s">
        <v>42</v>
      </c>
      <c r="B102" s="27" t="s">
        <v>346</v>
      </c>
      <c r="C102" s="27" t="s">
        <v>347</v>
      </c>
      <c r="D102" s="27" t="s">
        <v>348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2801</f>
        <v>2801.0</v>
      </c>
      <c r="L102" s="34" t="s">
        <v>48</v>
      </c>
      <c r="M102" s="33" t="n">
        <f>3045</f>
        <v>3045.0</v>
      </c>
      <c r="N102" s="34" t="s">
        <v>49</v>
      </c>
      <c r="O102" s="33" t="n">
        <f>2800</f>
        <v>2800.0</v>
      </c>
      <c r="P102" s="34" t="s">
        <v>48</v>
      </c>
      <c r="Q102" s="33" t="n">
        <f>2948</f>
        <v>2948.0</v>
      </c>
      <c r="R102" s="34" t="s">
        <v>50</v>
      </c>
      <c r="S102" s="35" t="n">
        <f>2963.06</f>
        <v>2963.06</v>
      </c>
      <c r="T102" s="32" t="n">
        <f>116680</f>
        <v>116680.0</v>
      </c>
      <c r="U102" s="32" t="n">
        <f>16800</f>
        <v>16800.0</v>
      </c>
      <c r="V102" s="32" t="n">
        <f>346226629</f>
        <v>3.46226629E8</v>
      </c>
      <c r="W102" s="32" t="n">
        <f>49977849</f>
        <v>4.9977849E7</v>
      </c>
      <c r="X102" s="36" t="n">
        <f>18</f>
        <v>18.0</v>
      </c>
    </row>
    <row r="103">
      <c r="A103" s="27" t="s">
        <v>42</v>
      </c>
      <c r="B103" s="27" t="s">
        <v>349</v>
      </c>
      <c r="C103" s="27" t="s">
        <v>350</v>
      </c>
      <c r="D103" s="27" t="s">
        <v>351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5010</f>
        <v>5010.0</v>
      </c>
      <c r="L103" s="34" t="s">
        <v>48</v>
      </c>
      <c r="M103" s="33" t="n">
        <f>5290</f>
        <v>5290.0</v>
      </c>
      <c r="N103" s="34" t="s">
        <v>49</v>
      </c>
      <c r="O103" s="33" t="n">
        <f>4975</f>
        <v>4975.0</v>
      </c>
      <c r="P103" s="34" t="s">
        <v>48</v>
      </c>
      <c r="Q103" s="33" t="n">
        <f>5080</f>
        <v>5080.0</v>
      </c>
      <c r="R103" s="34" t="s">
        <v>50</v>
      </c>
      <c r="S103" s="35" t="n">
        <f>5153.89</f>
        <v>5153.89</v>
      </c>
      <c r="T103" s="32" t="n">
        <f>20710</f>
        <v>20710.0</v>
      </c>
      <c r="U103" s="32" t="str">
        <f>"－"</f>
        <v>－</v>
      </c>
      <c r="V103" s="32" t="n">
        <f>106502100</f>
        <v>1.065021E8</v>
      </c>
      <c r="W103" s="32" t="str">
        <f>"－"</f>
        <v>－</v>
      </c>
      <c r="X103" s="36" t="n">
        <f>18</f>
        <v>18.0</v>
      </c>
    </row>
    <row r="104">
      <c r="A104" s="27" t="s">
        <v>42</v>
      </c>
      <c r="B104" s="27" t="s">
        <v>352</v>
      </c>
      <c r="C104" s="27" t="s">
        <v>353</v>
      </c>
      <c r="D104" s="27" t="s">
        <v>354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7240</f>
        <v>7240.0</v>
      </c>
      <c r="L104" s="34" t="s">
        <v>48</v>
      </c>
      <c r="M104" s="33" t="n">
        <f>7270</f>
        <v>7270.0</v>
      </c>
      <c r="N104" s="34" t="s">
        <v>48</v>
      </c>
      <c r="O104" s="33" t="n">
        <f>4930</f>
        <v>4930.0</v>
      </c>
      <c r="P104" s="34" t="s">
        <v>175</v>
      </c>
      <c r="Q104" s="33" t="n">
        <f>5630</f>
        <v>5630.0</v>
      </c>
      <c r="R104" s="34" t="s">
        <v>50</v>
      </c>
      <c r="S104" s="35" t="n">
        <f>5597.78</f>
        <v>5597.78</v>
      </c>
      <c r="T104" s="32" t="n">
        <f>16985754</f>
        <v>1.6985754E7</v>
      </c>
      <c r="U104" s="32" t="n">
        <f>406979</f>
        <v>406979.0</v>
      </c>
      <c r="V104" s="32" t="n">
        <f>95314487480</f>
        <v>9.531448748E10</v>
      </c>
      <c r="W104" s="32" t="n">
        <f>2265075485</f>
        <v>2.265075485E9</v>
      </c>
      <c r="X104" s="36" t="n">
        <f>18</f>
        <v>18.0</v>
      </c>
    </row>
    <row r="105">
      <c r="A105" s="27" t="s">
        <v>42</v>
      </c>
      <c r="B105" s="27" t="s">
        <v>355</v>
      </c>
      <c r="C105" s="27" t="s">
        <v>356</v>
      </c>
      <c r="D105" s="27" t="s">
        <v>357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2451</f>
        <v>2451.0</v>
      </c>
      <c r="L105" s="34" t="s">
        <v>48</v>
      </c>
      <c r="M105" s="33" t="n">
        <f>2678</f>
        <v>2678.0</v>
      </c>
      <c r="N105" s="34" t="s">
        <v>49</v>
      </c>
      <c r="O105" s="33" t="n">
        <f>2450</f>
        <v>2450.0</v>
      </c>
      <c r="P105" s="34" t="s">
        <v>48</v>
      </c>
      <c r="Q105" s="33" t="n">
        <f>2569</f>
        <v>2569.0</v>
      </c>
      <c r="R105" s="34" t="s">
        <v>50</v>
      </c>
      <c r="S105" s="35" t="n">
        <f>2598.56</f>
        <v>2598.56</v>
      </c>
      <c r="T105" s="32" t="n">
        <f>73090</f>
        <v>73090.0</v>
      </c>
      <c r="U105" s="32" t="str">
        <f>"－"</f>
        <v>－</v>
      </c>
      <c r="V105" s="32" t="n">
        <f>189843720</f>
        <v>1.8984372E8</v>
      </c>
      <c r="W105" s="32" t="str">
        <f>"－"</f>
        <v>－</v>
      </c>
      <c r="X105" s="36" t="n">
        <f>18</f>
        <v>18.0</v>
      </c>
    </row>
    <row r="106">
      <c r="A106" s="27" t="s">
        <v>42</v>
      </c>
      <c r="B106" s="27" t="s">
        <v>358</v>
      </c>
      <c r="C106" s="27" t="s">
        <v>359</v>
      </c>
      <c r="D106" s="27" t="s">
        <v>360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1470</f>
        <v>1470.0</v>
      </c>
      <c r="L106" s="34" t="s">
        <v>48</v>
      </c>
      <c r="M106" s="33" t="n">
        <f>1538</f>
        <v>1538.0</v>
      </c>
      <c r="N106" s="34" t="s">
        <v>175</v>
      </c>
      <c r="O106" s="33" t="n">
        <f>1466</f>
        <v>1466.0</v>
      </c>
      <c r="P106" s="34" t="s">
        <v>48</v>
      </c>
      <c r="Q106" s="33" t="n">
        <f>1490</f>
        <v>1490.0</v>
      </c>
      <c r="R106" s="34" t="s">
        <v>50</v>
      </c>
      <c r="S106" s="35" t="n">
        <f>1500</f>
        <v>1500.0</v>
      </c>
      <c r="T106" s="32" t="n">
        <f>235680</f>
        <v>235680.0</v>
      </c>
      <c r="U106" s="32" t="n">
        <f>20</f>
        <v>20.0</v>
      </c>
      <c r="V106" s="32" t="n">
        <f>353507980</f>
        <v>3.5350798E8</v>
      </c>
      <c r="W106" s="32" t="n">
        <f>27780</f>
        <v>27780.0</v>
      </c>
      <c r="X106" s="36" t="n">
        <f>18</f>
        <v>18.0</v>
      </c>
    </row>
    <row r="107">
      <c r="A107" s="27" t="s">
        <v>42</v>
      </c>
      <c r="B107" s="27" t="s">
        <v>361</v>
      </c>
      <c r="C107" s="27" t="s">
        <v>362</v>
      </c>
      <c r="D107" s="27" t="s">
        <v>363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38500</f>
        <v>38500.0</v>
      </c>
      <c r="L107" s="34" t="s">
        <v>48</v>
      </c>
      <c r="M107" s="33" t="n">
        <f>41800</f>
        <v>41800.0</v>
      </c>
      <c r="N107" s="34" t="s">
        <v>49</v>
      </c>
      <c r="O107" s="33" t="n">
        <f>38450</f>
        <v>38450.0</v>
      </c>
      <c r="P107" s="34" t="s">
        <v>48</v>
      </c>
      <c r="Q107" s="33" t="n">
        <f>40450</f>
        <v>40450.0</v>
      </c>
      <c r="R107" s="34" t="s">
        <v>50</v>
      </c>
      <c r="S107" s="35" t="n">
        <f>40836.11</f>
        <v>40836.11</v>
      </c>
      <c r="T107" s="32" t="n">
        <f>151657</f>
        <v>151657.0</v>
      </c>
      <c r="U107" s="32" t="n">
        <f>39000</f>
        <v>39000.0</v>
      </c>
      <c r="V107" s="32" t="n">
        <f>6204293872</f>
        <v>6.204293872E9</v>
      </c>
      <c r="W107" s="32" t="n">
        <f>1618659172</f>
        <v>1.618659172E9</v>
      </c>
      <c r="X107" s="36" t="n">
        <f>18</f>
        <v>18.0</v>
      </c>
    </row>
    <row r="108">
      <c r="A108" s="27" t="s">
        <v>42</v>
      </c>
      <c r="B108" s="27" t="s">
        <v>364</v>
      </c>
      <c r="C108" s="27" t="s">
        <v>365</v>
      </c>
      <c r="D108" s="27" t="s">
        <v>366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2952</f>
        <v>2952.0</v>
      </c>
      <c r="L108" s="34" t="s">
        <v>48</v>
      </c>
      <c r="M108" s="33" t="n">
        <f>3150</f>
        <v>3150.0</v>
      </c>
      <c r="N108" s="34" t="s">
        <v>60</v>
      </c>
      <c r="O108" s="33" t="n">
        <f>2930</f>
        <v>2930.0</v>
      </c>
      <c r="P108" s="34" t="s">
        <v>98</v>
      </c>
      <c r="Q108" s="33" t="n">
        <f>3040</f>
        <v>3040.0</v>
      </c>
      <c r="R108" s="34" t="s">
        <v>50</v>
      </c>
      <c r="S108" s="35" t="n">
        <f>3061.33</f>
        <v>3061.33</v>
      </c>
      <c r="T108" s="32" t="n">
        <f>18627</f>
        <v>18627.0</v>
      </c>
      <c r="U108" s="32" t="str">
        <f>"－"</f>
        <v>－</v>
      </c>
      <c r="V108" s="32" t="n">
        <f>57623105</f>
        <v>5.7623105E7</v>
      </c>
      <c r="W108" s="32" t="str">
        <f>"－"</f>
        <v>－</v>
      </c>
      <c r="X108" s="36" t="n">
        <f>18</f>
        <v>18.0</v>
      </c>
    </row>
    <row r="109">
      <c r="A109" s="27" t="s">
        <v>42</v>
      </c>
      <c r="B109" s="27" t="s">
        <v>367</v>
      </c>
      <c r="C109" s="27" t="s">
        <v>368</v>
      </c>
      <c r="D109" s="27" t="s">
        <v>369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4075</f>
        <v>4075.0</v>
      </c>
      <c r="L109" s="34" t="s">
        <v>48</v>
      </c>
      <c r="M109" s="33" t="n">
        <f>4270</f>
        <v>4270.0</v>
      </c>
      <c r="N109" s="34" t="s">
        <v>74</v>
      </c>
      <c r="O109" s="33" t="n">
        <f>4045</f>
        <v>4045.0</v>
      </c>
      <c r="P109" s="34" t="s">
        <v>119</v>
      </c>
      <c r="Q109" s="33" t="n">
        <f>4125</f>
        <v>4125.0</v>
      </c>
      <c r="R109" s="34" t="s">
        <v>50</v>
      </c>
      <c r="S109" s="35" t="n">
        <f>4122.78</f>
        <v>4122.78</v>
      </c>
      <c r="T109" s="32" t="n">
        <f>4549</f>
        <v>4549.0</v>
      </c>
      <c r="U109" s="32" t="str">
        <f>"－"</f>
        <v>－</v>
      </c>
      <c r="V109" s="32" t="n">
        <f>18771615</f>
        <v>1.8771615E7</v>
      </c>
      <c r="W109" s="32" t="str">
        <f>"－"</f>
        <v>－</v>
      </c>
      <c r="X109" s="36" t="n">
        <f>18</f>
        <v>18.0</v>
      </c>
    </row>
    <row r="110">
      <c r="A110" s="27" t="s">
        <v>42</v>
      </c>
      <c r="B110" s="27" t="s">
        <v>370</v>
      </c>
      <c r="C110" s="27" t="s">
        <v>371</v>
      </c>
      <c r="D110" s="27" t="s">
        <v>372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3265</f>
        <v>3265.0</v>
      </c>
      <c r="L110" s="34" t="s">
        <v>48</v>
      </c>
      <c r="M110" s="33" t="n">
        <f>3480</f>
        <v>3480.0</v>
      </c>
      <c r="N110" s="34" t="s">
        <v>115</v>
      </c>
      <c r="O110" s="33" t="n">
        <f>3205</f>
        <v>3205.0</v>
      </c>
      <c r="P110" s="34" t="s">
        <v>99</v>
      </c>
      <c r="Q110" s="33" t="n">
        <f>3325</f>
        <v>3325.0</v>
      </c>
      <c r="R110" s="34" t="s">
        <v>50</v>
      </c>
      <c r="S110" s="35" t="n">
        <f>3382.5</f>
        <v>3382.5</v>
      </c>
      <c r="T110" s="32" t="n">
        <f>157641</f>
        <v>157641.0</v>
      </c>
      <c r="U110" s="32" t="str">
        <f>"－"</f>
        <v>－</v>
      </c>
      <c r="V110" s="32" t="n">
        <f>531979690</f>
        <v>5.3197969E8</v>
      </c>
      <c r="W110" s="32" t="str">
        <f>"－"</f>
        <v>－</v>
      </c>
      <c r="X110" s="36" t="n">
        <f>18</f>
        <v>18.0</v>
      </c>
    </row>
    <row r="111">
      <c r="A111" s="27" t="s">
        <v>42</v>
      </c>
      <c r="B111" s="27" t="s">
        <v>373</v>
      </c>
      <c r="C111" s="27" t="s">
        <v>374</v>
      </c>
      <c r="D111" s="27" t="s">
        <v>375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44600</f>
        <v>44600.0</v>
      </c>
      <c r="L111" s="34" t="s">
        <v>48</v>
      </c>
      <c r="M111" s="33" t="n">
        <f>45650</f>
        <v>45650.0</v>
      </c>
      <c r="N111" s="34" t="s">
        <v>49</v>
      </c>
      <c r="O111" s="33" t="n">
        <f>44200</f>
        <v>44200.0</v>
      </c>
      <c r="P111" s="34" t="s">
        <v>50</v>
      </c>
      <c r="Q111" s="33" t="n">
        <f>44200</f>
        <v>44200.0</v>
      </c>
      <c r="R111" s="34" t="s">
        <v>50</v>
      </c>
      <c r="S111" s="35" t="n">
        <f>44991.67</f>
        <v>44991.67</v>
      </c>
      <c r="T111" s="32" t="n">
        <f>24458</f>
        <v>24458.0</v>
      </c>
      <c r="U111" s="32" t="n">
        <f>10000</f>
        <v>10000.0</v>
      </c>
      <c r="V111" s="32" t="n">
        <f>1091869200</f>
        <v>1.0918692E9</v>
      </c>
      <c r="W111" s="32" t="n">
        <f>442105000</f>
        <v>4.42105E8</v>
      </c>
      <c r="X111" s="36" t="n">
        <f>18</f>
        <v>18.0</v>
      </c>
    </row>
    <row r="112">
      <c r="A112" s="27" t="s">
        <v>42</v>
      </c>
      <c r="B112" s="27" t="s">
        <v>376</v>
      </c>
      <c r="C112" s="27" t="s">
        <v>377</v>
      </c>
      <c r="D112" s="27" t="s">
        <v>378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1160</f>
        <v>1160.0</v>
      </c>
      <c r="L112" s="34" t="s">
        <v>93</v>
      </c>
      <c r="M112" s="33" t="n">
        <f>1285</f>
        <v>1285.0</v>
      </c>
      <c r="N112" s="34" t="s">
        <v>50</v>
      </c>
      <c r="O112" s="33" t="n">
        <f>1160</f>
        <v>1160.0</v>
      </c>
      <c r="P112" s="34" t="s">
        <v>93</v>
      </c>
      <c r="Q112" s="33" t="n">
        <f>1285</f>
        <v>1285.0</v>
      </c>
      <c r="R112" s="34" t="s">
        <v>50</v>
      </c>
      <c r="S112" s="35" t="n">
        <f>1222.5</f>
        <v>1222.5</v>
      </c>
      <c r="T112" s="32" t="n">
        <f>60</f>
        <v>60.0</v>
      </c>
      <c r="U112" s="32" t="str">
        <f>"－"</f>
        <v>－</v>
      </c>
      <c r="V112" s="32" t="n">
        <f>72340</f>
        <v>72340.0</v>
      </c>
      <c r="W112" s="32" t="str">
        <f>"－"</f>
        <v>－</v>
      </c>
      <c r="X112" s="36" t="n">
        <f>2</f>
        <v>2.0</v>
      </c>
    </row>
    <row r="113">
      <c r="A113" s="27" t="s">
        <v>42</v>
      </c>
      <c r="B113" s="27" t="s">
        <v>379</v>
      </c>
      <c r="C113" s="27" t="s">
        <v>380</v>
      </c>
      <c r="D113" s="27" t="s">
        <v>381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20440</f>
        <v>20440.0</v>
      </c>
      <c r="L113" s="34" t="s">
        <v>48</v>
      </c>
      <c r="M113" s="33" t="n">
        <f>24470</f>
        <v>24470.0</v>
      </c>
      <c r="N113" s="34" t="s">
        <v>49</v>
      </c>
      <c r="O113" s="33" t="n">
        <f>20410</f>
        <v>20410.0</v>
      </c>
      <c r="P113" s="34" t="s">
        <v>48</v>
      </c>
      <c r="Q113" s="33" t="n">
        <f>21690</f>
        <v>21690.0</v>
      </c>
      <c r="R113" s="34" t="s">
        <v>50</v>
      </c>
      <c r="S113" s="35" t="n">
        <f>22902.78</f>
        <v>22902.78</v>
      </c>
      <c r="T113" s="32" t="n">
        <f>2034880</f>
        <v>2034880.0</v>
      </c>
      <c r="U113" s="32" t="n">
        <f>14980</f>
        <v>14980.0</v>
      </c>
      <c r="V113" s="32" t="n">
        <f>46476358500</f>
        <v>4.64763585E10</v>
      </c>
      <c r="W113" s="32" t="n">
        <f>354063100</f>
        <v>3.540631E8</v>
      </c>
      <c r="X113" s="36" t="n">
        <f>18</f>
        <v>18.0</v>
      </c>
    </row>
    <row r="114">
      <c r="A114" s="27" t="s">
        <v>42</v>
      </c>
      <c r="B114" s="27" t="s">
        <v>382</v>
      </c>
      <c r="C114" s="27" t="s">
        <v>383</v>
      </c>
      <c r="D114" s="27" t="s">
        <v>384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2470</f>
        <v>2470.0</v>
      </c>
      <c r="L114" s="34" t="s">
        <v>48</v>
      </c>
      <c r="M114" s="33" t="n">
        <f>2470</f>
        <v>2470.0</v>
      </c>
      <c r="N114" s="34" t="s">
        <v>48</v>
      </c>
      <c r="O114" s="33" t="n">
        <f>2250</f>
        <v>2250.0</v>
      </c>
      <c r="P114" s="34" t="s">
        <v>49</v>
      </c>
      <c r="Q114" s="33" t="n">
        <f>2377</f>
        <v>2377.0</v>
      </c>
      <c r="R114" s="34" t="s">
        <v>50</v>
      </c>
      <c r="S114" s="35" t="n">
        <f>2327</f>
        <v>2327.0</v>
      </c>
      <c r="T114" s="32" t="n">
        <f>1154770</f>
        <v>1154770.0</v>
      </c>
      <c r="U114" s="32" t="n">
        <f>434690</f>
        <v>434690.0</v>
      </c>
      <c r="V114" s="32" t="n">
        <f>2678714381</f>
        <v>2.678714381E9</v>
      </c>
      <c r="W114" s="32" t="n">
        <f>1000422111</f>
        <v>1.000422111E9</v>
      </c>
      <c r="X114" s="36" t="n">
        <f>18</f>
        <v>18.0</v>
      </c>
    </row>
    <row r="115">
      <c r="A115" s="27" t="s">
        <v>42</v>
      </c>
      <c r="B115" s="27" t="s">
        <v>385</v>
      </c>
      <c r="C115" s="27" t="s">
        <v>386</v>
      </c>
      <c r="D115" s="27" t="s">
        <v>387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29190</f>
        <v>29190.0</v>
      </c>
      <c r="L115" s="34" t="s">
        <v>48</v>
      </c>
      <c r="M115" s="33" t="n">
        <f>36000</f>
        <v>36000.0</v>
      </c>
      <c r="N115" s="34" t="s">
        <v>49</v>
      </c>
      <c r="O115" s="33" t="n">
        <f>29150</f>
        <v>29150.0</v>
      </c>
      <c r="P115" s="34" t="s">
        <v>48</v>
      </c>
      <c r="Q115" s="33" t="n">
        <f>32050</f>
        <v>32050.0</v>
      </c>
      <c r="R115" s="34" t="s">
        <v>50</v>
      </c>
      <c r="S115" s="35" t="n">
        <f>33152.78</f>
        <v>33152.78</v>
      </c>
      <c r="T115" s="32" t="n">
        <f>72376374</f>
        <v>7.2376374E7</v>
      </c>
      <c r="U115" s="32" t="n">
        <f>147725</f>
        <v>147725.0</v>
      </c>
      <c r="V115" s="32" t="n">
        <f>2398701662155</f>
        <v>2.398701662155E12</v>
      </c>
      <c r="W115" s="32" t="n">
        <f>4927267425</f>
        <v>4.927267425E9</v>
      </c>
      <c r="X115" s="36" t="n">
        <f>18</f>
        <v>18.0</v>
      </c>
    </row>
    <row r="116">
      <c r="A116" s="27" t="s">
        <v>42</v>
      </c>
      <c r="B116" s="27" t="s">
        <v>388</v>
      </c>
      <c r="C116" s="27" t="s">
        <v>389</v>
      </c>
      <c r="D116" s="27" t="s">
        <v>390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1084</f>
        <v>1084.0</v>
      </c>
      <c r="L116" s="34" t="s">
        <v>48</v>
      </c>
      <c r="M116" s="33" t="n">
        <f>1085</f>
        <v>1085.0</v>
      </c>
      <c r="N116" s="34" t="s">
        <v>48</v>
      </c>
      <c r="O116" s="33" t="n">
        <f>972</f>
        <v>972.0</v>
      </c>
      <c r="P116" s="34" t="s">
        <v>49</v>
      </c>
      <c r="Q116" s="33" t="n">
        <f>1027</f>
        <v>1027.0</v>
      </c>
      <c r="R116" s="34" t="s">
        <v>50</v>
      </c>
      <c r="S116" s="35" t="n">
        <f>1015.94</f>
        <v>1015.94</v>
      </c>
      <c r="T116" s="32" t="n">
        <f>14303969</f>
        <v>1.4303969E7</v>
      </c>
      <c r="U116" s="32" t="n">
        <f>688266</f>
        <v>688266.0</v>
      </c>
      <c r="V116" s="32" t="n">
        <f>14361464096</f>
        <v>1.4361464096E10</v>
      </c>
      <c r="W116" s="32" t="n">
        <f>690124247</f>
        <v>6.90124247E8</v>
      </c>
      <c r="X116" s="36" t="n">
        <f>18</f>
        <v>18.0</v>
      </c>
    </row>
    <row r="117">
      <c r="A117" s="27" t="s">
        <v>42</v>
      </c>
      <c r="B117" s="27" t="s">
        <v>391</v>
      </c>
      <c r="C117" s="27" t="s">
        <v>392</v>
      </c>
      <c r="D117" s="27" t="s">
        <v>393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11680</f>
        <v>11680.0</v>
      </c>
      <c r="L117" s="34" t="s">
        <v>48</v>
      </c>
      <c r="M117" s="33" t="n">
        <f>14300</f>
        <v>14300.0</v>
      </c>
      <c r="N117" s="34" t="s">
        <v>60</v>
      </c>
      <c r="O117" s="33" t="n">
        <f>11650</f>
        <v>11650.0</v>
      </c>
      <c r="P117" s="34" t="s">
        <v>48</v>
      </c>
      <c r="Q117" s="33" t="n">
        <f>12380</f>
        <v>12380.0</v>
      </c>
      <c r="R117" s="34" t="s">
        <v>50</v>
      </c>
      <c r="S117" s="35" t="n">
        <f>13082.78</f>
        <v>13082.78</v>
      </c>
      <c r="T117" s="32" t="n">
        <f>27820</f>
        <v>27820.0</v>
      </c>
      <c r="U117" s="32" t="str">
        <f>"－"</f>
        <v>－</v>
      </c>
      <c r="V117" s="32" t="n">
        <f>363836800</f>
        <v>3.638368E8</v>
      </c>
      <c r="W117" s="32" t="str">
        <f>"－"</f>
        <v>－</v>
      </c>
      <c r="X117" s="36" t="n">
        <f>18</f>
        <v>18.0</v>
      </c>
    </row>
    <row r="118">
      <c r="A118" s="27" t="s">
        <v>42</v>
      </c>
      <c r="B118" s="27" t="s">
        <v>394</v>
      </c>
      <c r="C118" s="27" t="s">
        <v>395</v>
      </c>
      <c r="D118" s="27" t="s">
        <v>396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6220</f>
        <v>6220.0</v>
      </c>
      <c r="L118" s="34" t="s">
        <v>48</v>
      </c>
      <c r="M118" s="33" t="n">
        <f>6270</f>
        <v>6270.0</v>
      </c>
      <c r="N118" s="34" t="s">
        <v>48</v>
      </c>
      <c r="O118" s="33" t="n">
        <f>5810</f>
        <v>5810.0</v>
      </c>
      <c r="P118" s="34" t="s">
        <v>60</v>
      </c>
      <c r="Q118" s="33" t="n">
        <f>6230</f>
        <v>6230.0</v>
      </c>
      <c r="R118" s="34" t="s">
        <v>50</v>
      </c>
      <c r="S118" s="35" t="n">
        <f>6010</f>
        <v>6010.0</v>
      </c>
      <c r="T118" s="32" t="n">
        <f>3350</f>
        <v>3350.0</v>
      </c>
      <c r="U118" s="32" t="str">
        <f>"－"</f>
        <v>－</v>
      </c>
      <c r="V118" s="32" t="n">
        <f>20149800</f>
        <v>2.01498E7</v>
      </c>
      <c r="W118" s="32" t="str">
        <f>"－"</f>
        <v>－</v>
      </c>
      <c r="X118" s="36" t="n">
        <f>17</f>
        <v>17.0</v>
      </c>
    </row>
    <row r="119">
      <c r="A119" s="27" t="s">
        <v>42</v>
      </c>
      <c r="B119" s="27" t="s">
        <v>397</v>
      </c>
      <c r="C119" s="27" t="s">
        <v>398</v>
      </c>
      <c r="D119" s="27" t="s">
        <v>399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1579</f>
        <v>1579.0</v>
      </c>
      <c r="L119" s="34" t="s">
        <v>115</v>
      </c>
      <c r="M119" s="33" t="n">
        <f>1665</f>
        <v>1665.0</v>
      </c>
      <c r="N119" s="34" t="s">
        <v>70</v>
      </c>
      <c r="O119" s="33" t="n">
        <f>1570</f>
        <v>1570.0</v>
      </c>
      <c r="P119" s="34" t="s">
        <v>49</v>
      </c>
      <c r="Q119" s="33" t="n">
        <f>1660</f>
        <v>1660.0</v>
      </c>
      <c r="R119" s="34" t="s">
        <v>60</v>
      </c>
      <c r="S119" s="35" t="n">
        <f>1614.71</f>
        <v>1614.71</v>
      </c>
      <c r="T119" s="32" t="n">
        <f>190</f>
        <v>190.0</v>
      </c>
      <c r="U119" s="32" t="str">
        <f>"－"</f>
        <v>－</v>
      </c>
      <c r="V119" s="32" t="n">
        <f>310930</f>
        <v>310930.0</v>
      </c>
      <c r="W119" s="32" t="str">
        <f>"－"</f>
        <v>－</v>
      </c>
      <c r="X119" s="36" t="n">
        <f>7</f>
        <v>7.0</v>
      </c>
    </row>
    <row r="120">
      <c r="A120" s="27" t="s">
        <v>42</v>
      </c>
      <c r="B120" s="27" t="s">
        <v>400</v>
      </c>
      <c r="C120" s="27" t="s">
        <v>401</v>
      </c>
      <c r="D120" s="27" t="s">
        <v>402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985</f>
        <v>985.0</v>
      </c>
      <c r="L120" s="34" t="s">
        <v>48</v>
      </c>
      <c r="M120" s="33" t="n">
        <f>1913</f>
        <v>1913.0</v>
      </c>
      <c r="N120" s="34" t="s">
        <v>49</v>
      </c>
      <c r="O120" s="33" t="n">
        <f>885</f>
        <v>885.0</v>
      </c>
      <c r="P120" s="34" t="s">
        <v>50</v>
      </c>
      <c r="Q120" s="33" t="n">
        <f>885</f>
        <v>885.0</v>
      </c>
      <c r="R120" s="34" t="s">
        <v>50</v>
      </c>
      <c r="S120" s="35" t="n">
        <f>1136.11</f>
        <v>1136.11</v>
      </c>
      <c r="T120" s="32" t="n">
        <f>274990</f>
        <v>274990.0</v>
      </c>
      <c r="U120" s="32" t="str">
        <f>"－"</f>
        <v>－</v>
      </c>
      <c r="V120" s="32" t="n">
        <f>321125370</f>
        <v>3.2112537E8</v>
      </c>
      <c r="W120" s="32" t="str">
        <f>"－"</f>
        <v>－</v>
      </c>
      <c r="X120" s="36" t="n">
        <f>18</f>
        <v>18.0</v>
      </c>
    </row>
    <row r="121">
      <c r="A121" s="27" t="s">
        <v>42</v>
      </c>
      <c r="B121" s="27" t="s">
        <v>403</v>
      </c>
      <c r="C121" s="27" t="s">
        <v>404</v>
      </c>
      <c r="D121" s="27" t="s">
        <v>405</v>
      </c>
      <c r="E121" s="28" t="s">
        <v>46</v>
      </c>
      <c r="F121" s="29" t="s">
        <v>46</v>
      </c>
      <c r="G121" s="30" t="s">
        <v>46</v>
      </c>
      <c r="H121" s="31" t="s">
        <v>406</v>
      </c>
      <c r="I121" s="31" t="s">
        <v>47</v>
      </c>
      <c r="J121" s="32" t="n">
        <v>10.0</v>
      </c>
      <c r="K121" s="33" t="n">
        <f>823</f>
        <v>823.0</v>
      </c>
      <c r="L121" s="34" t="s">
        <v>48</v>
      </c>
      <c r="M121" s="33" t="n">
        <f>1028</f>
        <v>1028.0</v>
      </c>
      <c r="N121" s="34" t="s">
        <v>60</v>
      </c>
      <c r="O121" s="33" t="n">
        <f>823</f>
        <v>823.0</v>
      </c>
      <c r="P121" s="34" t="s">
        <v>48</v>
      </c>
      <c r="Q121" s="33" t="n">
        <f>838</f>
        <v>838.0</v>
      </c>
      <c r="R121" s="34" t="s">
        <v>50</v>
      </c>
      <c r="S121" s="35" t="n">
        <f>894.39</f>
        <v>894.39</v>
      </c>
      <c r="T121" s="32" t="n">
        <f>48490</f>
        <v>48490.0</v>
      </c>
      <c r="U121" s="32" t="str">
        <f>"－"</f>
        <v>－</v>
      </c>
      <c r="V121" s="32" t="n">
        <f>44120460</f>
        <v>4.412046E7</v>
      </c>
      <c r="W121" s="32" t="str">
        <f>"－"</f>
        <v>－</v>
      </c>
      <c r="X121" s="36" t="n">
        <f>18</f>
        <v>18.0</v>
      </c>
    </row>
    <row r="122">
      <c r="A122" s="27" t="s">
        <v>42</v>
      </c>
      <c r="B122" s="27" t="s">
        <v>407</v>
      </c>
      <c r="C122" s="27" t="s">
        <v>408</v>
      </c>
      <c r="D122" s="27" t="s">
        <v>409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20180</f>
        <v>20180.0</v>
      </c>
      <c r="L122" s="34" t="s">
        <v>48</v>
      </c>
      <c r="M122" s="33" t="n">
        <f>22290</f>
        <v>22290.0</v>
      </c>
      <c r="N122" s="34" t="s">
        <v>175</v>
      </c>
      <c r="O122" s="33" t="n">
        <f>20180</f>
        <v>20180.0</v>
      </c>
      <c r="P122" s="34" t="s">
        <v>48</v>
      </c>
      <c r="Q122" s="33" t="n">
        <f>21530</f>
        <v>21530.0</v>
      </c>
      <c r="R122" s="34" t="s">
        <v>50</v>
      </c>
      <c r="S122" s="35" t="n">
        <f>21571.67</f>
        <v>21571.67</v>
      </c>
      <c r="T122" s="32" t="n">
        <f>30177</f>
        <v>30177.0</v>
      </c>
      <c r="U122" s="32" t="str">
        <f>"－"</f>
        <v>－</v>
      </c>
      <c r="V122" s="32" t="n">
        <f>650135780</f>
        <v>6.5013578E8</v>
      </c>
      <c r="W122" s="32" t="str">
        <f>"－"</f>
        <v>－</v>
      </c>
      <c r="X122" s="36" t="n">
        <f>18</f>
        <v>18.0</v>
      </c>
    </row>
    <row r="123">
      <c r="A123" s="27" t="s">
        <v>42</v>
      </c>
      <c r="B123" s="27" t="s">
        <v>410</v>
      </c>
      <c r="C123" s="27" t="s">
        <v>411</v>
      </c>
      <c r="D123" s="27" t="s">
        <v>412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2195</f>
        <v>2195.0</v>
      </c>
      <c r="L123" s="34" t="s">
        <v>48</v>
      </c>
      <c r="M123" s="33" t="n">
        <f>2441</f>
        <v>2441.0</v>
      </c>
      <c r="N123" s="34" t="s">
        <v>49</v>
      </c>
      <c r="O123" s="33" t="n">
        <f>2194</f>
        <v>2194.0</v>
      </c>
      <c r="P123" s="34" t="s">
        <v>48</v>
      </c>
      <c r="Q123" s="33" t="n">
        <f>2304</f>
        <v>2304.0</v>
      </c>
      <c r="R123" s="34" t="s">
        <v>50</v>
      </c>
      <c r="S123" s="35" t="n">
        <f>2342.56</f>
        <v>2342.56</v>
      </c>
      <c r="T123" s="32" t="n">
        <f>45744</f>
        <v>45744.0</v>
      </c>
      <c r="U123" s="32" t="str">
        <f>"－"</f>
        <v>－</v>
      </c>
      <c r="V123" s="32" t="n">
        <f>107327931</f>
        <v>1.07327931E8</v>
      </c>
      <c r="W123" s="32" t="str">
        <f>"－"</f>
        <v>－</v>
      </c>
      <c r="X123" s="36" t="n">
        <f>18</f>
        <v>18.0</v>
      </c>
    </row>
    <row r="124">
      <c r="A124" s="27" t="s">
        <v>42</v>
      </c>
      <c r="B124" s="27" t="s">
        <v>413</v>
      </c>
      <c r="C124" s="27" t="s">
        <v>414</v>
      </c>
      <c r="D124" s="27" t="s">
        <v>415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31050</f>
        <v>31050.0</v>
      </c>
      <c r="L124" s="34" t="s">
        <v>48</v>
      </c>
      <c r="M124" s="33" t="n">
        <f>38300</f>
        <v>38300.0</v>
      </c>
      <c r="N124" s="34" t="s">
        <v>49</v>
      </c>
      <c r="O124" s="33" t="n">
        <f>31000</f>
        <v>31000.0</v>
      </c>
      <c r="P124" s="34" t="s">
        <v>48</v>
      </c>
      <c r="Q124" s="33" t="n">
        <f>34250</f>
        <v>34250.0</v>
      </c>
      <c r="R124" s="34" t="s">
        <v>50</v>
      </c>
      <c r="S124" s="35" t="n">
        <f>35277.78</f>
        <v>35277.78</v>
      </c>
      <c r="T124" s="32" t="n">
        <f>4769490</f>
        <v>4769490.0</v>
      </c>
      <c r="U124" s="32" t="n">
        <f>820</f>
        <v>820.0</v>
      </c>
      <c r="V124" s="32" t="n">
        <f>167979743270</f>
        <v>1.6797974327E11</v>
      </c>
      <c r="W124" s="32" t="n">
        <f>28993270</f>
        <v>2.899327E7</v>
      </c>
      <c r="X124" s="36" t="n">
        <f>18</f>
        <v>18.0</v>
      </c>
    </row>
    <row r="125">
      <c r="A125" s="27" t="s">
        <v>42</v>
      </c>
      <c r="B125" s="27" t="s">
        <v>416</v>
      </c>
      <c r="C125" s="27" t="s">
        <v>417</v>
      </c>
      <c r="D125" s="27" t="s">
        <v>418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2891</f>
        <v>2891.0</v>
      </c>
      <c r="L125" s="34" t="s">
        <v>48</v>
      </c>
      <c r="M125" s="33" t="n">
        <f>2891</f>
        <v>2891.0</v>
      </c>
      <c r="N125" s="34" t="s">
        <v>48</v>
      </c>
      <c r="O125" s="33" t="n">
        <f>2593</f>
        <v>2593.0</v>
      </c>
      <c r="P125" s="34" t="s">
        <v>49</v>
      </c>
      <c r="Q125" s="33" t="n">
        <f>2739</f>
        <v>2739.0</v>
      </c>
      <c r="R125" s="34" t="s">
        <v>50</v>
      </c>
      <c r="S125" s="35" t="n">
        <f>2707.33</f>
        <v>2707.33</v>
      </c>
      <c r="T125" s="32" t="n">
        <f>1317610</f>
        <v>1317610.0</v>
      </c>
      <c r="U125" s="32" t="n">
        <f>100</f>
        <v>100.0</v>
      </c>
      <c r="V125" s="32" t="n">
        <f>3567771210</f>
        <v>3.56777121E9</v>
      </c>
      <c r="W125" s="32" t="n">
        <f>263800</f>
        <v>263800.0</v>
      </c>
      <c r="X125" s="36" t="n">
        <f>18</f>
        <v>18.0</v>
      </c>
    </row>
    <row r="126">
      <c r="A126" s="27" t="s">
        <v>42</v>
      </c>
      <c r="B126" s="27" t="s">
        <v>419</v>
      </c>
      <c r="C126" s="27" t="s">
        <v>420</v>
      </c>
      <c r="D126" s="27" t="s">
        <v>421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932</f>
        <v>932.0</v>
      </c>
      <c r="L126" s="34" t="s">
        <v>48</v>
      </c>
      <c r="M126" s="33" t="n">
        <f>1079</f>
        <v>1079.0</v>
      </c>
      <c r="N126" s="34" t="s">
        <v>74</v>
      </c>
      <c r="O126" s="33" t="n">
        <f>930</f>
        <v>930.0</v>
      </c>
      <c r="P126" s="34" t="s">
        <v>48</v>
      </c>
      <c r="Q126" s="33" t="n">
        <f>942</f>
        <v>942.0</v>
      </c>
      <c r="R126" s="34" t="s">
        <v>50</v>
      </c>
      <c r="S126" s="35" t="n">
        <f>986.28</f>
        <v>986.28</v>
      </c>
      <c r="T126" s="32" t="n">
        <f>9040</f>
        <v>9040.0</v>
      </c>
      <c r="U126" s="32" t="str">
        <f>"－"</f>
        <v>－</v>
      </c>
      <c r="V126" s="32" t="n">
        <f>8790720</f>
        <v>8790720.0</v>
      </c>
      <c r="W126" s="32" t="str">
        <f>"－"</f>
        <v>－</v>
      </c>
      <c r="X126" s="36" t="n">
        <f>18</f>
        <v>18.0</v>
      </c>
    </row>
    <row r="127">
      <c r="A127" s="27" t="s">
        <v>42</v>
      </c>
      <c r="B127" s="27" t="s">
        <v>422</v>
      </c>
      <c r="C127" s="27" t="s">
        <v>423</v>
      </c>
      <c r="D127" s="27" t="s">
        <v>424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1442</f>
        <v>1442.0</v>
      </c>
      <c r="L127" s="34" t="s">
        <v>98</v>
      </c>
      <c r="M127" s="33" t="n">
        <f>1543</f>
        <v>1543.0</v>
      </c>
      <c r="N127" s="34" t="s">
        <v>49</v>
      </c>
      <c r="O127" s="33" t="n">
        <f>1442</f>
        <v>1442.0</v>
      </c>
      <c r="P127" s="34" t="s">
        <v>98</v>
      </c>
      <c r="Q127" s="33" t="n">
        <f>1520</f>
        <v>1520.0</v>
      </c>
      <c r="R127" s="34" t="s">
        <v>99</v>
      </c>
      <c r="S127" s="35" t="n">
        <f>1503.67</f>
        <v>1503.67</v>
      </c>
      <c r="T127" s="32" t="n">
        <f>710</f>
        <v>710.0</v>
      </c>
      <c r="U127" s="32" t="str">
        <f>"－"</f>
        <v>－</v>
      </c>
      <c r="V127" s="32" t="n">
        <f>1070110</f>
        <v>1070110.0</v>
      </c>
      <c r="W127" s="32" t="str">
        <f>"－"</f>
        <v>－</v>
      </c>
      <c r="X127" s="36" t="n">
        <f>9</f>
        <v>9.0</v>
      </c>
    </row>
    <row r="128">
      <c r="A128" s="27" t="s">
        <v>42</v>
      </c>
      <c r="B128" s="27" t="s">
        <v>425</v>
      </c>
      <c r="C128" s="27" t="s">
        <v>426</v>
      </c>
      <c r="D128" s="27" t="s">
        <v>427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1661</f>
        <v>1661.0</v>
      </c>
      <c r="L128" s="34" t="s">
        <v>48</v>
      </c>
      <c r="M128" s="33" t="n">
        <f>1764</f>
        <v>1764.0</v>
      </c>
      <c r="N128" s="34" t="s">
        <v>49</v>
      </c>
      <c r="O128" s="33" t="n">
        <f>1625</f>
        <v>1625.0</v>
      </c>
      <c r="P128" s="34" t="s">
        <v>48</v>
      </c>
      <c r="Q128" s="33" t="n">
        <f>1661</f>
        <v>1661.0</v>
      </c>
      <c r="R128" s="34" t="s">
        <v>50</v>
      </c>
      <c r="S128" s="35" t="n">
        <f>1688.27</f>
        <v>1688.27</v>
      </c>
      <c r="T128" s="32" t="n">
        <f>873</f>
        <v>873.0</v>
      </c>
      <c r="U128" s="32" t="str">
        <f>"－"</f>
        <v>－</v>
      </c>
      <c r="V128" s="32" t="n">
        <f>1462937</f>
        <v>1462937.0</v>
      </c>
      <c r="W128" s="32" t="str">
        <f>"－"</f>
        <v>－</v>
      </c>
      <c r="X128" s="36" t="n">
        <f>15</f>
        <v>15.0</v>
      </c>
    </row>
    <row r="129">
      <c r="A129" s="27" t="s">
        <v>42</v>
      </c>
      <c r="B129" s="27" t="s">
        <v>428</v>
      </c>
      <c r="C129" s="27" t="s">
        <v>429</v>
      </c>
      <c r="D129" s="27" t="s">
        <v>430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16460</f>
        <v>16460.0</v>
      </c>
      <c r="L129" s="34" t="s">
        <v>48</v>
      </c>
      <c r="M129" s="33" t="n">
        <f>17970</f>
        <v>17970.0</v>
      </c>
      <c r="N129" s="34" t="s">
        <v>49</v>
      </c>
      <c r="O129" s="33" t="n">
        <f>16430</f>
        <v>16430.0</v>
      </c>
      <c r="P129" s="34" t="s">
        <v>48</v>
      </c>
      <c r="Q129" s="33" t="n">
        <f>16900</f>
        <v>16900.0</v>
      </c>
      <c r="R129" s="34" t="s">
        <v>50</v>
      </c>
      <c r="S129" s="35" t="n">
        <f>17350.56</f>
        <v>17350.56</v>
      </c>
      <c r="T129" s="32" t="n">
        <f>176883</f>
        <v>176883.0</v>
      </c>
      <c r="U129" s="32" t="n">
        <f>40103</f>
        <v>40103.0</v>
      </c>
      <c r="V129" s="32" t="n">
        <f>3031313749</f>
        <v>3.031313749E9</v>
      </c>
      <c r="W129" s="32" t="n">
        <f>682083359</f>
        <v>6.82083359E8</v>
      </c>
      <c r="X129" s="36" t="n">
        <f>18</f>
        <v>18.0</v>
      </c>
    </row>
    <row r="130">
      <c r="A130" s="27" t="s">
        <v>42</v>
      </c>
      <c r="B130" s="27" t="s">
        <v>431</v>
      </c>
      <c r="C130" s="27" t="s">
        <v>432</v>
      </c>
      <c r="D130" s="27" t="s">
        <v>433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1500</f>
        <v>1500.0</v>
      </c>
      <c r="L130" s="34" t="s">
        <v>48</v>
      </c>
      <c r="M130" s="33" t="n">
        <f>1638</f>
        <v>1638.0</v>
      </c>
      <c r="N130" s="34" t="s">
        <v>49</v>
      </c>
      <c r="O130" s="33" t="n">
        <f>1500</f>
        <v>1500.0</v>
      </c>
      <c r="P130" s="34" t="s">
        <v>48</v>
      </c>
      <c r="Q130" s="33" t="n">
        <f>1548</f>
        <v>1548.0</v>
      </c>
      <c r="R130" s="34" t="s">
        <v>50</v>
      </c>
      <c r="S130" s="35" t="n">
        <f>1584.22</f>
        <v>1584.22</v>
      </c>
      <c r="T130" s="32" t="n">
        <f>419901</f>
        <v>419901.0</v>
      </c>
      <c r="U130" s="32" t="str">
        <f>"－"</f>
        <v>－</v>
      </c>
      <c r="V130" s="32" t="n">
        <f>681863262</f>
        <v>6.81863262E8</v>
      </c>
      <c r="W130" s="32" t="str">
        <f>"－"</f>
        <v>－</v>
      </c>
      <c r="X130" s="36" t="n">
        <f>18</f>
        <v>18.0</v>
      </c>
    </row>
    <row r="131">
      <c r="A131" s="27" t="s">
        <v>42</v>
      </c>
      <c r="B131" s="27" t="s">
        <v>434</v>
      </c>
      <c r="C131" s="27" t="s">
        <v>435</v>
      </c>
      <c r="D131" s="27" t="s">
        <v>436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16730</f>
        <v>16730.0</v>
      </c>
      <c r="L131" s="34" t="s">
        <v>48</v>
      </c>
      <c r="M131" s="33" t="n">
        <f>18290</f>
        <v>18290.0</v>
      </c>
      <c r="N131" s="34" t="s">
        <v>49</v>
      </c>
      <c r="O131" s="33" t="n">
        <f>16730</f>
        <v>16730.0</v>
      </c>
      <c r="P131" s="34" t="s">
        <v>48</v>
      </c>
      <c r="Q131" s="33" t="n">
        <f>17220</f>
        <v>17220.0</v>
      </c>
      <c r="R131" s="34" t="s">
        <v>50</v>
      </c>
      <c r="S131" s="35" t="n">
        <f>17678.33</f>
        <v>17678.33</v>
      </c>
      <c r="T131" s="32" t="n">
        <f>53737</f>
        <v>53737.0</v>
      </c>
      <c r="U131" s="32" t="n">
        <f>28550</f>
        <v>28550.0</v>
      </c>
      <c r="V131" s="32" t="n">
        <f>947349950</f>
        <v>9.4734995E8</v>
      </c>
      <c r="W131" s="32" t="n">
        <f>500024700</f>
        <v>5.000247E8</v>
      </c>
      <c r="X131" s="36" t="n">
        <f>18</f>
        <v>18.0</v>
      </c>
    </row>
    <row r="132">
      <c r="A132" s="27" t="s">
        <v>42</v>
      </c>
      <c r="B132" s="27" t="s">
        <v>437</v>
      </c>
      <c r="C132" s="27" t="s">
        <v>438</v>
      </c>
      <c r="D132" s="27" t="s">
        <v>439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1876</f>
        <v>1876.0</v>
      </c>
      <c r="L132" s="34" t="s">
        <v>48</v>
      </c>
      <c r="M132" s="33" t="n">
        <f>2027</f>
        <v>2027.0</v>
      </c>
      <c r="N132" s="34" t="s">
        <v>175</v>
      </c>
      <c r="O132" s="33" t="n">
        <f>1830</f>
        <v>1830.0</v>
      </c>
      <c r="P132" s="34" t="s">
        <v>182</v>
      </c>
      <c r="Q132" s="33" t="n">
        <f>2025</f>
        <v>2025.0</v>
      </c>
      <c r="R132" s="34" t="s">
        <v>50</v>
      </c>
      <c r="S132" s="35" t="n">
        <f>1942.89</f>
        <v>1942.89</v>
      </c>
      <c r="T132" s="32" t="n">
        <f>12752710</f>
        <v>1.275271E7</v>
      </c>
      <c r="U132" s="32" t="n">
        <f>5551000</f>
        <v>5551000.0</v>
      </c>
      <c r="V132" s="32" t="n">
        <f>24211109660</f>
        <v>2.421110966E10</v>
      </c>
      <c r="W132" s="32" t="n">
        <f>10547837860</f>
        <v>1.054783786E10</v>
      </c>
      <c r="X132" s="36" t="n">
        <f>18</f>
        <v>18.0</v>
      </c>
    </row>
    <row r="133">
      <c r="A133" s="27" t="s">
        <v>42</v>
      </c>
      <c r="B133" s="27" t="s">
        <v>440</v>
      </c>
      <c r="C133" s="27" t="s">
        <v>441</v>
      </c>
      <c r="D133" s="27" t="s">
        <v>442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1628</f>
        <v>1628.0</v>
      </c>
      <c r="L133" s="34" t="s">
        <v>48</v>
      </c>
      <c r="M133" s="33" t="n">
        <f>1736</f>
        <v>1736.0</v>
      </c>
      <c r="N133" s="34" t="s">
        <v>49</v>
      </c>
      <c r="O133" s="33" t="n">
        <f>1628</f>
        <v>1628.0</v>
      </c>
      <c r="P133" s="34" t="s">
        <v>48</v>
      </c>
      <c r="Q133" s="33" t="n">
        <f>1658</f>
        <v>1658.0</v>
      </c>
      <c r="R133" s="34" t="s">
        <v>50</v>
      </c>
      <c r="S133" s="35" t="n">
        <f>1687.89</f>
        <v>1687.89</v>
      </c>
      <c r="T133" s="32" t="n">
        <f>2250</f>
        <v>2250.0</v>
      </c>
      <c r="U133" s="32" t="str">
        <f>"－"</f>
        <v>－</v>
      </c>
      <c r="V133" s="32" t="n">
        <f>3730780</f>
        <v>3730780.0</v>
      </c>
      <c r="W133" s="32" t="str">
        <f>"－"</f>
        <v>－</v>
      </c>
      <c r="X133" s="36" t="n">
        <f>9</f>
        <v>9.0</v>
      </c>
    </row>
    <row r="134">
      <c r="A134" s="27" t="s">
        <v>42</v>
      </c>
      <c r="B134" s="27" t="s">
        <v>443</v>
      </c>
      <c r="C134" s="27" t="s">
        <v>444</v>
      </c>
      <c r="D134" s="27" t="s">
        <v>445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1889</f>
        <v>1889.0</v>
      </c>
      <c r="L134" s="34" t="s">
        <v>48</v>
      </c>
      <c r="M134" s="33" t="n">
        <f>2053</f>
        <v>2053.0</v>
      </c>
      <c r="N134" s="34" t="s">
        <v>70</v>
      </c>
      <c r="O134" s="33" t="n">
        <f>1865</f>
        <v>1865.0</v>
      </c>
      <c r="P134" s="34" t="s">
        <v>115</v>
      </c>
      <c r="Q134" s="33" t="n">
        <f>1997</f>
        <v>1997.0</v>
      </c>
      <c r="R134" s="34" t="s">
        <v>50</v>
      </c>
      <c r="S134" s="35" t="n">
        <f>1958</f>
        <v>1958.0</v>
      </c>
      <c r="T134" s="32" t="n">
        <f>1218310</f>
        <v>1218310.0</v>
      </c>
      <c r="U134" s="32" t="n">
        <f>505940</f>
        <v>505940.0</v>
      </c>
      <c r="V134" s="32" t="n">
        <f>2404791540</f>
        <v>2.40479154E9</v>
      </c>
      <c r="W134" s="32" t="n">
        <f>1021098120</f>
        <v>1.02109812E9</v>
      </c>
      <c r="X134" s="36" t="n">
        <f>18</f>
        <v>18.0</v>
      </c>
    </row>
    <row r="135">
      <c r="A135" s="27" t="s">
        <v>42</v>
      </c>
      <c r="B135" s="27" t="s">
        <v>446</v>
      </c>
      <c r="C135" s="27" t="s">
        <v>447</v>
      </c>
      <c r="D135" s="27" t="s">
        <v>448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18270</f>
        <v>18270.0</v>
      </c>
      <c r="L135" s="34" t="s">
        <v>115</v>
      </c>
      <c r="M135" s="33" t="n">
        <f>19770</f>
        <v>19770.0</v>
      </c>
      <c r="N135" s="34" t="s">
        <v>49</v>
      </c>
      <c r="O135" s="33" t="n">
        <f>18270</f>
        <v>18270.0</v>
      </c>
      <c r="P135" s="34" t="s">
        <v>115</v>
      </c>
      <c r="Q135" s="33" t="n">
        <f>19050</f>
        <v>19050.0</v>
      </c>
      <c r="R135" s="34" t="s">
        <v>50</v>
      </c>
      <c r="S135" s="35" t="n">
        <f>19149</f>
        <v>19149.0</v>
      </c>
      <c r="T135" s="32" t="n">
        <f>93</f>
        <v>93.0</v>
      </c>
      <c r="U135" s="32" t="str">
        <f>"－"</f>
        <v>－</v>
      </c>
      <c r="V135" s="32" t="n">
        <f>1810660</f>
        <v>1810660.0</v>
      </c>
      <c r="W135" s="32" t="str">
        <f>"－"</f>
        <v>－</v>
      </c>
      <c r="X135" s="36" t="n">
        <f>10</f>
        <v>10.0</v>
      </c>
    </row>
    <row r="136">
      <c r="A136" s="27" t="s">
        <v>42</v>
      </c>
      <c r="B136" s="27" t="s">
        <v>449</v>
      </c>
      <c r="C136" s="27" t="s">
        <v>450</v>
      </c>
      <c r="D136" s="27" t="s">
        <v>451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16520</f>
        <v>16520.0</v>
      </c>
      <c r="L136" s="34" t="s">
        <v>48</v>
      </c>
      <c r="M136" s="33" t="n">
        <f>18130</f>
        <v>18130.0</v>
      </c>
      <c r="N136" s="34" t="s">
        <v>49</v>
      </c>
      <c r="O136" s="33" t="n">
        <f>16520</f>
        <v>16520.0</v>
      </c>
      <c r="P136" s="34" t="s">
        <v>48</v>
      </c>
      <c r="Q136" s="33" t="n">
        <f>17150</f>
        <v>17150.0</v>
      </c>
      <c r="R136" s="34" t="s">
        <v>50</v>
      </c>
      <c r="S136" s="35" t="n">
        <f>17508.89</f>
        <v>17508.89</v>
      </c>
      <c r="T136" s="32" t="n">
        <f>4823</f>
        <v>4823.0</v>
      </c>
      <c r="U136" s="32" t="n">
        <f>2</f>
        <v>2.0</v>
      </c>
      <c r="V136" s="32" t="n">
        <f>85305660</f>
        <v>8.530566E7</v>
      </c>
      <c r="W136" s="32" t="n">
        <f>34850</f>
        <v>34850.0</v>
      </c>
      <c r="X136" s="36" t="n">
        <f>18</f>
        <v>18.0</v>
      </c>
    </row>
    <row r="137">
      <c r="A137" s="27" t="s">
        <v>42</v>
      </c>
      <c r="B137" s="27" t="s">
        <v>452</v>
      </c>
      <c r="C137" s="27" t="s">
        <v>453</v>
      </c>
      <c r="D137" s="27" t="s">
        <v>454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126</f>
        <v>126.0</v>
      </c>
      <c r="L137" s="34" t="s">
        <v>48</v>
      </c>
      <c r="M137" s="33" t="n">
        <f>148</f>
        <v>148.0</v>
      </c>
      <c r="N137" s="34" t="s">
        <v>49</v>
      </c>
      <c r="O137" s="33" t="n">
        <f>125</f>
        <v>125.0</v>
      </c>
      <c r="P137" s="34" t="s">
        <v>48</v>
      </c>
      <c r="Q137" s="33" t="n">
        <f>144</f>
        <v>144.0</v>
      </c>
      <c r="R137" s="34" t="s">
        <v>50</v>
      </c>
      <c r="S137" s="35" t="n">
        <f>139.06</f>
        <v>139.06</v>
      </c>
      <c r="T137" s="32" t="n">
        <f>73465700</f>
        <v>7.34657E7</v>
      </c>
      <c r="U137" s="32" t="n">
        <f>266600</f>
        <v>266600.0</v>
      </c>
      <c r="V137" s="32" t="n">
        <f>10269490504</f>
        <v>1.0269490504E10</v>
      </c>
      <c r="W137" s="32" t="n">
        <f>38815004</f>
        <v>3.8815004E7</v>
      </c>
      <c r="X137" s="36" t="n">
        <f>18</f>
        <v>18.0</v>
      </c>
    </row>
    <row r="138">
      <c r="A138" s="27" t="s">
        <v>42</v>
      </c>
      <c r="B138" s="27" t="s">
        <v>455</v>
      </c>
      <c r="C138" s="27" t="s">
        <v>456</v>
      </c>
      <c r="D138" s="27" t="s">
        <v>457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27200</f>
        <v>27200.0</v>
      </c>
      <c r="L138" s="34" t="s">
        <v>48</v>
      </c>
      <c r="M138" s="33" t="n">
        <f>27940</f>
        <v>27940.0</v>
      </c>
      <c r="N138" s="34" t="s">
        <v>174</v>
      </c>
      <c r="O138" s="33" t="n">
        <f>26500</f>
        <v>26500.0</v>
      </c>
      <c r="P138" s="34" t="s">
        <v>50</v>
      </c>
      <c r="Q138" s="33" t="n">
        <f>26500</f>
        <v>26500.0</v>
      </c>
      <c r="R138" s="34" t="s">
        <v>50</v>
      </c>
      <c r="S138" s="35" t="n">
        <f>27294.12</f>
        <v>27294.12</v>
      </c>
      <c r="T138" s="32" t="n">
        <f>762</f>
        <v>762.0</v>
      </c>
      <c r="U138" s="32" t="str">
        <f>"－"</f>
        <v>－</v>
      </c>
      <c r="V138" s="32" t="n">
        <f>20804470</f>
        <v>2.080447E7</v>
      </c>
      <c r="W138" s="32" t="str">
        <f>"－"</f>
        <v>－</v>
      </c>
      <c r="X138" s="36" t="n">
        <f>17</f>
        <v>17.0</v>
      </c>
    </row>
    <row r="139">
      <c r="A139" s="27" t="s">
        <v>42</v>
      </c>
      <c r="B139" s="27" t="s">
        <v>458</v>
      </c>
      <c r="C139" s="27" t="s">
        <v>459</v>
      </c>
      <c r="D139" s="27" t="s">
        <v>460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8560</f>
        <v>8560.0</v>
      </c>
      <c r="L139" s="34" t="s">
        <v>48</v>
      </c>
      <c r="M139" s="33" t="n">
        <f>10370</f>
        <v>10370.0</v>
      </c>
      <c r="N139" s="34" t="s">
        <v>60</v>
      </c>
      <c r="O139" s="33" t="n">
        <f>8410</f>
        <v>8410.0</v>
      </c>
      <c r="P139" s="34" t="s">
        <v>48</v>
      </c>
      <c r="Q139" s="33" t="n">
        <f>10060</f>
        <v>10060.0</v>
      </c>
      <c r="R139" s="34" t="s">
        <v>50</v>
      </c>
      <c r="S139" s="35" t="n">
        <f>9526.67</f>
        <v>9526.67</v>
      </c>
      <c r="T139" s="32" t="n">
        <f>24496</f>
        <v>24496.0</v>
      </c>
      <c r="U139" s="32" t="str">
        <f>"－"</f>
        <v>－</v>
      </c>
      <c r="V139" s="32" t="n">
        <f>237178260</f>
        <v>2.3717826E8</v>
      </c>
      <c r="W139" s="32" t="str">
        <f>"－"</f>
        <v>－</v>
      </c>
      <c r="X139" s="36" t="n">
        <f>18</f>
        <v>18.0</v>
      </c>
    </row>
    <row r="140">
      <c r="A140" s="27" t="s">
        <v>42</v>
      </c>
      <c r="B140" s="27" t="s">
        <v>461</v>
      </c>
      <c r="C140" s="27" t="s">
        <v>462</v>
      </c>
      <c r="D140" s="27" t="s">
        <v>463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20500</f>
        <v>20500.0</v>
      </c>
      <c r="L140" s="34" t="s">
        <v>98</v>
      </c>
      <c r="M140" s="33" t="n">
        <f>21970</f>
        <v>21970.0</v>
      </c>
      <c r="N140" s="34" t="s">
        <v>49</v>
      </c>
      <c r="O140" s="33" t="n">
        <f>20500</f>
        <v>20500.0</v>
      </c>
      <c r="P140" s="34" t="s">
        <v>98</v>
      </c>
      <c r="Q140" s="33" t="n">
        <f>20910</f>
        <v>20910.0</v>
      </c>
      <c r="R140" s="34" t="s">
        <v>50</v>
      </c>
      <c r="S140" s="35" t="n">
        <f>21437.65</f>
        <v>21437.65</v>
      </c>
      <c r="T140" s="32" t="n">
        <f>1237</f>
        <v>1237.0</v>
      </c>
      <c r="U140" s="32" t="str">
        <f>"－"</f>
        <v>－</v>
      </c>
      <c r="V140" s="32" t="n">
        <f>26498150</f>
        <v>2.649815E7</v>
      </c>
      <c r="W140" s="32" t="str">
        <f>"－"</f>
        <v>－</v>
      </c>
      <c r="X140" s="36" t="n">
        <f>17</f>
        <v>17.0</v>
      </c>
    </row>
    <row r="141">
      <c r="A141" s="27" t="s">
        <v>42</v>
      </c>
      <c r="B141" s="27" t="s">
        <v>464</v>
      </c>
      <c r="C141" s="27" t="s">
        <v>465</v>
      </c>
      <c r="D141" s="27" t="s">
        <v>466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26530</f>
        <v>26530.0</v>
      </c>
      <c r="L141" s="34" t="s">
        <v>48</v>
      </c>
      <c r="M141" s="33" t="n">
        <f>28040</f>
        <v>28040.0</v>
      </c>
      <c r="N141" s="34" t="s">
        <v>60</v>
      </c>
      <c r="O141" s="33" t="n">
        <f>26430</f>
        <v>26430.0</v>
      </c>
      <c r="P141" s="34" t="s">
        <v>50</v>
      </c>
      <c r="Q141" s="33" t="n">
        <f>26430</f>
        <v>26430.0</v>
      </c>
      <c r="R141" s="34" t="s">
        <v>50</v>
      </c>
      <c r="S141" s="35" t="n">
        <f>27377.78</f>
        <v>27377.78</v>
      </c>
      <c r="T141" s="32" t="n">
        <f>1500</f>
        <v>1500.0</v>
      </c>
      <c r="U141" s="32" t="str">
        <f>"－"</f>
        <v>－</v>
      </c>
      <c r="V141" s="32" t="n">
        <f>40963940</f>
        <v>4.096394E7</v>
      </c>
      <c r="W141" s="32" t="str">
        <f>"－"</f>
        <v>－</v>
      </c>
      <c r="X141" s="36" t="n">
        <f>18</f>
        <v>18.0</v>
      </c>
    </row>
    <row r="142">
      <c r="A142" s="27" t="s">
        <v>42</v>
      </c>
      <c r="B142" s="27" t="s">
        <v>467</v>
      </c>
      <c r="C142" s="27" t="s">
        <v>468</v>
      </c>
      <c r="D142" s="27" t="s">
        <v>469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25000</f>
        <v>25000.0</v>
      </c>
      <c r="L142" s="34" t="s">
        <v>48</v>
      </c>
      <c r="M142" s="33" t="n">
        <f>25500</f>
        <v>25500.0</v>
      </c>
      <c r="N142" s="34" t="s">
        <v>98</v>
      </c>
      <c r="O142" s="33" t="n">
        <f>23410</f>
        <v>23410.0</v>
      </c>
      <c r="P142" s="34" t="s">
        <v>50</v>
      </c>
      <c r="Q142" s="33" t="n">
        <f>23510</f>
        <v>23510.0</v>
      </c>
      <c r="R142" s="34" t="s">
        <v>50</v>
      </c>
      <c r="S142" s="35" t="n">
        <f>24924.44</f>
        <v>24924.44</v>
      </c>
      <c r="T142" s="32" t="n">
        <f>3653</f>
        <v>3653.0</v>
      </c>
      <c r="U142" s="32" t="str">
        <f>"－"</f>
        <v>－</v>
      </c>
      <c r="V142" s="32" t="n">
        <f>90697350</f>
        <v>9.069735E7</v>
      </c>
      <c r="W142" s="32" t="str">
        <f>"－"</f>
        <v>－</v>
      </c>
      <c r="X142" s="36" t="n">
        <f>18</f>
        <v>18.0</v>
      </c>
    </row>
    <row r="143">
      <c r="A143" s="27" t="s">
        <v>42</v>
      </c>
      <c r="B143" s="27" t="s">
        <v>470</v>
      </c>
      <c r="C143" s="27" t="s">
        <v>471</v>
      </c>
      <c r="D143" s="27" t="s">
        <v>472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19070</f>
        <v>19070.0</v>
      </c>
      <c r="L143" s="34" t="s">
        <v>48</v>
      </c>
      <c r="M143" s="33" t="n">
        <f>21670</f>
        <v>21670.0</v>
      </c>
      <c r="N143" s="34" t="s">
        <v>303</v>
      </c>
      <c r="O143" s="33" t="n">
        <f>19070</f>
        <v>19070.0</v>
      </c>
      <c r="P143" s="34" t="s">
        <v>48</v>
      </c>
      <c r="Q143" s="33" t="n">
        <f>20260</f>
        <v>20260.0</v>
      </c>
      <c r="R143" s="34" t="s">
        <v>50</v>
      </c>
      <c r="S143" s="35" t="n">
        <f>20780</f>
        <v>20780.0</v>
      </c>
      <c r="T143" s="32" t="n">
        <f>3841</f>
        <v>3841.0</v>
      </c>
      <c r="U143" s="32" t="str">
        <f>"－"</f>
        <v>－</v>
      </c>
      <c r="V143" s="32" t="n">
        <f>80327580</f>
        <v>8.032758E7</v>
      </c>
      <c r="W143" s="32" t="str">
        <f>"－"</f>
        <v>－</v>
      </c>
      <c r="X143" s="36" t="n">
        <f>18</f>
        <v>18.0</v>
      </c>
    </row>
    <row r="144">
      <c r="A144" s="27" t="s">
        <v>42</v>
      </c>
      <c r="B144" s="27" t="s">
        <v>473</v>
      </c>
      <c r="C144" s="27" t="s">
        <v>474</v>
      </c>
      <c r="D144" s="27" t="s">
        <v>475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12830</f>
        <v>12830.0</v>
      </c>
      <c r="L144" s="34" t="s">
        <v>48</v>
      </c>
      <c r="M144" s="33" t="n">
        <f>15170</f>
        <v>15170.0</v>
      </c>
      <c r="N144" s="34" t="s">
        <v>175</v>
      </c>
      <c r="O144" s="33" t="n">
        <f>12830</f>
        <v>12830.0</v>
      </c>
      <c r="P144" s="34" t="s">
        <v>48</v>
      </c>
      <c r="Q144" s="33" t="n">
        <f>14620</f>
        <v>14620.0</v>
      </c>
      <c r="R144" s="34" t="s">
        <v>50</v>
      </c>
      <c r="S144" s="35" t="n">
        <f>14387.22</f>
        <v>14387.22</v>
      </c>
      <c r="T144" s="32" t="n">
        <f>7151</f>
        <v>7151.0</v>
      </c>
      <c r="U144" s="32" t="str">
        <f>"－"</f>
        <v>－</v>
      </c>
      <c r="V144" s="32" t="n">
        <f>103344780</f>
        <v>1.0334478E8</v>
      </c>
      <c r="W144" s="32" t="str">
        <f>"－"</f>
        <v>－</v>
      </c>
      <c r="X144" s="36" t="n">
        <f>18</f>
        <v>18.0</v>
      </c>
    </row>
    <row r="145">
      <c r="A145" s="27" t="s">
        <v>42</v>
      </c>
      <c r="B145" s="27" t="s">
        <v>476</v>
      </c>
      <c r="C145" s="27" t="s">
        <v>477</v>
      </c>
      <c r="D145" s="27" t="s">
        <v>478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38700</f>
        <v>38700.0</v>
      </c>
      <c r="L145" s="34" t="s">
        <v>48</v>
      </c>
      <c r="M145" s="33" t="n">
        <f>41600</f>
        <v>41600.0</v>
      </c>
      <c r="N145" s="34" t="s">
        <v>49</v>
      </c>
      <c r="O145" s="33" t="n">
        <f>38700</f>
        <v>38700.0</v>
      </c>
      <c r="P145" s="34" t="s">
        <v>48</v>
      </c>
      <c r="Q145" s="33" t="n">
        <f>38900</f>
        <v>38900.0</v>
      </c>
      <c r="R145" s="34" t="s">
        <v>50</v>
      </c>
      <c r="S145" s="35" t="n">
        <f>40283.33</f>
        <v>40283.33</v>
      </c>
      <c r="T145" s="32" t="n">
        <f>925</f>
        <v>925.0</v>
      </c>
      <c r="U145" s="32" t="str">
        <f>"－"</f>
        <v>－</v>
      </c>
      <c r="V145" s="32" t="n">
        <f>37042100</f>
        <v>3.70421E7</v>
      </c>
      <c r="W145" s="32" t="str">
        <f>"－"</f>
        <v>－</v>
      </c>
      <c r="X145" s="36" t="n">
        <f>18</f>
        <v>18.0</v>
      </c>
    </row>
    <row r="146">
      <c r="A146" s="27" t="s">
        <v>42</v>
      </c>
      <c r="B146" s="27" t="s">
        <v>479</v>
      </c>
      <c r="C146" s="27" t="s">
        <v>480</v>
      </c>
      <c r="D146" s="27" t="s">
        <v>481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26480</f>
        <v>26480.0</v>
      </c>
      <c r="L146" s="34" t="s">
        <v>48</v>
      </c>
      <c r="M146" s="33" t="n">
        <f>29680</f>
        <v>29680.0</v>
      </c>
      <c r="N146" s="34" t="s">
        <v>49</v>
      </c>
      <c r="O146" s="33" t="n">
        <f>26430</f>
        <v>26430.0</v>
      </c>
      <c r="P146" s="34" t="s">
        <v>48</v>
      </c>
      <c r="Q146" s="33" t="n">
        <f>26780</f>
        <v>26780.0</v>
      </c>
      <c r="R146" s="34" t="s">
        <v>50</v>
      </c>
      <c r="S146" s="35" t="n">
        <f>28124.44</f>
        <v>28124.44</v>
      </c>
      <c r="T146" s="32" t="n">
        <f>5475</f>
        <v>5475.0</v>
      </c>
      <c r="U146" s="32" t="str">
        <f>"－"</f>
        <v>－</v>
      </c>
      <c r="V146" s="32" t="n">
        <f>153313800</f>
        <v>1.533138E8</v>
      </c>
      <c r="W146" s="32" t="str">
        <f>"－"</f>
        <v>－</v>
      </c>
      <c r="X146" s="36" t="n">
        <f>18</f>
        <v>18.0</v>
      </c>
    </row>
    <row r="147">
      <c r="A147" s="27" t="s">
        <v>42</v>
      </c>
      <c r="B147" s="27" t="s">
        <v>482</v>
      </c>
      <c r="C147" s="27" t="s">
        <v>483</v>
      </c>
      <c r="D147" s="27" t="s">
        <v>484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28450</f>
        <v>28450.0</v>
      </c>
      <c r="L147" s="34" t="s">
        <v>48</v>
      </c>
      <c r="M147" s="33" t="n">
        <f>31850</f>
        <v>31850.0</v>
      </c>
      <c r="N147" s="34" t="s">
        <v>49</v>
      </c>
      <c r="O147" s="33" t="n">
        <f>28450</f>
        <v>28450.0</v>
      </c>
      <c r="P147" s="34" t="s">
        <v>48</v>
      </c>
      <c r="Q147" s="33" t="n">
        <f>30350</f>
        <v>30350.0</v>
      </c>
      <c r="R147" s="34" t="s">
        <v>50</v>
      </c>
      <c r="S147" s="35" t="n">
        <f>30628.89</f>
        <v>30628.89</v>
      </c>
      <c r="T147" s="32" t="n">
        <f>4560</f>
        <v>4560.0</v>
      </c>
      <c r="U147" s="32" t="str">
        <f>"－"</f>
        <v>－</v>
      </c>
      <c r="V147" s="32" t="n">
        <f>140291440</f>
        <v>1.4029144E8</v>
      </c>
      <c r="W147" s="32" t="str">
        <f>"－"</f>
        <v>－</v>
      </c>
      <c r="X147" s="36" t="n">
        <f>18</f>
        <v>18.0</v>
      </c>
    </row>
    <row r="148">
      <c r="A148" s="27" t="s">
        <v>42</v>
      </c>
      <c r="B148" s="27" t="s">
        <v>485</v>
      </c>
      <c r="C148" s="27" t="s">
        <v>486</v>
      </c>
      <c r="D148" s="27" t="s">
        <v>487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6200</f>
        <v>6200.0</v>
      </c>
      <c r="L148" s="34" t="s">
        <v>48</v>
      </c>
      <c r="M148" s="33" t="n">
        <f>6510</f>
        <v>6510.0</v>
      </c>
      <c r="N148" s="34" t="s">
        <v>488</v>
      </c>
      <c r="O148" s="33" t="n">
        <f>6170</f>
        <v>6170.0</v>
      </c>
      <c r="P148" s="34" t="s">
        <v>50</v>
      </c>
      <c r="Q148" s="33" t="n">
        <f>6180</f>
        <v>6180.0</v>
      </c>
      <c r="R148" s="34" t="s">
        <v>50</v>
      </c>
      <c r="S148" s="35" t="n">
        <f>6340</f>
        <v>6340.0</v>
      </c>
      <c r="T148" s="32" t="n">
        <f>11284</f>
        <v>11284.0</v>
      </c>
      <c r="U148" s="32" t="str">
        <f>"－"</f>
        <v>－</v>
      </c>
      <c r="V148" s="32" t="n">
        <f>71507190</f>
        <v>7.150719E7</v>
      </c>
      <c r="W148" s="32" t="str">
        <f>"－"</f>
        <v>－</v>
      </c>
      <c r="X148" s="36" t="n">
        <f>18</f>
        <v>18.0</v>
      </c>
    </row>
    <row r="149">
      <c r="A149" s="27" t="s">
        <v>42</v>
      </c>
      <c r="B149" s="27" t="s">
        <v>489</v>
      </c>
      <c r="C149" s="27" t="s">
        <v>490</v>
      </c>
      <c r="D149" s="27" t="s">
        <v>491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13700</f>
        <v>13700.0</v>
      </c>
      <c r="L149" s="34" t="s">
        <v>48</v>
      </c>
      <c r="M149" s="33" t="n">
        <f>18000</f>
        <v>18000.0</v>
      </c>
      <c r="N149" s="34" t="s">
        <v>175</v>
      </c>
      <c r="O149" s="33" t="n">
        <f>13650</f>
        <v>13650.0</v>
      </c>
      <c r="P149" s="34" t="s">
        <v>48</v>
      </c>
      <c r="Q149" s="33" t="n">
        <f>15310</f>
        <v>15310.0</v>
      </c>
      <c r="R149" s="34" t="s">
        <v>50</v>
      </c>
      <c r="S149" s="35" t="n">
        <f>15361.11</f>
        <v>15361.11</v>
      </c>
      <c r="T149" s="32" t="n">
        <f>38150</f>
        <v>38150.0</v>
      </c>
      <c r="U149" s="32" t="n">
        <f>1</f>
        <v>1.0</v>
      </c>
      <c r="V149" s="32" t="n">
        <f>595219600</f>
        <v>5.952196E8</v>
      </c>
      <c r="W149" s="32" t="n">
        <f>13980</f>
        <v>13980.0</v>
      </c>
      <c r="X149" s="36" t="n">
        <f>18</f>
        <v>18.0</v>
      </c>
    </row>
    <row r="150">
      <c r="A150" s="27" t="s">
        <v>42</v>
      </c>
      <c r="B150" s="27" t="s">
        <v>492</v>
      </c>
      <c r="C150" s="27" t="s">
        <v>493</v>
      </c>
      <c r="D150" s="27" t="s">
        <v>494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34350</f>
        <v>34350.0</v>
      </c>
      <c r="L150" s="34" t="s">
        <v>48</v>
      </c>
      <c r="M150" s="33" t="n">
        <f>38100</f>
        <v>38100.0</v>
      </c>
      <c r="N150" s="34" t="s">
        <v>175</v>
      </c>
      <c r="O150" s="33" t="n">
        <f>34350</f>
        <v>34350.0</v>
      </c>
      <c r="P150" s="34" t="s">
        <v>48</v>
      </c>
      <c r="Q150" s="33" t="n">
        <f>36900</f>
        <v>36900.0</v>
      </c>
      <c r="R150" s="34" t="s">
        <v>50</v>
      </c>
      <c r="S150" s="35" t="n">
        <f>36491.67</f>
        <v>36491.67</v>
      </c>
      <c r="T150" s="32" t="n">
        <f>8141</f>
        <v>8141.0</v>
      </c>
      <c r="U150" s="32" t="str">
        <f>"－"</f>
        <v>－</v>
      </c>
      <c r="V150" s="32" t="n">
        <f>300991300</f>
        <v>3.009913E8</v>
      </c>
      <c r="W150" s="32" t="str">
        <f>"－"</f>
        <v>－</v>
      </c>
      <c r="X150" s="36" t="n">
        <f>18</f>
        <v>18.0</v>
      </c>
    </row>
    <row r="151">
      <c r="A151" s="27" t="s">
        <v>42</v>
      </c>
      <c r="B151" s="27" t="s">
        <v>495</v>
      </c>
      <c r="C151" s="27" t="s">
        <v>496</v>
      </c>
      <c r="D151" s="27" t="s">
        <v>497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22810</f>
        <v>22810.0</v>
      </c>
      <c r="L151" s="34" t="s">
        <v>98</v>
      </c>
      <c r="M151" s="33" t="n">
        <f>24420</f>
        <v>24420.0</v>
      </c>
      <c r="N151" s="34" t="s">
        <v>49</v>
      </c>
      <c r="O151" s="33" t="n">
        <f>22810</f>
        <v>22810.0</v>
      </c>
      <c r="P151" s="34" t="s">
        <v>98</v>
      </c>
      <c r="Q151" s="33" t="n">
        <f>23500</f>
        <v>23500.0</v>
      </c>
      <c r="R151" s="34" t="s">
        <v>50</v>
      </c>
      <c r="S151" s="35" t="n">
        <f>23849.41</f>
        <v>23849.41</v>
      </c>
      <c r="T151" s="32" t="n">
        <f>207</f>
        <v>207.0</v>
      </c>
      <c r="U151" s="32" t="str">
        <f>"－"</f>
        <v>－</v>
      </c>
      <c r="V151" s="32" t="n">
        <f>4868860</f>
        <v>4868860.0</v>
      </c>
      <c r="W151" s="32" t="str">
        <f>"－"</f>
        <v>－</v>
      </c>
      <c r="X151" s="36" t="n">
        <f>17</f>
        <v>17.0</v>
      </c>
    </row>
    <row r="152">
      <c r="A152" s="27" t="s">
        <v>42</v>
      </c>
      <c r="B152" s="27" t="s">
        <v>498</v>
      </c>
      <c r="C152" s="27" t="s">
        <v>499</v>
      </c>
      <c r="D152" s="27" t="s">
        <v>500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6540</f>
        <v>6540.0</v>
      </c>
      <c r="L152" s="34" t="s">
        <v>48</v>
      </c>
      <c r="M152" s="33" t="n">
        <f>7900</f>
        <v>7900.0</v>
      </c>
      <c r="N152" s="34" t="s">
        <v>49</v>
      </c>
      <c r="O152" s="33" t="n">
        <f>6540</f>
        <v>6540.0</v>
      </c>
      <c r="P152" s="34" t="s">
        <v>48</v>
      </c>
      <c r="Q152" s="33" t="n">
        <f>7430</f>
        <v>7430.0</v>
      </c>
      <c r="R152" s="34" t="s">
        <v>50</v>
      </c>
      <c r="S152" s="35" t="n">
        <f>7265</f>
        <v>7265.0</v>
      </c>
      <c r="T152" s="32" t="n">
        <f>44842</f>
        <v>44842.0</v>
      </c>
      <c r="U152" s="32" t="str">
        <f>"－"</f>
        <v>－</v>
      </c>
      <c r="V152" s="32" t="n">
        <f>328997660</f>
        <v>3.2899766E8</v>
      </c>
      <c r="W152" s="32" t="str">
        <f>"－"</f>
        <v>－</v>
      </c>
      <c r="X152" s="36" t="n">
        <f>18</f>
        <v>18.0</v>
      </c>
    </row>
    <row r="153">
      <c r="A153" s="27" t="s">
        <v>42</v>
      </c>
      <c r="B153" s="27" t="s">
        <v>501</v>
      </c>
      <c r="C153" s="27" t="s">
        <v>502</v>
      </c>
      <c r="D153" s="27" t="s">
        <v>503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11960</f>
        <v>11960.0</v>
      </c>
      <c r="L153" s="34" t="s">
        <v>48</v>
      </c>
      <c r="M153" s="33" t="n">
        <f>13200</f>
        <v>13200.0</v>
      </c>
      <c r="N153" s="34" t="s">
        <v>70</v>
      </c>
      <c r="O153" s="33" t="n">
        <f>11910</f>
        <v>11910.0</v>
      </c>
      <c r="P153" s="34" t="s">
        <v>98</v>
      </c>
      <c r="Q153" s="33" t="n">
        <f>12500</f>
        <v>12500.0</v>
      </c>
      <c r="R153" s="34" t="s">
        <v>50</v>
      </c>
      <c r="S153" s="35" t="n">
        <f>12673.89</f>
        <v>12673.89</v>
      </c>
      <c r="T153" s="32" t="n">
        <f>4064</f>
        <v>4064.0</v>
      </c>
      <c r="U153" s="32" t="str">
        <f>"－"</f>
        <v>－</v>
      </c>
      <c r="V153" s="32" t="n">
        <f>51561310</f>
        <v>5.156131E7</v>
      </c>
      <c r="W153" s="32" t="str">
        <f>"－"</f>
        <v>－</v>
      </c>
      <c r="X153" s="36" t="n">
        <f>18</f>
        <v>18.0</v>
      </c>
    </row>
    <row r="154">
      <c r="A154" s="27" t="s">
        <v>42</v>
      </c>
      <c r="B154" s="27" t="s">
        <v>504</v>
      </c>
      <c r="C154" s="27" t="s">
        <v>505</v>
      </c>
      <c r="D154" s="27" t="s">
        <v>506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26010</f>
        <v>26010.0</v>
      </c>
      <c r="L154" s="34" t="s">
        <v>48</v>
      </c>
      <c r="M154" s="33" t="n">
        <f>29690</f>
        <v>29690.0</v>
      </c>
      <c r="N154" s="34" t="s">
        <v>175</v>
      </c>
      <c r="O154" s="33" t="n">
        <f>26010</f>
        <v>26010.0</v>
      </c>
      <c r="P154" s="34" t="s">
        <v>48</v>
      </c>
      <c r="Q154" s="33" t="n">
        <f>28470</f>
        <v>28470.0</v>
      </c>
      <c r="R154" s="34" t="s">
        <v>50</v>
      </c>
      <c r="S154" s="35" t="n">
        <f>28281.11</f>
        <v>28281.11</v>
      </c>
      <c r="T154" s="32" t="n">
        <f>3686</f>
        <v>3686.0</v>
      </c>
      <c r="U154" s="32" t="str">
        <f>"－"</f>
        <v>－</v>
      </c>
      <c r="V154" s="32" t="n">
        <f>104274880</f>
        <v>1.0427488E8</v>
      </c>
      <c r="W154" s="32" t="str">
        <f>"－"</f>
        <v>－</v>
      </c>
      <c r="X154" s="36" t="n">
        <f>18</f>
        <v>18.0</v>
      </c>
    </row>
    <row r="155">
      <c r="A155" s="27" t="s">
        <v>42</v>
      </c>
      <c r="B155" s="27" t="s">
        <v>507</v>
      </c>
      <c r="C155" s="27" t="s">
        <v>508</v>
      </c>
      <c r="D155" s="27" t="s">
        <v>509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940</f>
        <v>940.0</v>
      </c>
      <c r="L155" s="34" t="s">
        <v>48</v>
      </c>
      <c r="M155" s="33" t="n">
        <f>1030</f>
        <v>1030.0</v>
      </c>
      <c r="N155" s="34" t="s">
        <v>60</v>
      </c>
      <c r="O155" s="33" t="n">
        <f>929</f>
        <v>929.0</v>
      </c>
      <c r="P155" s="34" t="s">
        <v>48</v>
      </c>
      <c r="Q155" s="33" t="n">
        <f>1002</f>
        <v>1002.0</v>
      </c>
      <c r="R155" s="34" t="s">
        <v>50</v>
      </c>
      <c r="S155" s="35" t="n">
        <f>993.22</f>
        <v>993.22</v>
      </c>
      <c r="T155" s="32" t="n">
        <f>146430</f>
        <v>146430.0</v>
      </c>
      <c r="U155" s="32" t="str">
        <f>"－"</f>
        <v>－</v>
      </c>
      <c r="V155" s="32" t="n">
        <f>145702920</f>
        <v>1.4570292E8</v>
      </c>
      <c r="W155" s="32" t="str">
        <f>"－"</f>
        <v>－</v>
      </c>
      <c r="X155" s="36" t="n">
        <f>18</f>
        <v>18.0</v>
      </c>
    </row>
    <row r="156">
      <c r="A156" s="27" t="s">
        <v>42</v>
      </c>
      <c r="B156" s="27" t="s">
        <v>510</v>
      </c>
      <c r="C156" s="27" t="s">
        <v>511</v>
      </c>
      <c r="D156" s="27" t="s">
        <v>512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2262</f>
        <v>2262.0</v>
      </c>
      <c r="L156" s="34" t="s">
        <v>48</v>
      </c>
      <c r="M156" s="33" t="n">
        <f>2436</f>
        <v>2436.0</v>
      </c>
      <c r="N156" s="34" t="s">
        <v>49</v>
      </c>
      <c r="O156" s="33" t="n">
        <f>2262</f>
        <v>2262.0</v>
      </c>
      <c r="P156" s="34" t="s">
        <v>48</v>
      </c>
      <c r="Q156" s="33" t="n">
        <f>2330</f>
        <v>2330.0</v>
      </c>
      <c r="R156" s="34" t="s">
        <v>50</v>
      </c>
      <c r="S156" s="35" t="n">
        <f>2360.65</f>
        <v>2360.65</v>
      </c>
      <c r="T156" s="32" t="n">
        <f>12650</f>
        <v>12650.0</v>
      </c>
      <c r="U156" s="32" t="str">
        <f>"－"</f>
        <v>－</v>
      </c>
      <c r="V156" s="32" t="n">
        <f>29939690</f>
        <v>2.993969E7</v>
      </c>
      <c r="W156" s="32" t="str">
        <f>"－"</f>
        <v>－</v>
      </c>
      <c r="X156" s="36" t="n">
        <f>17</f>
        <v>17.0</v>
      </c>
    </row>
    <row r="157">
      <c r="A157" s="27" t="s">
        <v>42</v>
      </c>
      <c r="B157" s="27" t="s">
        <v>513</v>
      </c>
      <c r="C157" s="27" t="s">
        <v>514</v>
      </c>
      <c r="D157" s="27" t="s">
        <v>515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2297</f>
        <v>2297.0</v>
      </c>
      <c r="L157" s="34" t="s">
        <v>48</v>
      </c>
      <c r="M157" s="33" t="n">
        <f>2518</f>
        <v>2518.0</v>
      </c>
      <c r="N157" s="34" t="s">
        <v>49</v>
      </c>
      <c r="O157" s="33" t="n">
        <f>2297</f>
        <v>2297.0</v>
      </c>
      <c r="P157" s="34" t="s">
        <v>48</v>
      </c>
      <c r="Q157" s="33" t="n">
        <f>2365</f>
        <v>2365.0</v>
      </c>
      <c r="R157" s="34" t="s">
        <v>50</v>
      </c>
      <c r="S157" s="35" t="n">
        <f>2433.89</f>
        <v>2433.89</v>
      </c>
      <c r="T157" s="32" t="n">
        <f>125230</f>
        <v>125230.0</v>
      </c>
      <c r="U157" s="32" t="n">
        <f>81700</f>
        <v>81700.0</v>
      </c>
      <c r="V157" s="32" t="n">
        <f>305025105</f>
        <v>3.05025105E8</v>
      </c>
      <c r="W157" s="32" t="n">
        <f>200003205</f>
        <v>2.00003205E8</v>
      </c>
      <c r="X157" s="36" t="n">
        <f>18</f>
        <v>18.0</v>
      </c>
    </row>
    <row r="158">
      <c r="A158" s="27" t="s">
        <v>42</v>
      </c>
      <c r="B158" s="27" t="s">
        <v>516</v>
      </c>
      <c r="C158" s="27" t="s">
        <v>517</v>
      </c>
      <c r="D158" s="27" t="s">
        <v>518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1404</f>
        <v>1404.0</v>
      </c>
      <c r="L158" s="34" t="s">
        <v>115</v>
      </c>
      <c r="M158" s="33" t="n">
        <f>1493</f>
        <v>1493.0</v>
      </c>
      <c r="N158" s="34" t="s">
        <v>49</v>
      </c>
      <c r="O158" s="33" t="n">
        <f>1404</f>
        <v>1404.0</v>
      </c>
      <c r="P158" s="34" t="s">
        <v>115</v>
      </c>
      <c r="Q158" s="33" t="n">
        <f>1441</f>
        <v>1441.0</v>
      </c>
      <c r="R158" s="34" t="s">
        <v>50</v>
      </c>
      <c r="S158" s="35" t="n">
        <f>1458.5</f>
        <v>1458.5</v>
      </c>
      <c r="T158" s="32" t="n">
        <f>1130</f>
        <v>1130.0</v>
      </c>
      <c r="U158" s="32" t="str">
        <f>"－"</f>
        <v>－</v>
      </c>
      <c r="V158" s="32" t="n">
        <f>1654170</f>
        <v>1654170.0</v>
      </c>
      <c r="W158" s="32" t="str">
        <f>"－"</f>
        <v>－</v>
      </c>
      <c r="X158" s="36" t="n">
        <f>10</f>
        <v>10.0</v>
      </c>
    </row>
    <row r="159">
      <c r="A159" s="27" t="s">
        <v>42</v>
      </c>
      <c r="B159" s="27" t="s">
        <v>519</v>
      </c>
      <c r="C159" s="27" t="s">
        <v>520</v>
      </c>
      <c r="D159" s="27" t="s">
        <v>521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2767</f>
        <v>2767.0</v>
      </c>
      <c r="L159" s="34" t="s">
        <v>48</v>
      </c>
      <c r="M159" s="33" t="n">
        <f>2990</f>
        <v>2990.0</v>
      </c>
      <c r="N159" s="34" t="s">
        <v>49</v>
      </c>
      <c r="O159" s="33" t="n">
        <f>2767</f>
        <v>2767.0</v>
      </c>
      <c r="P159" s="34" t="s">
        <v>48</v>
      </c>
      <c r="Q159" s="33" t="n">
        <f>2892</f>
        <v>2892.0</v>
      </c>
      <c r="R159" s="34" t="s">
        <v>50</v>
      </c>
      <c r="S159" s="35" t="n">
        <f>2926.06</f>
        <v>2926.06</v>
      </c>
      <c r="T159" s="32" t="n">
        <f>2178563</f>
        <v>2178563.0</v>
      </c>
      <c r="U159" s="32" t="n">
        <f>69019</f>
        <v>69019.0</v>
      </c>
      <c r="V159" s="32" t="n">
        <f>6345697376</f>
        <v>6.345697376E9</v>
      </c>
      <c r="W159" s="32" t="n">
        <f>199459555</f>
        <v>1.99459555E8</v>
      </c>
      <c r="X159" s="36" t="n">
        <f>18</f>
        <v>18.0</v>
      </c>
    </row>
    <row r="160">
      <c r="A160" s="27" t="s">
        <v>42</v>
      </c>
      <c r="B160" s="27" t="s">
        <v>522</v>
      </c>
      <c r="C160" s="27" t="s">
        <v>523</v>
      </c>
      <c r="D160" s="27" t="s">
        <v>524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2572</f>
        <v>2572.0</v>
      </c>
      <c r="L160" s="34" t="s">
        <v>48</v>
      </c>
      <c r="M160" s="33" t="n">
        <f>2580</f>
        <v>2580.0</v>
      </c>
      <c r="N160" s="34" t="s">
        <v>119</v>
      </c>
      <c r="O160" s="33" t="n">
        <f>2518</f>
        <v>2518.0</v>
      </c>
      <c r="P160" s="34" t="s">
        <v>50</v>
      </c>
      <c r="Q160" s="33" t="n">
        <f>2528</f>
        <v>2528.0</v>
      </c>
      <c r="R160" s="34" t="s">
        <v>50</v>
      </c>
      <c r="S160" s="35" t="n">
        <f>2558.39</f>
        <v>2558.39</v>
      </c>
      <c r="T160" s="32" t="n">
        <f>797064</f>
        <v>797064.0</v>
      </c>
      <c r="U160" s="32" t="n">
        <f>434094</f>
        <v>434094.0</v>
      </c>
      <c r="V160" s="32" t="n">
        <f>2029726589</f>
        <v>2.029726589E9</v>
      </c>
      <c r="W160" s="32" t="n">
        <f>1102355935</f>
        <v>1.102355935E9</v>
      </c>
      <c r="X160" s="36" t="n">
        <f>18</f>
        <v>18.0</v>
      </c>
    </row>
    <row r="161">
      <c r="A161" s="27" t="s">
        <v>42</v>
      </c>
      <c r="B161" s="27" t="s">
        <v>525</v>
      </c>
      <c r="C161" s="27" t="s">
        <v>526</v>
      </c>
      <c r="D161" s="27" t="s">
        <v>527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2495</f>
        <v>2495.0</v>
      </c>
      <c r="L161" s="34" t="s">
        <v>48</v>
      </c>
      <c r="M161" s="33" t="n">
        <f>2689</f>
        <v>2689.0</v>
      </c>
      <c r="N161" s="34" t="s">
        <v>49</v>
      </c>
      <c r="O161" s="33" t="n">
        <f>2489</f>
        <v>2489.0</v>
      </c>
      <c r="P161" s="34" t="s">
        <v>48</v>
      </c>
      <c r="Q161" s="33" t="n">
        <f>2606</f>
        <v>2606.0</v>
      </c>
      <c r="R161" s="34" t="s">
        <v>50</v>
      </c>
      <c r="S161" s="35" t="n">
        <f>2626.67</f>
        <v>2626.67</v>
      </c>
      <c r="T161" s="32" t="n">
        <f>83575</f>
        <v>83575.0</v>
      </c>
      <c r="U161" s="32" t="str">
        <f>"－"</f>
        <v>－</v>
      </c>
      <c r="V161" s="32" t="n">
        <f>219172282</f>
        <v>2.19172282E8</v>
      </c>
      <c r="W161" s="32" t="str">
        <f>"－"</f>
        <v>－</v>
      </c>
      <c r="X161" s="36" t="n">
        <f>18</f>
        <v>18.0</v>
      </c>
    </row>
    <row r="162">
      <c r="A162" s="27" t="s">
        <v>42</v>
      </c>
      <c r="B162" s="27" t="s">
        <v>528</v>
      </c>
      <c r="C162" s="27" t="s">
        <v>529</v>
      </c>
      <c r="D162" s="27" t="s">
        <v>530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2236</f>
        <v>2236.0</v>
      </c>
      <c r="L162" s="34" t="s">
        <v>48</v>
      </c>
      <c r="M162" s="33" t="n">
        <f>2484</f>
        <v>2484.0</v>
      </c>
      <c r="N162" s="34" t="s">
        <v>49</v>
      </c>
      <c r="O162" s="33" t="n">
        <f>2208</f>
        <v>2208.0</v>
      </c>
      <c r="P162" s="34" t="s">
        <v>48</v>
      </c>
      <c r="Q162" s="33" t="n">
        <f>2299</f>
        <v>2299.0</v>
      </c>
      <c r="R162" s="34" t="s">
        <v>50</v>
      </c>
      <c r="S162" s="35" t="n">
        <f>2388.06</f>
        <v>2388.06</v>
      </c>
      <c r="T162" s="32" t="n">
        <f>133140</f>
        <v>133140.0</v>
      </c>
      <c r="U162" s="32" t="str">
        <f>"－"</f>
        <v>－</v>
      </c>
      <c r="V162" s="32" t="n">
        <f>318322333</f>
        <v>3.18322333E8</v>
      </c>
      <c r="W162" s="32" t="str">
        <f>"－"</f>
        <v>－</v>
      </c>
      <c r="X162" s="36" t="n">
        <f>18</f>
        <v>18.0</v>
      </c>
    </row>
    <row r="163">
      <c r="A163" s="27" t="s">
        <v>42</v>
      </c>
      <c r="B163" s="27" t="s">
        <v>531</v>
      </c>
      <c r="C163" s="27" t="s">
        <v>532</v>
      </c>
      <c r="D163" s="27" t="s">
        <v>533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1891</f>
        <v>1891.0</v>
      </c>
      <c r="L163" s="34" t="s">
        <v>48</v>
      </c>
      <c r="M163" s="33" t="n">
        <f>2068</f>
        <v>2068.0</v>
      </c>
      <c r="N163" s="34" t="s">
        <v>175</v>
      </c>
      <c r="O163" s="33" t="n">
        <f>1889</f>
        <v>1889.0</v>
      </c>
      <c r="P163" s="34" t="s">
        <v>48</v>
      </c>
      <c r="Q163" s="33" t="n">
        <f>2011</f>
        <v>2011.0</v>
      </c>
      <c r="R163" s="34" t="s">
        <v>50</v>
      </c>
      <c r="S163" s="35" t="n">
        <f>1986.83</f>
        <v>1986.83</v>
      </c>
      <c r="T163" s="32" t="n">
        <f>510652</f>
        <v>510652.0</v>
      </c>
      <c r="U163" s="32" t="n">
        <f>22</f>
        <v>22.0</v>
      </c>
      <c r="V163" s="32" t="n">
        <f>1014430480</f>
        <v>1.01443048E9</v>
      </c>
      <c r="W163" s="32" t="n">
        <f>43516</f>
        <v>43516.0</v>
      </c>
      <c r="X163" s="36" t="n">
        <f>18</f>
        <v>18.0</v>
      </c>
    </row>
    <row r="164">
      <c r="A164" s="27" t="s">
        <v>42</v>
      </c>
      <c r="B164" s="27" t="s">
        <v>534</v>
      </c>
      <c r="C164" s="27" t="s">
        <v>535</v>
      </c>
      <c r="D164" s="27" t="s">
        <v>536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10260</f>
        <v>10260.0</v>
      </c>
      <c r="L164" s="34" t="s">
        <v>48</v>
      </c>
      <c r="M164" s="33" t="n">
        <f>11440</f>
        <v>11440.0</v>
      </c>
      <c r="N164" s="34" t="s">
        <v>70</v>
      </c>
      <c r="O164" s="33" t="n">
        <f>10200</f>
        <v>10200.0</v>
      </c>
      <c r="P164" s="34" t="s">
        <v>115</v>
      </c>
      <c r="Q164" s="33" t="n">
        <f>11140</f>
        <v>11140.0</v>
      </c>
      <c r="R164" s="34" t="s">
        <v>50</v>
      </c>
      <c r="S164" s="35" t="n">
        <f>10831.67</f>
        <v>10831.67</v>
      </c>
      <c r="T164" s="32" t="n">
        <f>19879</f>
        <v>19879.0</v>
      </c>
      <c r="U164" s="32" t="str">
        <f>"－"</f>
        <v>－</v>
      </c>
      <c r="V164" s="32" t="n">
        <f>216210040</f>
        <v>2.1621004E8</v>
      </c>
      <c r="W164" s="32" t="str">
        <f>"－"</f>
        <v>－</v>
      </c>
      <c r="X164" s="36" t="n">
        <f>18</f>
        <v>18.0</v>
      </c>
    </row>
    <row r="165">
      <c r="A165" s="27" t="s">
        <v>42</v>
      </c>
      <c r="B165" s="27" t="s">
        <v>537</v>
      </c>
      <c r="C165" s="27" t="s">
        <v>538</v>
      </c>
      <c r="D165" s="27" t="s">
        <v>539</v>
      </c>
      <c r="E165" s="28" t="s">
        <v>46</v>
      </c>
      <c r="F165" s="29" t="s">
        <v>46</v>
      </c>
      <c r="G165" s="30" t="s">
        <v>46</v>
      </c>
      <c r="H165" s="31" t="s">
        <v>406</v>
      </c>
      <c r="I165" s="31" t="s">
        <v>47</v>
      </c>
      <c r="J165" s="32" t="n">
        <v>100.0</v>
      </c>
      <c r="K165" s="33" t="n">
        <f>121</f>
        <v>121.0</v>
      </c>
      <c r="L165" s="34" t="s">
        <v>48</v>
      </c>
      <c r="M165" s="33" t="n">
        <f>132</f>
        <v>132.0</v>
      </c>
      <c r="N165" s="34" t="s">
        <v>175</v>
      </c>
      <c r="O165" s="33" t="n">
        <f>121</f>
        <v>121.0</v>
      </c>
      <c r="P165" s="34" t="s">
        <v>48</v>
      </c>
      <c r="Q165" s="33" t="n">
        <f>125</f>
        <v>125.0</v>
      </c>
      <c r="R165" s="34" t="s">
        <v>50</v>
      </c>
      <c r="S165" s="35" t="n">
        <f>126.44</f>
        <v>126.44</v>
      </c>
      <c r="T165" s="32" t="n">
        <f>95100</f>
        <v>95100.0</v>
      </c>
      <c r="U165" s="32" t="str">
        <f>"－"</f>
        <v>－</v>
      </c>
      <c r="V165" s="32" t="n">
        <f>12037600</f>
        <v>1.20376E7</v>
      </c>
      <c r="W165" s="32" t="str">
        <f>"－"</f>
        <v>－</v>
      </c>
      <c r="X165" s="36" t="n">
        <f>18</f>
        <v>18.0</v>
      </c>
    </row>
    <row r="166">
      <c r="A166" s="27" t="s">
        <v>42</v>
      </c>
      <c r="B166" s="27" t="s">
        <v>540</v>
      </c>
      <c r="C166" s="27" t="s">
        <v>541</v>
      </c>
      <c r="D166" s="27" t="s">
        <v>542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1036</f>
        <v>1036.0</v>
      </c>
      <c r="L166" s="34" t="s">
        <v>48</v>
      </c>
      <c r="M166" s="33" t="n">
        <f>1285</f>
        <v>1285.0</v>
      </c>
      <c r="N166" s="34" t="s">
        <v>50</v>
      </c>
      <c r="O166" s="33" t="n">
        <f>1034</f>
        <v>1034.0</v>
      </c>
      <c r="P166" s="34" t="s">
        <v>48</v>
      </c>
      <c r="Q166" s="33" t="n">
        <f>1265</f>
        <v>1265.0</v>
      </c>
      <c r="R166" s="34" t="s">
        <v>50</v>
      </c>
      <c r="S166" s="35" t="n">
        <f>1176.67</f>
        <v>1176.67</v>
      </c>
      <c r="T166" s="32" t="n">
        <f>43542662</f>
        <v>4.3542662E7</v>
      </c>
      <c r="U166" s="32" t="n">
        <f>17599</f>
        <v>17599.0</v>
      </c>
      <c r="V166" s="32" t="n">
        <f>51318171492</f>
        <v>5.1318171492E10</v>
      </c>
      <c r="W166" s="32" t="n">
        <f>19441154</f>
        <v>1.9441154E7</v>
      </c>
      <c r="X166" s="36" t="n">
        <f>18</f>
        <v>18.0</v>
      </c>
    </row>
    <row r="167">
      <c r="A167" s="27" t="s">
        <v>42</v>
      </c>
      <c r="B167" s="27" t="s">
        <v>543</v>
      </c>
      <c r="C167" s="27" t="s">
        <v>544</v>
      </c>
      <c r="D167" s="27" t="s">
        <v>545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18400</f>
        <v>18400.0</v>
      </c>
      <c r="L167" s="34" t="s">
        <v>48</v>
      </c>
      <c r="M167" s="33" t="n">
        <f>18540</f>
        <v>18540.0</v>
      </c>
      <c r="N167" s="34" t="s">
        <v>98</v>
      </c>
      <c r="O167" s="33" t="n">
        <f>17810</f>
        <v>17810.0</v>
      </c>
      <c r="P167" s="34" t="s">
        <v>99</v>
      </c>
      <c r="Q167" s="33" t="n">
        <f>18140</f>
        <v>18140.0</v>
      </c>
      <c r="R167" s="34" t="s">
        <v>50</v>
      </c>
      <c r="S167" s="35" t="n">
        <f>18193.33</f>
        <v>18193.33</v>
      </c>
      <c r="T167" s="32" t="n">
        <f>8951</f>
        <v>8951.0</v>
      </c>
      <c r="U167" s="32" t="str">
        <f>"－"</f>
        <v>－</v>
      </c>
      <c r="V167" s="32" t="n">
        <f>162326820</f>
        <v>1.6232682E8</v>
      </c>
      <c r="W167" s="32" t="str">
        <f>"－"</f>
        <v>－</v>
      </c>
      <c r="X167" s="36" t="n">
        <f>18</f>
        <v>18.0</v>
      </c>
    </row>
    <row r="168">
      <c r="A168" s="27" t="s">
        <v>42</v>
      </c>
      <c r="B168" s="27" t="s">
        <v>546</v>
      </c>
      <c r="C168" s="27" t="s">
        <v>547</v>
      </c>
      <c r="D168" s="27" t="s">
        <v>548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2809</f>
        <v>2809.0</v>
      </c>
      <c r="L168" s="34" t="s">
        <v>48</v>
      </c>
      <c r="M168" s="33" t="n">
        <f>2838</f>
        <v>2838.0</v>
      </c>
      <c r="N168" s="34" t="s">
        <v>70</v>
      </c>
      <c r="O168" s="33" t="n">
        <f>2580</f>
        <v>2580.0</v>
      </c>
      <c r="P168" s="34" t="s">
        <v>549</v>
      </c>
      <c r="Q168" s="33" t="n">
        <f>2795</f>
        <v>2795.0</v>
      </c>
      <c r="R168" s="34" t="s">
        <v>50</v>
      </c>
      <c r="S168" s="35" t="n">
        <f>2716.22</f>
        <v>2716.22</v>
      </c>
      <c r="T168" s="32" t="n">
        <f>138270</f>
        <v>138270.0</v>
      </c>
      <c r="U168" s="32" t="n">
        <f>100</f>
        <v>100.0</v>
      </c>
      <c r="V168" s="32" t="n">
        <f>379631280</f>
        <v>3.7963128E8</v>
      </c>
      <c r="W168" s="32" t="n">
        <f>263600</f>
        <v>263600.0</v>
      </c>
      <c r="X168" s="36" t="n">
        <f>18</f>
        <v>18.0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10560</f>
        <v>10560.0</v>
      </c>
      <c r="L169" s="34" t="s">
        <v>48</v>
      </c>
      <c r="M169" s="33" t="n">
        <f>13200</f>
        <v>13200.0</v>
      </c>
      <c r="N169" s="34" t="s">
        <v>49</v>
      </c>
      <c r="O169" s="33" t="n">
        <f>10560</f>
        <v>10560.0</v>
      </c>
      <c r="P169" s="34" t="s">
        <v>48</v>
      </c>
      <c r="Q169" s="33" t="n">
        <f>12000</f>
        <v>12000.0</v>
      </c>
      <c r="R169" s="34" t="s">
        <v>50</v>
      </c>
      <c r="S169" s="35" t="n">
        <f>11868.89</f>
        <v>11868.89</v>
      </c>
      <c r="T169" s="32" t="n">
        <f>19534</f>
        <v>19534.0</v>
      </c>
      <c r="U169" s="32" t="str">
        <f>"－"</f>
        <v>－</v>
      </c>
      <c r="V169" s="32" t="n">
        <f>236314920</f>
        <v>2.3631492E8</v>
      </c>
      <c r="W169" s="32" t="str">
        <f>"－"</f>
        <v>－</v>
      </c>
      <c r="X169" s="36" t="n">
        <f>18</f>
        <v>18.0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22660</f>
        <v>22660.0</v>
      </c>
      <c r="L170" s="34" t="s">
        <v>48</v>
      </c>
      <c r="M170" s="33" t="n">
        <f>24490</f>
        <v>24490.0</v>
      </c>
      <c r="N170" s="34" t="s">
        <v>74</v>
      </c>
      <c r="O170" s="33" t="n">
        <f>22150</f>
        <v>22150.0</v>
      </c>
      <c r="P170" s="34" t="s">
        <v>48</v>
      </c>
      <c r="Q170" s="33" t="n">
        <f>23850</f>
        <v>23850.0</v>
      </c>
      <c r="R170" s="34" t="s">
        <v>50</v>
      </c>
      <c r="S170" s="35" t="n">
        <f>23310</f>
        <v>23310.0</v>
      </c>
      <c r="T170" s="32" t="n">
        <f>932</f>
        <v>932.0</v>
      </c>
      <c r="U170" s="32" t="str">
        <f>"－"</f>
        <v>－</v>
      </c>
      <c r="V170" s="32" t="n">
        <f>21585130</f>
        <v>2.158513E7</v>
      </c>
      <c r="W170" s="32" t="str">
        <f>"－"</f>
        <v>－</v>
      </c>
      <c r="X170" s="36" t="n">
        <f>18</f>
        <v>18.0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17200</f>
        <v>17200.0</v>
      </c>
      <c r="L171" s="34" t="s">
        <v>98</v>
      </c>
      <c r="M171" s="33" t="n">
        <f>17590</f>
        <v>17590.0</v>
      </c>
      <c r="N171" s="34" t="s">
        <v>74</v>
      </c>
      <c r="O171" s="33" t="n">
        <f>15920</f>
        <v>15920.0</v>
      </c>
      <c r="P171" s="34" t="s">
        <v>115</v>
      </c>
      <c r="Q171" s="33" t="n">
        <f>16510</f>
        <v>16510.0</v>
      </c>
      <c r="R171" s="34" t="s">
        <v>50</v>
      </c>
      <c r="S171" s="35" t="n">
        <f>17145</f>
        <v>17145.0</v>
      </c>
      <c r="T171" s="32" t="n">
        <f>87</f>
        <v>87.0</v>
      </c>
      <c r="U171" s="32" t="str">
        <f>"－"</f>
        <v>－</v>
      </c>
      <c r="V171" s="32" t="n">
        <f>1482460</f>
        <v>1482460.0</v>
      </c>
      <c r="W171" s="32" t="str">
        <f>"－"</f>
        <v>－</v>
      </c>
      <c r="X171" s="36" t="n">
        <f>10</f>
        <v>10.0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51200</f>
        <v>51200.0</v>
      </c>
      <c r="L172" s="34" t="s">
        <v>48</v>
      </c>
      <c r="M172" s="33" t="n">
        <f>51500</f>
        <v>51500.0</v>
      </c>
      <c r="N172" s="34" t="s">
        <v>49</v>
      </c>
      <c r="O172" s="33" t="n">
        <f>50600</f>
        <v>50600.0</v>
      </c>
      <c r="P172" s="34" t="s">
        <v>50</v>
      </c>
      <c r="Q172" s="33" t="n">
        <f>50700</f>
        <v>50700.0</v>
      </c>
      <c r="R172" s="34" t="s">
        <v>50</v>
      </c>
      <c r="S172" s="35" t="n">
        <f>51111.11</f>
        <v>51111.11</v>
      </c>
      <c r="T172" s="32" t="n">
        <f>7090</f>
        <v>7090.0</v>
      </c>
      <c r="U172" s="32" t="str">
        <f>"－"</f>
        <v>－</v>
      </c>
      <c r="V172" s="32" t="n">
        <f>362500000</f>
        <v>3.625E8</v>
      </c>
      <c r="W172" s="32" t="str">
        <f>"－"</f>
        <v>－</v>
      </c>
      <c r="X172" s="36" t="n">
        <f>18</f>
        <v>18.0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175</f>
        <v>175.0</v>
      </c>
      <c r="L173" s="34" t="s">
        <v>48</v>
      </c>
      <c r="M173" s="33" t="n">
        <f>201</f>
        <v>201.0</v>
      </c>
      <c r="N173" s="34" t="s">
        <v>49</v>
      </c>
      <c r="O173" s="33" t="n">
        <f>175</f>
        <v>175.0</v>
      </c>
      <c r="P173" s="34" t="s">
        <v>48</v>
      </c>
      <c r="Q173" s="33" t="n">
        <f>190</f>
        <v>190.0</v>
      </c>
      <c r="R173" s="34" t="s">
        <v>50</v>
      </c>
      <c r="S173" s="35" t="n">
        <f>193.83</f>
        <v>193.83</v>
      </c>
      <c r="T173" s="32" t="n">
        <f>13197000</f>
        <v>1.3197E7</v>
      </c>
      <c r="U173" s="32" t="n">
        <f>36200</f>
        <v>36200.0</v>
      </c>
      <c r="V173" s="32" t="n">
        <f>2547600100</f>
        <v>2.5476001E9</v>
      </c>
      <c r="W173" s="32" t="n">
        <f>7019100</f>
        <v>7019100.0</v>
      </c>
      <c r="X173" s="36" t="n">
        <f>18</f>
        <v>18.0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27510</f>
        <v>27510.0</v>
      </c>
      <c r="L174" s="34" t="s">
        <v>48</v>
      </c>
      <c r="M174" s="33" t="n">
        <f>29960</f>
        <v>29960.0</v>
      </c>
      <c r="N174" s="34" t="s">
        <v>175</v>
      </c>
      <c r="O174" s="33" t="n">
        <f>27510</f>
        <v>27510.0</v>
      </c>
      <c r="P174" s="34" t="s">
        <v>48</v>
      </c>
      <c r="Q174" s="33" t="n">
        <f>29200</f>
        <v>29200.0</v>
      </c>
      <c r="R174" s="34" t="s">
        <v>50</v>
      </c>
      <c r="S174" s="35" t="n">
        <f>29002.22</f>
        <v>29002.22</v>
      </c>
      <c r="T174" s="32" t="n">
        <f>5740</f>
        <v>5740.0</v>
      </c>
      <c r="U174" s="32" t="str">
        <f>"－"</f>
        <v>－</v>
      </c>
      <c r="V174" s="32" t="n">
        <f>166715600</f>
        <v>1.667156E8</v>
      </c>
      <c r="W174" s="32" t="str">
        <f>"－"</f>
        <v>－</v>
      </c>
      <c r="X174" s="36" t="n">
        <f>18</f>
        <v>18.0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2856</f>
        <v>2856.0</v>
      </c>
      <c r="L175" s="34" t="s">
        <v>48</v>
      </c>
      <c r="M175" s="33" t="n">
        <f>3100</f>
        <v>3100.0</v>
      </c>
      <c r="N175" s="34" t="s">
        <v>49</v>
      </c>
      <c r="O175" s="33" t="n">
        <f>2852</f>
        <v>2852.0</v>
      </c>
      <c r="P175" s="34" t="s">
        <v>48</v>
      </c>
      <c r="Q175" s="33" t="n">
        <f>3000</f>
        <v>3000.0</v>
      </c>
      <c r="R175" s="34" t="s">
        <v>50</v>
      </c>
      <c r="S175" s="35" t="n">
        <f>3021.78</f>
        <v>3021.78</v>
      </c>
      <c r="T175" s="32" t="n">
        <f>78680</f>
        <v>78680.0</v>
      </c>
      <c r="U175" s="32" t="str">
        <f>"－"</f>
        <v>－</v>
      </c>
      <c r="V175" s="32" t="n">
        <f>237910710</f>
        <v>2.3791071E8</v>
      </c>
      <c r="W175" s="32" t="str">
        <f>"－"</f>
        <v>－</v>
      </c>
      <c r="X175" s="36" t="n">
        <f>18</f>
        <v>18.0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1724</f>
        <v>1724.0</v>
      </c>
      <c r="L176" s="34" t="s">
        <v>48</v>
      </c>
      <c r="M176" s="33" t="n">
        <f>1930</f>
        <v>1930.0</v>
      </c>
      <c r="N176" s="34" t="s">
        <v>49</v>
      </c>
      <c r="O176" s="33" t="n">
        <f>1717</f>
        <v>1717.0</v>
      </c>
      <c r="P176" s="34" t="s">
        <v>48</v>
      </c>
      <c r="Q176" s="33" t="n">
        <f>1784</f>
        <v>1784.0</v>
      </c>
      <c r="R176" s="34" t="s">
        <v>50</v>
      </c>
      <c r="S176" s="35" t="n">
        <f>1851.78</f>
        <v>1851.78</v>
      </c>
      <c r="T176" s="32" t="n">
        <f>271520</f>
        <v>271520.0</v>
      </c>
      <c r="U176" s="32" t="str">
        <f>"－"</f>
        <v>－</v>
      </c>
      <c r="V176" s="32" t="n">
        <f>504720860</f>
        <v>5.0472086E8</v>
      </c>
      <c r="W176" s="32" t="str">
        <f>"－"</f>
        <v>－</v>
      </c>
      <c r="X176" s="36" t="n">
        <f>18</f>
        <v>18.0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192</f>
        <v>192.0</v>
      </c>
      <c r="L177" s="34" t="s">
        <v>48</v>
      </c>
      <c r="M177" s="33" t="n">
        <f>246</f>
        <v>246.0</v>
      </c>
      <c r="N177" s="34" t="s">
        <v>49</v>
      </c>
      <c r="O177" s="33" t="n">
        <f>191</f>
        <v>191.0</v>
      </c>
      <c r="P177" s="34" t="s">
        <v>48</v>
      </c>
      <c r="Q177" s="33" t="n">
        <f>224</f>
        <v>224.0</v>
      </c>
      <c r="R177" s="34" t="s">
        <v>50</v>
      </c>
      <c r="S177" s="35" t="n">
        <f>215.67</f>
        <v>215.67</v>
      </c>
      <c r="T177" s="32" t="n">
        <f>1328400</f>
        <v>1328400.0</v>
      </c>
      <c r="U177" s="32" t="str">
        <f>"－"</f>
        <v>－</v>
      </c>
      <c r="V177" s="32" t="n">
        <f>293461600</f>
        <v>2.934616E8</v>
      </c>
      <c r="W177" s="32" t="str">
        <f>"－"</f>
        <v>－</v>
      </c>
      <c r="X177" s="36" t="n">
        <f>18</f>
        <v>18.0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884</f>
        <v>884.0</v>
      </c>
      <c r="L178" s="34" t="s">
        <v>115</v>
      </c>
      <c r="M178" s="33" t="n">
        <f>990</f>
        <v>990.0</v>
      </c>
      <c r="N178" s="34" t="s">
        <v>175</v>
      </c>
      <c r="O178" s="33" t="n">
        <f>884</f>
        <v>884.0</v>
      </c>
      <c r="P178" s="34" t="s">
        <v>115</v>
      </c>
      <c r="Q178" s="33" t="n">
        <f>979</f>
        <v>979.0</v>
      </c>
      <c r="R178" s="34" t="s">
        <v>50</v>
      </c>
      <c r="S178" s="35" t="n">
        <f>940.7</f>
        <v>940.7</v>
      </c>
      <c r="T178" s="32" t="n">
        <f>1500</f>
        <v>1500.0</v>
      </c>
      <c r="U178" s="32" t="str">
        <f>"－"</f>
        <v>－</v>
      </c>
      <c r="V178" s="32" t="n">
        <f>1470180</f>
        <v>1470180.0</v>
      </c>
      <c r="W178" s="32" t="str">
        <f>"－"</f>
        <v>－</v>
      </c>
      <c r="X178" s="36" t="n">
        <f>10</f>
        <v>10.0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240</f>
        <v>240.0</v>
      </c>
      <c r="L179" s="34" t="s">
        <v>48</v>
      </c>
      <c r="M179" s="33" t="n">
        <f>289</f>
        <v>289.0</v>
      </c>
      <c r="N179" s="34" t="s">
        <v>60</v>
      </c>
      <c r="O179" s="33" t="n">
        <f>240</f>
        <v>240.0</v>
      </c>
      <c r="P179" s="34" t="s">
        <v>48</v>
      </c>
      <c r="Q179" s="33" t="n">
        <f>282</f>
        <v>282.0</v>
      </c>
      <c r="R179" s="34" t="s">
        <v>50</v>
      </c>
      <c r="S179" s="35" t="n">
        <f>270</f>
        <v>270.0</v>
      </c>
      <c r="T179" s="32" t="n">
        <f>58670</f>
        <v>58670.0</v>
      </c>
      <c r="U179" s="32" t="str">
        <f>"－"</f>
        <v>－</v>
      </c>
      <c r="V179" s="32" t="n">
        <f>16073100</f>
        <v>1.60731E7</v>
      </c>
      <c r="W179" s="32" t="str">
        <f>"－"</f>
        <v>－</v>
      </c>
      <c r="X179" s="36" t="n">
        <f>18</f>
        <v>18.0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1410</f>
        <v>1410.0</v>
      </c>
      <c r="L180" s="34" t="s">
        <v>115</v>
      </c>
      <c r="M180" s="33" t="n">
        <f>1865</f>
        <v>1865.0</v>
      </c>
      <c r="N180" s="34" t="s">
        <v>50</v>
      </c>
      <c r="O180" s="33" t="n">
        <f>1377</f>
        <v>1377.0</v>
      </c>
      <c r="P180" s="34" t="s">
        <v>119</v>
      </c>
      <c r="Q180" s="33" t="n">
        <f>1865</f>
        <v>1865.0</v>
      </c>
      <c r="R180" s="34" t="s">
        <v>50</v>
      </c>
      <c r="S180" s="35" t="n">
        <f>1553.64</f>
        <v>1553.64</v>
      </c>
      <c r="T180" s="32" t="n">
        <f>3930</f>
        <v>3930.0</v>
      </c>
      <c r="U180" s="32" t="str">
        <f>"－"</f>
        <v>－</v>
      </c>
      <c r="V180" s="32" t="n">
        <f>6460020</f>
        <v>6460020.0</v>
      </c>
      <c r="W180" s="32" t="str">
        <f>"－"</f>
        <v>－</v>
      </c>
      <c r="X180" s="36" t="n">
        <f>14</f>
        <v>14.0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516</f>
        <v>516.0</v>
      </c>
      <c r="L181" s="34" t="s">
        <v>48</v>
      </c>
      <c r="M181" s="33" t="n">
        <f>599</f>
        <v>599.0</v>
      </c>
      <c r="N181" s="34" t="s">
        <v>94</v>
      </c>
      <c r="O181" s="33" t="n">
        <f>512</f>
        <v>512.0</v>
      </c>
      <c r="P181" s="34" t="s">
        <v>115</v>
      </c>
      <c r="Q181" s="33" t="n">
        <f>563</f>
        <v>563.0</v>
      </c>
      <c r="R181" s="34" t="s">
        <v>50</v>
      </c>
      <c r="S181" s="35" t="n">
        <f>537.89</f>
        <v>537.89</v>
      </c>
      <c r="T181" s="32" t="n">
        <f>109780</f>
        <v>109780.0</v>
      </c>
      <c r="U181" s="32" t="str">
        <f>"－"</f>
        <v>－</v>
      </c>
      <c r="V181" s="32" t="n">
        <f>59892820</f>
        <v>5.989282E7</v>
      </c>
      <c r="W181" s="32" t="str">
        <f>"－"</f>
        <v>－</v>
      </c>
      <c r="X181" s="36" t="n">
        <f>18</f>
        <v>18.0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393</f>
        <v>393.0</v>
      </c>
      <c r="L182" s="34" t="s">
        <v>48</v>
      </c>
      <c r="M182" s="33" t="n">
        <f>416</f>
        <v>416.0</v>
      </c>
      <c r="N182" s="34" t="s">
        <v>175</v>
      </c>
      <c r="O182" s="33" t="n">
        <f>391</f>
        <v>391.0</v>
      </c>
      <c r="P182" s="34" t="s">
        <v>115</v>
      </c>
      <c r="Q182" s="33" t="n">
        <f>404</f>
        <v>404.0</v>
      </c>
      <c r="R182" s="34" t="s">
        <v>50</v>
      </c>
      <c r="S182" s="35" t="n">
        <f>401.39</f>
        <v>401.39</v>
      </c>
      <c r="T182" s="32" t="n">
        <f>590880</f>
        <v>590880.0</v>
      </c>
      <c r="U182" s="32" t="str">
        <f>"－"</f>
        <v>－</v>
      </c>
      <c r="V182" s="32" t="n">
        <f>238422300</f>
        <v>2.384223E8</v>
      </c>
      <c r="W182" s="32" t="str">
        <f>"－"</f>
        <v>－</v>
      </c>
      <c r="X182" s="36" t="n">
        <f>18</f>
        <v>18.0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1</f>
        <v>1.0</v>
      </c>
      <c r="L183" s="34" t="s">
        <v>48</v>
      </c>
      <c r="M183" s="33" t="n">
        <f>2</f>
        <v>2.0</v>
      </c>
      <c r="N183" s="34" t="s">
        <v>48</v>
      </c>
      <c r="O183" s="33" t="n">
        <f>1</f>
        <v>1.0</v>
      </c>
      <c r="P183" s="34" t="s">
        <v>48</v>
      </c>
      <c r="Q183" s="33" t="n">
        <f>2</f>
        <v>2.0</v>
      </c>
      <c r="R183" s="34" t="s">
        <v>50</v>
      </c>
      <c r="S183" s="35" t="n">
        <f>1.67</f>
        <v>1.67</v>
      </c>
      <c r="T183" s="32" t="n">
        <f>158973600</f>
        <v>1.589736E8</v>
      </c>
      <c r="U183" s="32" t="str">
        <f>"－"</f>
        <v>－</v>
      </c>
      <c r="V183" s="32" t="n">
        <f>258284100</f>
        <v>2.582841E8</v>
      </c>
      <c r="W183" s="32" t="str">
        <f>"－"</f>
        <v>－</v>
      </c>
      <c r="X183" s="36" t="n">
        <f>18</f>
        <v>18.0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481</f>
        <v>481.0</v>
      </c>
      <c r="L184" s="34" t="s">
        <v>48</v>
      </c>
      <c r="M184" s="33" t="n">
        <f>598</f>
        <v>598.0</v>
      </c>
      <c r="N184" s="34" t="s">
        <v>175</v>
      </c>
      <c r="O184" s="33" t="n">
        <f>481</f>
        <v>481.0</v>
      </c>
      <c r="P184" s="34" t="s">
        <v>48</v>
      </c>
      <c r="Q184" s="33" t="n">
        <f>588</f>
        <v>588.0</v>
      </c>
      <c r="R184" s="34" t="s">
        <v>50</v>
      </c>
      <c r="S184" s="35" t="n">
        <f>546.61</f>
        <v>546.61</v>
      </c>
      <c r="T184" s="32" t="n">
        <f>938070</f>
        <v>938070.0</v>
      </c>
      <c r="U184" s="32" t="str">
        <f>"－"</f>
        <v>－</v>
      </c>
      <c r="V184" s="32" t="n">
        <f>519577010</f>
        <v>5.1957701E8</v>
      </c>
      <c r="W184" s="32" t="str">
        <f>"－"</f>
        <v>－</v>
      </c>
      <c r="X184" s="36" t="n">
        <f>18</f>
        <v>18.0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2117</f>
        <v>2117.0</v>
      </c>
      <c r="L185" s="34" t="s">
        <v>48</v>
      </c>
      <c r="M185" s="33" t="n">
        <f>2800</f>
        <v>2800.0</v>
      </c>
      <c r="N185" s="34" t="s">
        <v>50</v>
      </c>
      <c r="O185" s="33" t="n">
        <f>2117</f>
        <v>2117.0</v>
      </c>
      <c r="P185" s="34" t="s">
        <v>48</v>
      </c>
      <c r="Q185" s="33" t="n">
        <f>2590</f>
        <v>2590.0</v>
      </c>
      <c r="R185" s="34" t="s">
        <v>50</v>
      </c>
      <c r="S185" s="35" t="n">
        <f>2398.94</f>
        <v>2398.94</v>
      </c>
      <c r="T185" s="32" t="n">
        <f>13409</f>
        <v>13409.0</v>
      </c>
      <c r="U185" s="32" t="str">
        <f>"－"</f>
        <v>－</v>
      </c>
      <c r="V185" s="32" t="n">
        <f>32613211</f>
        <v>3.2613211E7</v>
      </c>
      <c r="W185" s="32" t="str">
        <f>"－"</f>
        <v>－</v>
      </c>
      <c r="X185" s="36" t="n">
        <f>17</f>
        <v>17.0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305</f>
        <v>305.0</v>
      </c>
      <c r="L186" s="34" t="s">
        <v>48</v>
      </c>
      <c r="M186" s="33" t="n">
        <f>349</f>
        <v>349.0</v>
      </c>
      <c r="N186" s="34" t="s">
        <v>50</v>
      </c>
      <c r="O186" s="33" t="n">
        <f>298</f>
        <v>298.0</v>
      </c>
      <c r="P186" s="34" t="s">
        <v>119</v>
      </c>
      <c r="Q186" s="33" t="n">
        <f>336</f>
        <v>336.0</v>
      </c>
      <c r="R186" s="34" t="s">
        <v>50</v>
      </c>
      <c r="S186" s="35" t="n">
        <f>323.93</f>
        <v>323.93</v>
      </c>
      <c r="T186" s="32" t="n">
        <f>13500</f>
        <v>13500.0</v>
      </c>
      <c r="U186" s="32" t="str">
        <f>"－"</f>
        <v>－</v>
      </c>
      <c r="V186" s="32" t="n">
        <f>4385300</f>
        <v>4385300.0</v>
      </c>
      <c r="W186" s="32" t="str">
        <f>"－"</f>
        <v>－</v>
      </c>
      <c r="X186" s="36" t="n">
        <f>15</f>
        <v>15.0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3300</f>
        <v>3300.0</v>
      </c>
      <c r="L187" s="34" t="s">
        <v>48</v>
      </c>
      <c r="M187" s="33" t="n">
        <f>4315</f>
        <v>4315.0</v>
      </c>
      <c r="N187" s="34" t="s">
        <v>94</v>
      </c>
      <c r="O187" s="33" t="n">
        <f>3300</f>
        <v>3300.0</v>
      </c>
      <c r="P187" s="34" t="s">
        <v>48</v>
      </c>
      <c r="Q187" s="33" t="n">
        <f>4015</f>
        <v>4015.0</v>
      </c>
      <c r="R187" s="34" t="s">
        <v>50</v>
      </c>
      <c r="S187" s="35" t="n">
        <f>3623.89</f>
        <v>3623.89</v>
      </c>
      <c r="T187" s="32" t="n">
        <f>73400</f>
        <v>73400.0</v>
      </c>
      <c r="U187" s="32" t="str">
        <f>"－"</f>
        <v>－</v>
      </c>
      <c r="V187" s="32" t="n">
        <f>277167150</f>
        <v>2.7716715E8</v>
      </c>
      <c r="W187" s="32" t="str">
        <f>"－"</f>
        <v>－</v>
      </c>
      <c r="X187" s="36" t="n">
        <f>18</f>
        <v>18.0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1750</f>
        <v>1750.0</v>
      </c>
      <c r="L188" s="34" t="s">
        <v>48</v>
      </c>
      <c r="M188" s="33" t="n">
        <f>2033</f>
        <v>2033.0</v>
      </c>
      <c r="N188" s="34" t="s">
        <v>94</v>
      </c>
      <c r="O188" s="33" t="n">
        <f>1730</f>
        <v>1730.0</v>
      </c>
      <c r="P188" s="34" t="s">
        <v>48</v>
      </c>
      <c r="Q188" s="33" t="n">
        <f>1908</f>
        <v>1908.0</v>
      </c>
      <c r="R188" s="34" t="s">
        <v>50</v>
      </c>
      <c r="S188" s="35" t="n">
        <f>1847.72</f>
        <v>1847.72</v>
      </c>
      <c r="T188" s="32" t="n">
        <f>21850</f>
        <v>21850.0</v>
      </c>
      <c r="U188" s="32" t="str">
        <f>"－"</f>
        <v>－</v>
      </c>
      <c r="V188" s="32" t="n">
        <f>40963970</f>
        <v>4.096397E7</v>
      </c>
      <c r="W188" s="32" t="str">
        <f>"－"</f>
        <v>－</v>
      </c>
      <c r="X188" s="36" t="n">
        <f>18</f>
        <v>18.0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78</f>
        <v>78.0</v>
      </c>
      <c r="L189" s="34" t="s">
        <v>48</v>
      </c>
      <c r="M189" s="33" t="n">
        <f>81</f>
        <v>81.0</v>
      </c>
      <c r="N189" s="34" t="s">
        <v>175</v>
      </c>
      <c r="O189" s="33" t="n">
        <f>74</f>
        <v>74.0</v>
      </c>
      <c r="P189" s="34" t="s">
        <v>174</v>
      </c>
      <c r="Q189" s="33" t="n">
        <f>79</f>
        <v>79.0</v>
      </c>
      <c r="R189" s="34" t="s">
        <v>50</v>
      </c>
      <c r="S189" s="35" t="n">
        <f>77.11</f>
        <v>77.11</v>
      </c>
      <c r="T189" s="32" t="n">
        <f>4298300</f>
        <v>4298300.0</v>
      </c>
      <c r="U189" s="32" t="n">
        <f>9000</f>
        <v>9000.0</v>
      </c>
      <c r="V189" s="32" t="n">
        <f>333270600</f>
        <v>3.332706E8</v>
      </c>
      <c r="W189" s="32" t="n">
        <f>719000</f>
        <v>719000.0</v>
      </c>
      <c r="X189" s="36" t="n">
        <f>18</f>
        <v>18.0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99</f>
        <v>99.0</v>
      </c>
      <c r="L190" s="34" t="s">
        <v>48</v>
      </c>
      <c r="M190" s="33" t="n">
        <f>103</f>
        <v>103.0</v>
      </c>
      <c r="N190" s="34" t="s">
        <v>182</v>
      </c>
      <c r="O190" s="33" t="n">
        <f>97</f>
        <v>97.0</v>
      </c>
      <c r="P190" s="34" t="s">
        <v>115</v>
      </c>
      <c r="Q190" s="33" t="n">
        <f>99</f>
        <v>99.0</v>
      </c>
      <c r="R190" s="34" t="s">
        <v>50</v>
      </c>
      <c r="S190" s="35" t="n">
        <f>99.61</f>
        <v>99.61</v>
      </c>
      <c r="T190" s="32" t="n">
        <f>3014700</f>
        <v>3014700.0</v>
      </c>
      <c r="U190" s="32" t="str">
        <f>"－"</f>
        <v>－</v>
      </c>
      <c r="V190" s="32" t="n">
        <f>301997700</f>
        <v>3.019977E8</v>
      </c>
      <c r="W190" s="32" t="str">
        <f>"－"</f>
        <v>－</v>
      </c>
      <c r="X190" s="36" t="n">
        <f>18</f>
        <v>18.0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2499</f>
        <v>2499.0</v>
      </c>
      <c r="L191" s="34" t="s">
        <v>48</v>
      </c>
      <c r="M191" s="33" t="n">
        <f>2642</f>
        <v>2642.0</v>
      </c>
      <c r="N191" s="34" t="s">
        <v>175</v>
      </c>
      <c r="O191" s="33" t="n">
        <f>2446</f>
        <v>2446.0</v>
      </c>
      <c r="P191" s="34" t="s">
        <v>115</v>
      </c>
      <c r="Q191" s="33" t="n">
        <f>2578</f>
        <v>2578.0</v>
      </c>
      <c r="R191" s="34" t="s">
        <v>50</v>
      </c>
      <c r="S191" s="35" t="n">
        <f>2527</f>
        <v>2527.0</v>
      </c>
      <c r="T191" s="32" t="n">
        <f>30290</f>
        <v>30290.0</v>
      </c>
      <c r="U191" s="32" t="str">
        <f>"－"</f>
        <v>－</v>
      </c>
      <c r="V191" s="32" t="n">
        <f>77091040</f>
        <v>7.709104E7</v>
      </c>
      <c r="W191" s="32" t="str">
        <f>"－"</f>
        <v>－</v>
      </c>
      <c r="X191" s="36" t="n">
        <f>18</f>
        <v>18.0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1598</f>
        <v>1598.0</v>
      </c>
      <c r="L192" s="34" t="s">
        <v>48</v>
      </c>
      <c r="M192" s="33" t="n">
        <f>1735</f>
        <v>1735.0</v>
      </c>
      <c r="N192" s="34" t="s">
        <v>49</v>
      </c>
      <c r="O192" s="33" t="n">
        <f>1598</f>
        <v>1598.0</v>
      </c>
      <c r="P192" s="34" t="s">
        <v>48</v>
      </c>
      <c r="Q192" s="33" t="n">
        <f>1678</f>
        <v>1678.0</v>
      </c>
      <c r="R192" s="34" t="s">
        <v>50</v>
      </c>
      <c r="S192" s="35" t="n">
        <f>1678.17</f>
        <v>1678.17</v>
      </c>
      <c r="T192" s="32" t="n">
        <f>50840</f>
        <v>50840.0</v>
      </c>
      <c r="U192" s="32" t="str">
        <f>"－"</f>
        <v>－</v>
      </c>
      <c r="V192" s="32" t="n">
        <f>85866550</f>
        <v>8.586655E7</v>
      </c>
      <c r="W192" s="32" t="str">
        <f>"－"</f>
        <v>－</v>
      </c>
      <c r="X192" s="36" t="n">
        <f>18</f>
        <v>18.0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126</f>
        <v>126.0</v>
      </c>
      <c r="L193" s="34" t="s">
        <v>48</v>
      </c>
      <c r="M193" s="33" t="n">
        <f>157</f>
        <v>157.0</v>
      </c>
      <c r="N193" s="34" t="s">
        <v>175</v>
      </c>
      <c r="O193" s="33" t="n">
        <f>126</f>
        <v>126.0</v>
      </c>
      <c r="P193" s="34" t="s">
        <v>48</v>
      </c>
      <c r="Q193" s="33" t="n">
        <f>154</f>
        <v>154.0</v>
      </c>
      <c r="R193" s="34" t="s">
        <v>50</v>
      </c>
      <c r="S193" s="35" t="n">
        <f>143.28</f>
        <v>143.28</v>
      </c>
      <c r="T193" s="32" t="n">
        <f>178252980</f>
        <v>1.7825298E8</v>
      </c>
      <c r="U193" s="32" t="n">
        <f>217630</f>
        <v>217630.0</v>
      </c>
      <c r="V193" s="32" t="n">
        <f>25673886696</f>
        <v>2.5673886696E10</v>
      </c>
      <c r="W193" s="32" t="n">
        <f>31888956</f>
        <v>3.1888956E7</v>
      </c>
      <c r="X193" s="36" t="n">
        <f>18</f>
        <v>18.0</v>
      </c>
    </row>
    <row r="194">
      <c r="A194" s="27" t="s">
        <v>42</v>
      </c>
      <c r="B194" s="27" t="s">
        <v>625</v>
      </c>
      <c r="C194" s="27" t="s">
        <v>626</v>
      </c>
      <c r="D194" s="27" t="s">
        <v>627</v>
      </c>
      <c r="E194" s="28" t="s">
        <v>46</v>
      </c>
      <c r="F194" s="29" t="s">
        <v>46</v>
      </c>
      <c r="G194" s="30" t="s">
        <v>46</v>
      </c>
      <c r="H194" s="31"/>
      <c r="I194" s="31" t="s">
        <v>628</v>
      </c>
      <c r="J194" s="32" t="n">
        <v>1.0</v>
      </c>
      <c r="K194" s="33" t="n">
        <f>11200</f>
        <v>11200.0</v>
      </c>
      <c r="L194" s="34" t="s">
        <v>48</v>
      </c>
      <c r="M194" s="33" t="n">
        <f>13700</f>
        <v>13700.0</v>
      </c>
      <c r="N194" s="34" t="s">
        <v>60</v>
      </c>
      <c r="O194" s="33" t="n">
        <f>11200</f>
        <v>11200.0</v>
      </c>
      <c r="P194" s="34" t="s">
        <v>48</v>
      </c>
      <c r="Q194" s="33" t="n">
        <f>11970</f>
        <v>11970.0</v>
      </c>
      <c r="R194" s="34" t="s">
        <v>50</v>
      </c>
      <c r="S194" s="35" t="n">
        <f>12510</f>
        <v>12510.0</v>
      </c>
      <c r="T194" s="32" t="n">
        <f>17348</f>
        <v>17348.0</v>
      </c>
      <c r="U194" s="32" t="str">
        <f>"－"</f>
        <v>－</v>
      </c>
      <c r="V194" s="32" t="n">
        <f>219331820</f>
        <v>2.1933182E8</v>
      </c>
      <c r="W194" s="32" t="str">
        <f>"－"</f>
        <v>－</v>
      </c>
      <c r="X194" s="36" t="n">
        <f>18</f>
        <v>18.0</v>
      </c>
    </row>
    <row r="195">
      <c r="A195" s="27" t="s">
        <v>42</v>
      </c>
      <c r="B195" s="27" t="s">
        <v>629</v>
      </c>
      <c r="C195" s="27" t="s">
        <v>630</v>
      </c>
      <c r="D195" s="27" t="s">
        <v>631</v>
      </c>
      <c r="E195" s="28" t="s">
        <v>46</v>
      </c>
      <c r="F195" s="29" t="s">
        <v>46</v>
      </c>
      <c r="G195" s="30" t="s">
        <v>46</v>
      </c>
      <c r="H195" s="31"/>
      <c r="I195" s="31" t="s">
        <v>628</v>
      </c>
      <c r="J195" s="32" t="n">
        <v>1.0</v>
      </c>
      <c r="K195" s="33" t="n">
        <f>5300</f>
        <v>5300.0</v>
      </c>
      <c r="L195" s="34" t="s">
        <v>48</v>
      </c>
      <c r="M195" s="33" t="n">
        <f>5300</f>
        <v>5300.0</v>
      </c>
      <c r="N195" s="34" t="s">
        <v>48</v>
      </c>
      <c r="O195" s="33" t="n">
        <f>4785</f>
        <v>4785.0</v>
      </c>
      <c r="P195" s="34" t="s">
        <v>74</v>
      </c>
      <c r="Q195" s="33" t="n">
        <f>5050</f>
        <v>5050.0</v>
      </c>
      <c r="R195" s="34" t="s">
        <v>50</v>
      </c>
      <c r="S195" s="35" t="n">
        <f>4977.35</f>
        <v>4977.35</v>
      </c>
      <c r="T195" s="32" t="n">
        <f>1085</f>
        <v>1085.0</v>
      </c>
      <c r="U195" s="32" t="str">
        <f>"－"</f>
        <v>－</v>
      </c>
      <c r="V195" s="32" t="n">
        <f>5435645</f>
        <v>5435645.0</v>
      </c>
      <c r="W195" s="32" t="str">
        <f>"－"</f>
        <v>－</v>
      </c>
      <c r="X195" s="36" t="n">
        <f>17</f>
        <v>17.0</v>
      </c>
    </row>
    <row r="196">
      <c r="A196" s="27" t="s">
        <v>42</v>
      </c>
      <c r="B196" s="27" t="s">
        <v>632</v>
      </c>
      <c r="C196" s="27" t="s">
        <v>633</v>
      </c>
      <c r="D196" s="27" t="s">
        <v>634</v>
      </c>
      <c r="E196" s="28" t="s">
        <v>46</v>
      </c>
      <c r="F196" s="29" t="s">
        <v>46</v>
      </c>
      <c r="G196" s="30" t="s">
        <v>46</v>
      </c>
      <c r="H196" s="31"/>
      <c r="I196" s="31" t="s">
        <v>628</v>
      </c>
      <c r="J196" s="32" t="n">
        <v>1.0</v>
      </c>
      <c r="K196" s="33" t="n">
        <f>17070</f>
        <v>17070.0</v>
      </c>
      <c r="L196" s="34" t="s">
        <v>48</v>
      </c>
      <c r="M196" s="33" t="n">
        <f>20050</f>
        <v>20050.0</v>
      </c>
      <c r="N196" s="34" t="s">
        <v>70</v>
      </c>
      <c r="O196" s="33" t="n">
        <f>17060</f>
        <v>17060.0</v>
      </c>
      <c r="P196" s="34" t="s">
        <v>48</v>
      </c>
      <c r="Q196" s="33" t="n">
        <f>17600</f>
        <v>17600.0</v>
      </c>
      <c r="R196" s="34" t="s">
        <v>50</v>
      </c>
      <c r="S196" s="35" t="n">
        <f>18730.56</f>
        <v>18730.56</v>
      </c>
      <c r="T196" s="32" t="n">
        <f>1825</f>
        <v>1825.0</v>
      </c>
      <c r="U196" s="32" t="str">
        <f>"－"</f>
        <v>－</v>
      </c>
      <c r="V196" s="32" t="n">
        <f>34251220</f>
        <v>3.425122E7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31"/>
      <c r="I197" s="31" t="s">
        <v>628</v>
      </c>
      <c r="J197" s="32" t="n">
        <v>1.0</v>
      </c>
      <c r="K197" s="33" t="n">
        <f>6070</f>
        <v>6070.0</v>
      </c>
      <c r="L197" s="34" t="s">
        <v>48</v>
      </c>
      <c r="M197" s="33" t="n">
        <f>6170</f>
        <v>6170.0</v>
      </c>
      <c r="N197" s="34" t="s">
        <v>48</v>
      </c>
      <c r="O197" s="33" t="n">
        <f>5690</f>
        <v>5690.0</v>
      </c>
      <c r="P197" s="34" t="s">
        <v>98</v>
      </c>
      <c r="Q197" s="33" t="n">
        <f>6080</f>
        <v>6080.0</v>
      </c>
      <c r="R197" s="34" t="s">
        <v>50</v>
      </c>
      <c r="S197" s="35" t="n">
        <f>5875.56</f>
        <v>5875.56</v>
      </c>
      <c r="T197" s="32" t="n">
        <f>18258</f>
        <v>18258.0</v>
      </c>
      <c r="U197" s="32" t="str">
        <f>"－"</f>
        <v>－</v>
      </c>
      <c r="V197" s="32" t="n">
        <f>107442920</f>
        <v>1.0744292E8</v>
      </c>
      <c r="W197" s="32" t="str">
        <f>"－"</f>
        <v>－</v>
      </c>
      <c r="X197" s="36" t="n">
        <f>18</f>
        <v>18.0</v>
      </c>
    </row>
    <row r="198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31"/>
      <c r="I198" s="31" t="s">
        <v>628</v>
      </c>
      <c r="J198" s="32" t="n">
        <v>1.0</v>
      </c>
      <c r="K198" s="33" t="n">
        <f>415</f>
        <v>415.0</v>
      </c>
      <c r="L198" s="34" t="s">
        <v>48</v>
      </c>
      <c r="M198" s="33" t="n">
        <f>419</f>
        <v>419.0</v>
      </c>
      <c r="N198" s="34" t="s">
        <v>48</v>
      </c>
      <c r="O198" s="33" t="n">
        <f>346</f>
        <v>346.0</v>
      </c>
      <c r="P198" s="34" t="s">
        <v>119</v>
      </c>
      <c r="Q198" s="33" t="n">
        <f>376</f>
        <v>376.0</v>
      </c>
      <c r="R198" s="34" t="s">
        <v>50</v>
      </c>
      <c r="S198" s="35" t="n">
        <f>365.72</f>
        <v>365.72</v>
      </c>
      <c r="T198" s="32" t="n">
        <f>29037391</f>
        <v>2.9037391E7</v>
      </c>
      <c r="U198" s="32" t="n">
        <f>30441</f>
        <v>30441.0</v>
      </c>
      <c r="V198" s="32" t="n">
        <f>10758447131</f>
        <v>1.0758447131E10</v>
      </c>
      <c r="W198" s="32" t="n">
        <f>11445816</f>
        <v>1.1445816E7</v>
      </c>
      <c r="X198" s="36" t="n">
        <f>18</f>
        <v>18.0</v>
      </c>
    </row>
    <row r="199">
      <c r="A199" s="27" t="s">
        <v>42</v>
      </c>
      <c r="B199" s="27" t="s">
        <v>641</v>
      </c>
      <c r="C199" s="27" t="s">
        <v>642</v>
      </c>
      <c r="D199" s="27" t="s">
        <v>643</v>
      </c>
      <c r="E199" s="28" t="s">
        <v>46</v>
      </c>
      <c r="F199" s="29" t="s">
        <v>46</v>
      </c>
      <c r="G199" s="30" t="s">
        <v>46</v>
      </c>
      <c r="H199" s="31"/>
      <c r="I199" s="31" t="s">
        <v>628</v>
      </c>
      <c r="J199" s="32" t="n">
        <v>1.0</v>
      </c>
      <c r="K199" s="33" t="n">
        <f>17380</f>
        <v>17380.0</v>
      </c>
      <c r="L199" s="34" t="s">
        <v>48</v>
      </c>
      <c r="M199" s="33" t="n">
        <f>17540</f>
        <v>17540.0</v>
      </c>
      <c r="N199" s="34" t="s">
        <v>98</v>
      </c>
      <c r="O199" s="33" t="n">
        <f>16000</f>
        <v>16000.0</v>
      </c>
      <c r="P199" s="34" t="s">
        <v>50</v>
      </c>
      <c r="Q199" s="33" t="n">
        <f>16150</f>
        <v>16150.0</v>
      </c>
      <c r="R199" s="34" t="s">
        <v>50</v>
      </c>
      <c r="S199" s="35" t="n">
        <f>16805.56</f>
        <v>16805.56</v>
      </c>
      <c r="T199" s="32" t="n">
        <f>50063</f>
        <v>50063.0</v>
      </c>
      <c r="U199" s="32" t="n">
        <f>3</f>
        <v>3.0</v>
      </c>
      <c r="V199" s="32" t="n">
        <f>839611840</f>
        <v>8.3961184E8</v>
      </c>
      <c r="W199" s="32" t="n">
        <f>49550</f>
        <v>49550.0</v>
      </c>
      <c r="X199" s="36" t="n">
        <f>18</f>
        <v>18.0</v>
      </c>
    </row>
    <row r="200">
      <c r="A200" s="27" t="s">
        <v>42</v>
      </c>
      <c r="B200" s="27" t="s">
        <v>644</v>
      </c>
      <c r="C200" s="27" t="s">
        <v>645</v>
      </c>
      <c r="D200" s="27" t="s">
        <v>646</v>
      </c>
      <c r="E200" s="28" t="s">
        <v>46</v>
      </c>
      <c r="F200" s="29" t="s">
        <v>46</v>
      </c>
      <c r="G200" s="30" t="s">
        <v>46</v>
      </c>
      <c r="H200" s="31"/>
      <c r="I200" s="31" t="s">
        <v>628</v>
      </c>
      <c r="J200" s="32" t="n">
        <v>1.0</v>
      </c>
      <c r="K200" s="33" t="n">
        <f>5720</f>
        <v>5720.0</v>
      </c>
      <c r="L200" s="34" t="s">
        <v>48</v>
      </c>
      <c r="M200" s="33" t="n">
        <f>5970</f>
        <v>5970.0</v>
      </c>
      <c r="N200" s="34" t="s">
        <v>99</v>
      </c>
      <c r="O200" s="33" t="n">
        <f>5640</f>
        <v>5640.0</v>
      </c>
      <c r="P200" s="34" t="s">
        <v>98</v>
      </c>
      <c r="Q200" s="33" t="n">
        <f>5880</f>
        <v>5880.0</v>
      </c>
      <c r="R200" s="34" t="s">
        <v>50</v>
      </c>
      <c r="S200" s="35" t="n">
        <f>5784.44</f>
        <v>5784.44</v>
      </c>
      <c r="T200" s="32" t="n">
        <f>7925</f>
        <v>7925.0</v>
      </c>
      <c r="U200" s="32" t="str">
        <f>"－"</f>
        <v>－</v>
      </c>
      <c r="V200" s="32" t="n">
        <f>46003240</f>
        <v>4.600324E7</v>
      </c>
      <c r="W200" s="32" t="str">
        <f>"－"</f>
        <v>－</v>
      </c>
      <c r="X200" s="36" t="n">
        <f>18</f>
        <v>18.0</v>
      </c>
    </row>
    <row r="201">
      <c r="A201" s="27" t="s">
        <v>42</v>
      </c>
      <c r="B201" s="27" t="s">
        <v>647</v>
      </c>
      <c r="C201" s="27" t="s">
        <v>648</v>
      </c>
      <c r="D201" s="27" t="s">
        <v>649</v>
      </c>
      <c r="E201" s="28" t="s">
        <v>46</v>
      </c>
      <c r="F201" s="29" t="s">
        <v>46</v>
      </c>
      <c r="G201" s="30" t="s">
        <v>46</v>
      </c>
      <c r="H201" s="31"/>
      <c r="I201" s="31" t="s">
        <v>628</v>
      </c>
      <c r="J201" s="32" t="n">
        <v>1.0</v>
      </c>
      <c r="K201" s="33" t="n">
        <f>328</f>
        <v>328.0</v>
      </c>
      <c r="L201" s="34" t="s">
        <v>48</v>
      </c>
      <c r="M201" s="33" t="n">
        <f>471</f>
        <v>471.0</v>
      </c>
      <c r="N201" s="34" t="s">
        <v>175</v>
      </c>
      <c r="O201" s="33" t="n">
        <f>326</f>
        <v>326.0</v>
      </c>
      <c r="P201" s="34" t="s">
        <v>48</v>
      </c>
      <c r="Q201" s="33" t="n">
        <f>452</f>
        <v>452.0</v>
      </c>
      <c r="R201" s="34" t="s">
        <v>50</v>
      </c>
      <c r="S201" s="35" t="n">
        <f>405.17</f>
        <v>405.17</v>
      </c>
      <c r="T201" s="32" t="n">
        <f>243915551</f>
        <v>2.43915551E8</v>
      </c>
      <c r="U201" s="32" t="n">
        <f>1155193</f>
        <v>1155193.0</v>
      </c>
      <c r="V201" s="32" t="n">
        <f>100515462988</f>
        <v>1.00515462988E11</v>
      </c>
      <c r="W201" s="32" t="n">
        <f>463311896</f>
        <v>4.63311896E8</v>
      </c>
      <c r="X201" s="36" t="n">
        <f>18</f>
        <v>18.0</v>
      </c>
    </row>
    <row r="202">
      <c r="A202" s="27" t="s">
        <v>42</v>
      </c>
      <c r="B202" s="27" t="s">
        <v>650</v>
      </c>
      <c r="C202" s="27" t="s">
        <v>651</v>
      </c>
      <c r="D202" s="27" t="s">
        <v>652</v>
      </c>
      <c r="E202" s="28" t="s">
        <v>46</v>
      </c>
      <c r="F202" s="29" t="s">
        <v>46</v>
      </c>
      <c r="G202" s="30" t="s">
        <v>46</v>
      </c>
      <c r="H202" s="31"/>
      <c r="I202" s="31" t="s">
        <v>628</v>
      </c>
      <c r="J202" s="32" t="n">
        <v>1.0</v>
      </c>
      <c r="K202" s="33" t="n">
        <f>4880</f>
        <v>4880.0</v>
      </c>
      <c r="L202" s="34" t="s">
        <v>48</v>
      </c>
      <c r="M202" s="33" t="n">
        <f>4895</f>
        <v>4895.0</v>
      </c>
      <c r="N202" s="34" t="s">
        <v>48</v>
      </c>
      <c r="O202" s="33" t="n">
        <f>4005</f>
        <v>4005.0</v>
      </c>
      <c r="P202" s="34" t="s">
        <v>175</v>
      </c>
      <c r="Q202" s="33" t="n">
        <f>4080</f>
        <v>4080.0</v>
      </c>
      <c r="R202" s="34" t="s">
        <v>50</v>
      </c>
      <c r="S202" s="35" t="n">
        <f>4366.39</f>
        <v>4366.39</v>
      </c>
      <c r="T202" s="32" t="n">
        <f>344981</f>
        <v>344981.0</v>
      </c>
      <c r="U202" s="32" t="str">
        <f>"－"</f>
        <v>－</v>
      </c>
      <c r="V202" s="32" t="n">
        <f>1496056900</f>
        <v>1.4960569E9</v>
      </c>
      <c r="W202" s="32" t="str">
        <f>"－"</f>
        <v>－</v>
      </c>
      <c r="X202" s="36" t="n">
        <f>18</f>
        <v>18.0</v>
      </c>
    </row>
    <row r="203">
      <c r="A203" s="27" t="s">
        <v>42</v>
      </c>
      <c r="B203" s="27" t="s">
        <v>653</v>
      </c>
      <c r="C203" s="27" t="s">
        <v>654</v>
      </c>
      <c r="D203" s="27" t="s">
        <v>655</v>
      </c>
      <c r="E203" s="28" t="s">
        <v>46</v>
      </c>
      <c r="F203" s="29" t="s">
        <v>46</v>
      </c>
      <c r="G203" s="30" t="s">
        <v>46</v>
      </c>
      <c r="H203" s="31"/>
      <c r="I203" s="31" t="s">
        <v>628</v>
      </c>
      <c r="J203" s="32" t="n">
        <v>1.0</v>
      </c>
      <c r="K203" s="33" t="n">
        <f>23270</f>
        <v>23270.0</v>
      </c>
      <c r="L203" s="34" t="s">
        <v>48</v>
      </c>
      <c r="M203" s="33" t="n">
        <f>26730</f>
        <v>26730.0</v>
      </c>
      <c r="N203" s="34" t="s">
        <v>175</v>
      </c>
      <c r="O203" s="33" t="n">
        <f>23200</f>
        <v>23200.0</v>
      </c>
      <c r="P203" s="34" t="s">
        <v>48</v>
      </c>
      <c r="Q203" s="33" t="n">
        <f>25400</f>
        <v>25400.0</v>
      </c>
      <c r="R203" s="34" t="s">
        <v>50</v>
      </c>
      <c r="S203" s="35" t="n">
        <f>25412.22</f>
        <v>25412.22</v>
      </c>
      <c r="T203" s="32" t="n">
        <f>149077</f>
        <v>149077.0</v>
      </c>
      <c r="U203" s="32" t="n">
        <f>1901</f>
        <v>1901.0</v>
      </c>
      <c r="V203" s="32" t="n">
        <f>3777341560</f>
        <v>3.77734156E9</v>
      </c>
      <c r="W203" s="32" t="n">
        <f>49024500</f>
        <v>4.90245E7</v>
      </c>
      <c r="X203" s="36" t="n">
        <f>18</f>
        <v>18.0</v>
      </c>
    </row>
    <row r="204">
      <c r="A204" s="27" t="s">
        <v>42</v>
      </c>
      <c r="B204" s="27" t="s">
        <v>656</v>
      </c>
      <c r="C204" s="27" t="s">
        <v>657</v>
      </c>
      <c r="D204" s="27" t="s">
        <v>658</v>
      </c>
      <c r="E204" s="28" t="s">
        <v>46</v>
      </c>
      <c r="F204" s="29" t="s">
        <v>46</v>
      </c>
      <c r="G204" s="30" t="s">
        <v>46</v>
      </c>
      <c r="H204" s="31"/>
      <c r="I204" s="31" t="s">
        <v>628</v>
      </c>
      <c r="J204" s="32" t="n">
        <v>1.0</v>
      </c>
      <c r="K204" s="33" t="n">
        <f>3545</f>
        <v>3545.0</v>
      </c>
      <c r="L204" s="34" t="s">
        <v>48</v>
      </c>
      <c r="M204" s="33" t="n">
        <f>3545</f>
        <v>3545.0</v>
      </c>
      <c r="N204" s="34" t="s">
        <v>48</v>
      </c>
      <c r="O204" s="33" t="n">
        <f>3250</f>
        <v>3250.0</v>
      </c>
      <c r="P204" s="34" t="s">
        <v>175</v>
      </c>
      <c r="Q204" s="33" t="n">
        <f>3335</f>
        <v>3335.0</v>
      </c>
      <c r="R204" s="34" t="s">
        <v>50</v>
      </c>
      <c r="S204" s="35" t="n">
        <f>3348.06</f>
        <v>3348.06</v>
      </c>
      <c r="T204" s="32" t="n">
        <f>254941</f>
        <v>254941.0</v>
      </c>
      <c r="U204" s="32" t="n">
        <f>8000</f>
        <v>8000.0</v>
      </c>
      <c r="V204" s="32" t="n">
        <f>858396490</f>
        <v>8.5839649E8</v>
      </c>
      <c r="W204" s="32" t="n">
        <f>26136000</f>
        <v>2.6136E7</v>
      </c>
      <c r="X204" s="36" t="n">
        <f>18</f>
        <v>18.0</v>
      </c>
    </row>
    <row r="205">
      <c r="A205" s="27" t="s">
        <v>42</v>
      </c>
      <c r="B205" s="27" t="s">
        <v>659</v>
      </c>
      <c r="C205" s="27" t="s">
        <v>660</v>
      </c>
      <c r="D205" s="27" t="s">
        <v>661</v>
      </c>
      <c r="E205" s="28" t="s">
        <v>46</v>
      </c>
      <c r="F205" s="29" t="s">
        <v>46</v>
      </c>
      <c r="G205" s="30" t="s">
        <v>46</v>
      </c>
      <c r="H205" s="31"/>
      <c r="I205" s="31" t="s">
        <v>628</v>
      </c>
      <c r="J205" s="32" t="n">
        <v>1.0</v>
      </c>
      <c r="K205" s="33" t="n">
        <f>12910</f>
        <v>12910.0</v>
      </c>
      <c r="L205" s="34" t="s">
        <v>48</v>
      </c>
      <c r="M205" s="33" t="n">
        <f>14220</f>
        <v>14220.0</v>
      </c>
      <c r="N205" s="34" t="s">
        <v>49</v>
      </c>
      <c r="O205" s="33" t="n">
        <f>12730</f>
        <v>12730.0</v>
      </c>
      <c r="P205" s="34" t="s">
        <v>48</v>
      </c>
      <c r="Q205" s="33" t="n">
        <f>12980</f>
        <v>12980.0</v>
      </c>
      <c r="R205" s="34" t="s">
        <v>50</v>
      </c>
      <c r="S205" s="35" t="n">
        <f>13471.67</f>
        <v>13471.67</v>
      </c>
      <c r="T205" s="32" t="n">
        <f>81278</f>
        <v>81278.0</v>
      </c>
      <c r="U205" s="32" t="n">
        <f>7300</f>
        <v>7300.0</v>
      </c>
      <c r="V205" s="32" t="n">
        <f>1111021180</f>
        <v>1.11102118E9</v>
      </c>
      <c r="W205" s="32" t="n">
        <f>98107700</f>
        <v>9.81077E7</v>
      </c>
      <c r="X205" s="36" t="n">
        <f>18</f>
        <v>18.0</v>
      </c>
    </row>
    <row r="206">
      <c r="A206" s="27" t="s">
        <v>42</v>
      </c>
      <c r="B206" s="27" t="s">
        <v>662</v>
      </c>
      <c r="C206" s="27" t="s">
        <v>663</v>
      </c>
      <c r="D206" s="27" t="s">
        <v>664</v>
      </c>
      <c r="E206" s="28" t="s">
        <v>46</v>
      </c>
      <c r="F206" s="29" t="s">
        <v>46</v>
      </c>
      <c r="G206" s="30" t="s">
        <v>46</v>
      </c>
      <c r="H206" s="31"/>
      <c r="I206" s="31" t="s">
        <v>628</v>
      </c>
      <c r="J206" s="32" t="n">
        <v>1.0</v>
      </c>
      <c r="K206" s="33" t="n">
        <f>11860</f>
        <v>11860.0</v>
      </c>
      <c r="L206" s="34" t="s">
        <v>48</v>
      </c>
      <c r="M206" s="33" t="n">
        <f>12530</f>
        <v>12530.0</v>
      </c>
      <c r="N206" s="34" t="s">
        <v>49</v>
      </c>
      <c r="O206" s="33" t="n">
        <f>11810</f>
        <v>11810.0</v>
      </c>
      <c r="P206" s="34" t="s">
        <v>98</v>
      </c>
      <c r="Q206" s="33" t="n">
        <f>12420</f>
        <v>12420.0</v>
      </c>
      <c r="R206" s="34" t="s">
        <v>50</v>
      </c>
      <c r="S206" s="35" t="n">
        <f>12197.33</f>
        <v>12197.33</v>
      </c>
      <c r="T206" s="32" t="n">
        <f>539</f>
        <v>539.0</v>
      </c>
      <c r="U206" s="32" t="str">
        <f>"－"</f>
        <v>－</v>
      </c>
      <c r="V206" s="32" t="n">
        <f>6599890</f>
        <v>6599890.0</v>
      </c>
      <c r="W206" s="32" t="str">
        <f>"－"</f>
        <v>－</v>
      </c>
      <c r="X206" s="36" t="n">
        <f>15</f>
        <v>15.0</v>
      </c>
    </row>
    <row r="207">
      <c r="A207" s="27" t="s">
        <v>42</v>
      </c>
      <c r="B207" s="27" t="s">
        <v>665</v>
      </c>
      <c r="C207" s="27" t="s">
        <v>666</v>
      </c>
      <c r="D207" s="27" t="s">
        <v>667</v>
      </c>
      <c r="E207" s="28" t="s">
        <v>46</v>
      </c>
      <c r="F207" s="29" t="s">
        <v>46</v>
      </c>
      <c r="G207" s="30" t="s">
        <v>46</v>
      </c>
      <c r="H207" s="31"/>
      <c r="I207" s="31" t="s">
        <v>628</v>
      </c>
      <c r="J207" s="32" t="n">
        <v>1.0</v>
      </c>
      <c r="K207" s="33" t="n">
        <f>15120</f>
        <v>15120.0</v>
      </c>
      <c r="L207" s="34" t="s">
        <v>48</v>
      </c>
      <c r="M207" s="33" t="n">
        <f>16150</f>
        <v>16150.0</v>
      </c>
      <c r="N207" s="34" t="s">
        <v>175</v>
      </c>
      <c r="O207" s="33" t="n">
        <f>14970</f>
        <v>14970.0</v>
      </c>
      <c r="P207" s="34" t="s">
        <v>48</v>
      </c>
      <c r="Q207" s="33" t="n">
        <f>15900</f>
        <v>15900.0</v>
      </c>
      <c r="R207" s="34" t="s">
        <v>50</v>
      </c>
      <c r="S207" s="35" t="n">
        <f>15719.44</f>
        <v>15719.44</v>
      </c>
      <c r="T207" s="32" t="n">
        <f>32128</f>
        <v>32128.0</v>
      </c>
      <c r="U207" s="32" t="str">
        <f>"－"</f>
        <v>－</v>
      </c>
      <c r="V207" s="32" t="n">
        <f>492888560</f>
        <v>4.9288856E8</v>
      </c>
      <c r="W207" s="32" t="str">
        <f>"－"</f>
        <v>－</v>
      </c>
      <c r="X207" s="36" t="n">
        <f>18</f>
        <v>18.0</v>
      </c>
    </row>
    <row r="208">
      <c r="A208" s="27" t="s">
        <v>42</v>
      </c>
      <c r="B208" s="27" t="s">
        <v>668</v>
      </c>
      <c r="C208" s="27" t="s">
        <v>669</v>
      </c>
      <c r="D208" s="27" t="s">
        <v>670</v>
      </c>
      <c r="E208" s="28" t="s">
        <v>46</v>
      </c>
      <c r="F208" s="29" t="s">
        <v>46</v>
      </c>
      <c r="G208" s="30" t="s">
        <v>46</v>
      </c>
      <c r="H208" s="31"/>
      <c r="I208" s="31" t="s">
        <v>628</v>
      </c>
      <c r="J208" s="32" t="n">
        <v>1.0</v>
      </c>
      <c r="K208" s="33" t="n">
        <f>13000</f>
        <v>13000.0</v>
      </c>
      <c r="L208" s="34" t="s">
        <v>48</v>
      </c>
      <c r="M208" s="33" t="n">
        <f>13330</f>
        <v>13330.0</v>
      </c>
      <c r="N208" s="34" t="s">
        <v>93</v>
      </c>
      <c r="O208" s="33" t="n">
        <f>12630</f>
        <v>12630.0</v>
      </c>
      <c r="P208" s="34" t="s">
        <v>50</v>
      </c>
      <c r="Q208" s="33" t="n">
        <f>12630</f>
        <v>12630.0</v>
      </c>
      <c r="R208" s="34" t="s">
        <v>50</v>
      </c>
      <c r="S208" s="35" t="n">
        <f>12903.53</f>
        <v>12903.53</v>
      </c>
      <c r="T208" s="32" t="n">
        <f>937</f>
        <v>937.0</v>
      </c>
      <c r="U208" s="32" t="str">
        <f>"－"</f>
        <v>－</v>
      </c>
      <c r="V208" s="32" t="n">
        <f>12076600</f>
        <v>1.20766E7</v>
      </c>
      <c r="W208" s="32" t="str">
        <f>"－"</f>
        <v>－</v>
      </c>
      <c r="X208" s="36" t="n">
        <f>17</f>
        <v>17.0</v>
      </c>
    </row>
    <row r="209">
      <c r="A209" s="27" t="s">
        <v>42</v>
      </c>
      <c r="B209" s="27" t="s">
        <v>671</v>
      </c>
      <c r="C209" s="27" t="s">
        <v>672</v>
      </c>
      <c r="D209" s="27" t="s">
        <v>673</v>
      </c>
      <c r="E209" s="28" t="s">
        <v>46</v>
      </c>
      <c r="F209" s="29" t="s">
        <v>46</v>
      </c>
      <c r="G209" s="30" t="s">
        <v>46</v>
      </c>
      <c r="H209" s="31"/>
      <c r="I209" s="31" t="s">
        <v>628</v>
      </c>
      <c r="J209" s="32" t="n">
        <v>1.0</v>
      </c>
      <c r="K209" s="33" t="n">
        <f>11010</f>
        <v>11010.0</v>
      </c>
      <c r="L209" s="34" t="s">
        <v>48</v>
      </c>
      <c r="M209" s="33" t="n">
        <f>14270</f>
        <v>14270.0</v>
      </c>
      <c r="N209" s="34" t="s">
        <v>49</v>
      </c>
      <c r="O209" s="33" t="n">
        <f>11000</f>
        <v>11000.0</v>
      </c>
      <c r="P209" s="34" t="s">
        <v>48</v>
      </c>
      <c r="Q209" s="33" t="n">
        <f>12560</f>
        <v>12560.0</v>
      </c>
      <c r="R209" s="34" t="s">
        <v>50</v>
      </c>
      <c r="S209" s="35" t="n">
        <f>13222.78</f>
        <v>13222.78</v>
      </c>
      <c r="T209" s="32" t="n">
        <f>95583</f>
        <v>95583.0</v>
      </c>
      <c r="U209" s="32" t="n">
        <f>6</f>
        <v>6.0</v>
      </c>
      <c r="V209" s="32" t="n">
        <f>1266664370</f>
        <v>1.26666437E9</v>
      </c>
      <c r="W209" s="32" t="n">
        <f>81640</f>
        <v>81640.0</v>
      </c>
      <c r="X209" s="36" t="n">
        <f>18</f>
        <v>18.0</v>
      </c>
    </row>
    <row r="210">
      <c r="A210" s="27" t="s">
        <v>42</v>
      </c>
      <c r="B210" s="27" t="s">
        <v>674</v>
      </c>
      <c r="C210" s="27" t="s">
        <v>675</v>
      </c>
      <c r="D210" s="27" t="s">
        <v>676</v>
      </c>
      <c r="E210" s="28" t="s">
        <v>46</v>
      </c>
      <c r="F210" s="29" t="s">
        <v>46</v>
      </c>
      <c r="G210" s="30" t="s">
        <v>46</v>
      </c>
      <c r="H210" s="31"/>
      <c r="I210" s="31" t="s">
        <v>628</v>
      </c>
      <c r="J210" s="32" t="n">
        <v>1.0</v>
      </c>
      <c r="K210" s="33" t="n">
        <f>5100</f>
        <v>5100.0</v>
      </c>
      <c r="L210" s="34" t="s">
        <v>48</v>
      </c>
      <c r="M210" s="33" t="n">
        <f>5120</f>
        <v>5120.0</v>
      </c>
      <c r="N210" s="34" t="s">
        <v>48</v>
      </c>
      <c r="O210" s="33" t="n">
        <f>4350</f>
        <v>4350.0</v>
      </c>
      <c r="P210" s="34" t="s">
        <v>303</v>
      </c>
      <c r="Q210" s="33" t="n">
        <f>4585</f>
        <v>4585.0</v>
      </c>
      <c r="R210" s="34" t="s">
        <v>50</v>
      </c>
      <c r="S210" s="35" t="n">
        <f>4498.61</f>
        <v>4498.61</v>
      </c>
      <c r="T210" s="32" t="n">
        <f>7026</f>
        <v>7026.0</v>
      </c>
      <c r="U210" s="32" t="str">
        <f>"－"</f>
        <v>－</v>
      </c>
      <c r="V210" s="32" t="n">
        <f>31841970</f>
        <v>3.184197E7</v>
      </c>
      <c r="W210" s="32" t="str">
        <f>"－"</f>
        <v>－</v>
      </c>
      <c r="X210" s="36" t="n">
        <f>18</f>
        <v>18.0</v>
      </c>
    </row>
    <row r="211">
      <c r="A211" s="27" t="s">
        <v>42</v>
      </c>
      <c r="B211" s="27" t="s">
        <v>677</v>
      </c>
      <c r="C211" s="27" t="s">
        <v>678</v>
      </c>
      <c r="D211" s="27" t="s">
        <v>679</v>
      </c>
      <c r="E211" s="28" t="s">
        <v>46</v>
      </c>
      <c r="F211" s="29" t="s">
        <v>46</v>
      </c>
      <c r="G211" s="30" t="s">
        <v>46</v>
      </c>
      <c r="H211" s="31"/>
      <c r="I211" s="31" t="s">
        <v>628</v>
      </c>
      <c r="J211" s="32" t="n">
        <v>1.0</v>
      </c>
      <c r="K211" s="33" t="n">
        <f>9200</f>
        <v>9200.0</v>
      </c>
      <c r="L211" s="34" t="s">
        <v>48</v>
      </c>
      <c r="M211" s="33" t="n">
        <f>10290</f>
        <v>10290.0</v>
      </c>
      <c r="N211" s="34" t="s">
        <v>175</v>
      </c>
      <c r="O211" s="33" t="n">
        <f>9200</f>
        <v>9200.0</v>
      </c>
      <c r="P211" s="34" t="s">
        <v>48</v>
      </c>
      <c r="Q211" s="33" t="n">
        <f>10290</f>
        <v>10290.0</v>
      </c>
      <c r="R211" s="34" t="s">
        <v>175</v>
      </c>
      <c r="S211" s="35" t="n">
        <f>9933.57</f>
        <v>9933.57</v>
      </c>
      <c r="T211" s="32" t="n">
        <f>10727</f>
        <v>10727.0</v>
      </c>
      <c r="U211" s="32" t="n">
        <f>3000</f>
        <v>3000.0</v>
      </c>
      <c r="V211" s="32" t="n">
        <f>107736060</f>
        <v>1.0773606E8</v>
      </c>
      <c r="W211" s="32" t="n">
        <f>30519000</f>
        <v>3.0519E7</v>
      </c>
      <c r="X211" s="36" t="n">
        <f>14</f>
        <v>14.0</v>
      </c>
    </row>
    <row r="212">
      <c r="A212" s="27" t="s">
        <v>42</v>
      </c>
      <c r="B212" s="27" t="s">
        <v>680</v>
      </c>
      <c r="C212" s="27" t="s">
        <v>681</v>
      </c>
      <c r="D212" s="27" t="s">
        <v>682</v>
      </c>
      <c r="E212" s="28" t="s">
        <v>46</v>
      </c>
      <c r="F212" s="29" t="s">
        <v>46</v>
      </c>
      <c r="G212" s="30" t="s">
        <v>46</v>
      </c>
      <c r="H212" s="31"/>
      <c r="I212" s="31" t="s">
        <v>628</v>
      </c>
      <c r="J212" s="32" t="n">
        <v>1.0</v>
      </c>
      <c r="K212" s="33" t="n">
        <f>11390</f>
        <v>11390.0</v>
      </c>
      <c r="L212" s="34" t="s">
        <v>115</v>
      </c>
      <c r="M212" s="33" t="n">
        <f>11910</f>
        <v>11910.0</v>
      </c>
      <c r="N212" s="34" t="s">
        <v>74</v>
      </c>
      <c r="O212" s="33" t="n">
        <f>11390</f>
        <v>11390.0</v>
      </c>
      <c r="P212" s="34" t="s">
        <v>115</v>
      </c>
      <c r="Q212" s="33" t="n">
        <f>11520</f>
        <v>11520.0</v>
      </c>
      <c r="R212" s="34" t="s">
        <v>50</v>
      </c>
      <c r="S212" s="35" t="n">
        <f>11682.22</f>
        <v>11682.22</v>
      </c>
      <c r="T212" s="32" t="n">
        <f>3417</f>
        <v>3417.0</v>
      </c>
      <c r="U212" s="32" t="str">
        <f>"－"</f>
        <v>－</v>
      </c>
      <c r="V212" s="32" t="n">
        <f>40372510</f>
        <v>4.037251E7</v>
      </c>
      <c r="W212" s="32" t="str">
        <f>"－"</f>
        <v>－</v>
      </c>
      <c r="X212" s="36" t="n">
        <f>9</f>
        <v>9.0</v>
      </c>
    </row>
    <row r="213">
      <c r="A213" s="27" t="s">
        <v>42</v>
      </c>
      <c r="B213" s="27" t="s">
        <v>683</v>
      </c>
      <c r="C213" s="27" t="s">
        <v>684</v>
      </c>
      <c r="D213" s="27" t="s">
        <v>685</v>
      </c>
      <c r="E213" s="28" t="s">
        <v>46</v>
      </c>
      <c r="F213" s="29" t="s">
        <v>46</v>
      </c>
      <c r="G213" s="30" t="s">
        <v>46</v>
      </c>
      <c r="H213" s="31"/>
      <c r="I213" s="31" t="s">
        <v>628</v>
      </c>
      <c r="J213" s="32" t="n">
        <v>1.0</v>
      </c>
      <c r="K213" s="33" t="n">
        <f>11570</f>
        <v>11570.0</v>
      </c>
      <c r="L213" s="34" t="s">
        <v>115</v>
      </c>
      <c r="M213" s="33" t="n">
        <f>12390</f>
        <v>12390.0</v>
      </c>
      <c r="N213" s="34" t="s">
        <v>70</v>
      </c>
      <c r="O213" s="33" t="n">
        <f>11570</f>
        <v>11570.0</v>
      </c>
      <c r="P213" s="34" t="s">
        <v>115</v>
      </c>
      <c r="Q213" s="33" t="n">
        <f>12110</f>
        <v>12110.0</v>
      </c>
      <c r="R213" s="34" t="s">
        <v>74</v>
      </c>
      <c r="S213" s="35" t="n">
        <f>12051.25</f>
        <v>12051.25</v>
      </c>
      <c r="T213" s="32" t="n">
        <f>9647</f>
        <v>9647.0</v>
      </c>
      <c r="U213" s="32" t="n">
        <f>4501</f>
        <v>4501.0</v>
      </c>
      <c r="V213" s="32" t="n">
        <f>118248090</f>
        <v>1.1824809E8</v>
      </c>
      <c r="W213" s="32" t="n">
        <f>55555750</f>
        <v>5.555575E7</v>
      </c>
      <c r="X213" s="36" t="n">
        <f>8</f>
        <v>8.0</v>
      </c>
    </row>
    <row r="214">
      <c r="A214" s="27" t="s">
        <v>42</v>
      </c>
      <c r="B214" s="27" t="s">
        <v>686</v>
      </c>
      <c r="C214" s="27" t="s">
        <v>687</v>
      </c>
      <c r="D214" s="27" t="s">
        <v>688</v>
      </c>
      <c r="E214" s="28" t="s">
        <v>46</v>
      </c>
      <c r="F214" s="29" t="s">
        <v>46</v>
      </c>
      <c r="G214" s="30" t="s">
        <v>46</v>
      </c>
      <c r="H214" s="31"/>
      <c r="I214" s="31" t="s">
        <v>628</v>
      </c>
      <c r="J214" s="32" t="n">
        <v>1.0</v>
      </c>
      <c r="K214" s="33" t="n">
        <f>11540</f>
        <v>11540.0</v>
      </c>
      <c r="L214" s="34" t="s">
        <v>48</v>
      </c>
      <c r="M214" s="33" t="n">
        <f>12800</f>
        <v>12800.0</v>
      </c>
      <c r="N214" s="34" t="s">
        <v>70</v>
      </c>
      <c r="O214" s="33" t="n">
        <f>11520</f>
        <v>11520.0</v>
      </c>
      <c r="P214" s="34" t="s">
        <v>48</v>
      </c>
      <c r="Q214" s="33" t="n">
        <f>12580</f>
        <v>12580.0</v>
      </c>
      <c r="R214" s="34" t="s">
        <v>175</v>
      </c>
      <c r="S214" s="35" t="n">
        <f>12075.71</f>
        <v>12075.71</v>
      </c>
      <c r="T214" s="32" t="n">
        <f>8459</f>
        <v>8459.0</v>
      </c>
      <c r="U214" s="32" t="str">
        <f>"－"</f>
        <v>－</v>
      </c>
      <c r="V214" s="32" t="n">
        <f>102552390</f>
        <v>1.0255239E8</v>
      </c>
      <c r="W214" s="32" t="str">
        <f>"－"</f>
        <v>－</v>
      </c>
      <c r="X214" s="36" t="n">
        <f>14</f>
        <v>14.0</v>
      </c>
    </row>
    <row r="215">
      <c r="A215" s="27" t="s">
        <v>42</v>
      </c>
      <c r="B215" s="27" t="s">
        <v>689</v>
      </c>
      <c r="C215" s="27" t="s">
        <v>690</v>
      </c>
      <c r="D215" s="27" t="s">
        <v>691</v>
      </c>
      <c r="E215" s="28" t="s">
        <v>46</v>
      </c>
      <c r="F215" s="29" t="s">
        <v>46</v>
      </c>
      <c r="G215" s="30" t="s">
        <v>46</v>
      </c>
      <c r="H215" s="31"/>
      <c r="I215" s="31" t="s">
        <v>628</v>
      </c>
      <c r="J215" s="32" t="n">
        <v>1.0</v>
      </c>
      <c r="K215" s="33" t="n">
        <f>11370</f>
        <v>11370.0</v>
      </c>
      <c r="L215" s="34" t="s">
        <v>48</v>
      </c>
      <c r="M215" s="33" t="n">
        <f>12500</f>
        <v>12500.0</v>
      </c>
      <c r="N215" s="34" t="s">
        <v>60</v>
      </c>
      <c r="O215" s="33" t="n">
        <f>11370</f>
        <v>11370.0</v>
      </c>
      <c r="P215" s="34" t="s">
        <v>48</v>
      </c>
      <c r="Q215" s="33" t="n">
        <f>12000</f>
        <v>12000.0</v>
      </c>
      <c r="R215" s="34" t="s">
        <v>50</v>
      </c>
      <c r="S215" s="35" t="n">
        <f>12110</f>
        <v>12110.0</v>
      </c>
      <c r="T215" s="32" t="n">
        <f>22885</f>
        <v>22885.0</v>
      </c>
      <c r="U215" s="32" t="str">
        <f>"－"</f>
        <v>－</v>
      </c>
      <c r="V215" s="32" t="n">
        <f>276202470</f>
        <v>2.7620247E8</v>
      </c>
      <c r="W215" s="32" t="str">
        <f>"－"</f>
        <v>－</v>
      </c>
      <c r="X215" s="36" t="n">
        <f>18</f>
        <v>18.0</v>
      </c>
    </row>
    <row r="216">
      <c r="A216" s="27" t="s">
        <v>42</v>
      </c>
      <c r="B216" s="27" t="s">
        <v>692</v>
      </c>
      <c r="C216" s="27" t="s">
        <v>693</v>
      </c>
      <c r="D216" s="27" t="s">
        <v>694</v>
      </c>
      <c r="E216" s="28" t="s">
        <v>46</v>
      </c>
      <c r="F216" s="29" t="s">
        <v>46</v>
      </c>
      <c r="G216" s="30" t="s">
        <v>46</v>
      </c>
      <c r="H216" s="31"/>
      <c r="I216" s="31" t="s">
        <v>628</v>
      </c>
      <c r="J216" s="32" t="n">
        <v>1.0</v>
      </c>
      <c r="K216" s="33" t="n">
        <f>12570</f>
        <v>12570.0</v>
      </c>
      <c r="L216" s="34" t="s">
        <v>48</v>
      </c>
      <c r="M216" s="33" t="n">
        <f>13750</f>
        <v>13750.0</v>
      </c>
      <c r="N216" s="34" t="s">
        <v>74</v>
      </c>
      <c r="O216" s="33" t="n">
        <f>12570</f>
        <v>12570.0</v>
      </c>
      <c r="P216" s="34" t="s">
        <v>48</v>
      </c>
      <c r="Q216" s="33" t="n">
        <f>12880</f>
        <v>12880.0</v>
      </c>
      <c r="R216" s="34" t="s">
        <v>50</v>
      </c>
      <c r="S216" s="35" t="n">
        <f>13186</f>
        <v>13186.0</v>
      </c>
      <c r="T216" s="32" t="n">
        <f>827</f>
        <v>827.0</v>
      </c>
      <c r="U216" s="32" t="str">
        <f>"－"</f>
        <v>－</v>
      </c>
      <c r="V216" s="32" t="n">
        <f>11221040</f>
        <v>1.122104E7</v>
      </c>
      <c r="W216" s="32" t="str">
        <f>"－"</f>
        <v>－</v>
      </c>
      <c r="X216" s="36" t="n">
        <f>5</f>
        <v>5.0</v>
      </c>
    </row>
    <row r="217">
      <c r="A217" s="27" t="s">
        <v>42</v>
      </c>
      <c r="B217" s="27" t="s">
        <v>695</v>
      </c>
      <c r="C217" s="27" t="s">
        <v>696</v>
      </c>
      <c r="D217" s="27" t="s">
        <v>697</v>
      </c>
      <c r="E217" s="28" t="s">
        <v>46</v>
      </c>
      <c r="F217" s="29" t="s">
        <v>46</v>
      </c>
      <c r="G217" s="30" t="s">
        <v>46</v>
      </c>
      <c r="H217" s="31"/>
      <c r="I217" s="31" t="s">
        <v>628</v>
      </c>
      <c r="J217" s="32" t="n">
        <v>1.0</v>
      </c>
      <c r="K217" s="33" t="n">
        <f>11710</f>
        <v>11710.0</v>
      </c>
      <c r="L217" s="34" t="s">
        <v>48</v>
      </c>
      <c r="M217" s="33" t="n">
        <f>12380</f>
        <v>12380.0</v>
      </c>
      <c r="N217" s="34" t="s">
        <v>49</v>
      </c>
      <c r="O217" s="33" t="n">
        <f>11710</f>
        <v>11710.0</v>
      </c>
      <c r="P217" s="34" t="s">
        <v>48</v>
      </c>
      <c r="Q217" s="33" t="n">
        <f>12380</f>
        <v>12380.0</v>
      </c>
      <c r="R217" s="34" t="s">
        <v>49</v>
      </c>
      <c r="S217" s="35" t="n">
        <f>11930</f>
        <v>11930.0</v>
      </c>
      <c r="T217" s="32" t="n">
        <f>512</f>
        <v>512.0</v>
      </c>
      <c r="U217" s="32" t="str">
        <f>"－"</f>
        <v>－</v>
      </c>
      <c r="V217" s="32" t="n">
        <f>6143070</f>
        <v>6143070.0</v>
      </c>
      <c r="W217" s="32" t="str">
        <f>"－"</f>
        <v>－</v>
      </c>
      <c r="X217" s="36" t="n">
        <f>5</f>
        <v>5.0</v>
      </c>
    </row>
    <row r="218">
      <c r="A218" s="27" t="s">
        <v>42</v>
      </c>
      <c r="B218" s="27" t="s">
        <v>698</v>
      </c>
      <c r="C218" s="27" t="s">
        <v>699</v>
      </c>
      <c r="D218" s="27" t="s">
        <v>700</v>
      </c>
      <c r="E218" s="28" t="s">
        <v>46</v>
      </c>
      <c r="F218" s="29" t="s">
        <v>46</v>
      </c>
      <c r="G218" s="30" t="s">
        <v>46</v>
      </c>
      <c r="H218" s="31"/>
      <c r="I218" s="31" t="s">
        <v>628</v>
      </c>
      <c r="J218" s="32" t="n">
        <v>1.0</v>
      </c>
      <c r="K218" s="33" t="n">
        <f>10340</f>
        <v>10340.0</v>
      </c>
      <c r="L218" s="34" t="s">
        <v>48</v>
      </c>
      <c r="M218" s="33" t="n">
        <f>10850</f>
        <v>10850.0</v>
      </c>
      <c r="N218" s="34" t="s">
        <v>174</v>
      </c>
      <c r="O218" s="33" t="n">
        <f>10020</f>
        <v>10020.0</v>
      </c>
      <c r="P218" s="34" t="s">
        <v>50</v>
      </c>
      <c r="Q218" s="33" t="n">
        <f>10020</f>
        <v>10020.0</v>
      </c>
      <c r="R218" s="34" t="s">
        <v>50</v>
      </c>
      <c r="S218" s="35" t="n">
        <f>10533.33</f>
        <v>10533.33</v>
      </c>
      <c r="T218" s="32" t="n">
        <f>22666</f>
        <v>22666.0</v>
      </c>
      <c r="U218" s="32" t="str">
        <f>"－"</f>
        <v>－</v>
      </c>
      <c r="V218" s="32" t="n">
        <f>241117500</f>
        <v>2.411175E8</v>
      </c>
      <c r="W218" s="32" t="str">
        <f>"－"</f>
        <v>－</v>
      </c>
      <c r="X218" s="36" t="n">
        <f>18</f>
        <v>18.0</v>
      </c>
    </row>
    <row r="219">
      <c r="A219" s="27" t="s">
        <v>42</v>
      </c>
      <c r="B219" s="27" t="s">
        <v>701</v>
      </c>
      <c r="C219" s="27" t="s">
        <v>702</v>
      </c>
      <c r="D219" s="27" t="s">
        <v>703</v>
      </c>
      <c r="E219" s="28" t="s">
        <v>46</v>
      </c>
      <c r="F219" s="29" t="s">
        <v>46</v>
      </c>
      <c r="G219" s="30" t="s">
        <v>46</v>
      </c>
      <c r="H219" s="31"/>
      <c r="I219" s="31" t="s">
        <v>628</v>
      </c>
      <c r="J219" s="32" t="n">
        <v>1.0</v>
      </c>
      <c r="K219" s="33" t="n">
        <f>10440</f>
        <v>10440.0</v>
      </c>
      <c r="L219" s="34" t="s">
        <v>48</v>
      </c>
      <c r="M219" s="33" t="n">
        <f>11050</f>
        <v>11050.0</v>
      </c>
      <c r="N219" s="34" t="s">
        <v>49</v>
      </c>
      <c r="O219" s="33" t="n">
        <f>10230</f>
        <v>10230.0</v>
      </c>
      <c r="P219" s="34" t="s">
        <v>50</v>
      </c>
      <c r="Q219" s="33" t="n">
        <f>10240</f>
        <v>10240.0</v>
      </c>
      <c r="R219" s="34" t="s">
        <v>50</v>
      </c>
      <c r="S219" s="35" t="n">
        <f>10748.33</f>
        <v>10748.33</v>
      </c>
      <c r="T219" s="32" t="n">
        <f>68494</f>
        <v>68494.0</v>
      </c>
      <c r="U219" s="32" t="str">
        <f>"－"</f>
        <v>－</v>
      </c>
      <c r="V219" s="32" t="n">
        <f>733513190</f>
        <v>7.3351319E8</v>
      </c>
      <c r="W219" s="32" t="str">
        <f>"－"</f>
        <v>－</v>
      </c>
      <c r="X219" s="36" t="n">
        <f>18</f>
        <v>18.0</v>
      </c>
    </row>
    <row r="220">
      <c r="A220" s="27" t="s">
        <v>42</v>
      </c>
      <c r="B220" s="27" t="s">
        <v>704</v>
      </c>
      <c r="C220" s="27" t="s">
        <v>705</v>
      </c>
      <c r="D220" s="27" t="s">
        <v>706</v>
      </c>
      <c r="E220" s="28" t="s">
        <v>46</v>
      </c>
      <c r="F220" s="29" t="s">
        <v>46</v>
      </c>
      <c r="G220" s="30" t="s">
        <v>46</v>
      </c>
      <c r="H220" s="31"/>
      <c r="I220" s="31" t="s">
        <v>628</v>
      </c>
      <c r="J220" s="32" t="n">
        <v>1.0</v>
      </c>
      <c r="K220" s="33" t="n">
        <f>10400</f>
        <v>10400.0</v>
      </c>
      <c r="L220" s="34" t="s">
        <v>48</v>
      </c>
      <c r="M220" s="33" t="n">
        <f>11050</f>
        <v>11050.0</v>
      </c>
      <c r="N220" s="34" t="s">
        <v>49</v>
      </c>
      <c r="O220" s="33" t="n">
        <f>10380</f>
        <v>10380.0</v>
      </c>
      <c r="P220" s="34" t="s">
        <v>50</v>
      </c>
      <c r="Q220" s="33" t="n">
        <f>10380</f>
        <v>10380.0</v>
      </c>
      <c r="R220" s="34" t="s">
        <v>50</v>
      </c>
      <c r="S220" s="35" t="n">
        <f>10728.24</f>
        <v>10728.24</v>
      </c>
      <c r="T220" s="32" t="n">
        <f>45448</f>
        <v>45448.0</v>
      </c>
      <c r="U220" s="32" t="str">
        <f>"－"</f>
        <v>－</v>
      </c>
      <c r="V220" s="32" t="n">
        <f>482519470</f>
        <v>4.8251947E8</v>
      </c>
      <c r="W220" s="32" t="str">
        <f>"－"</f>
        <v>－</v>
      </c>
      <c r="X220" s="36" t="n">
        <f>17</f>
        <v>17.0</v>
      </c>
    </row>
    <row r="221">
      <c r="A221" s="27" t="s">
        <v>42</v>
      </c>
      <c r="B221" s="27" t="s">
        <v>707</v>
      </c>
      <c r="C221" s="27" t="s">
        <v>708</v>
      </c>
      <c r="D221" s="27" t="s">
        <v>709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996</f>
        <v>996.0</v>
      </c>
      <c r="L221" s="34" t="s">
        <v>48</v>
      </c>
      <c r="M221" s="33" t="n">
        <f>997</f>
        <v>997.0</v>
      </c>
      <c r="N221" s="34" t="s">
        <v>549</v>
      </c>
      <c r="O221" s="33" t="n">
        <f>985</f>
        <v>985.0</v>
      </c>
      <c r="P221" s="34" t="s">
        <v>50</v>
      </c>
      <c r="Q221" s="33" t="n">
        <f>987</f>
        <v>987.0</v>
      </c>
      <c r="R221" s="34" t="s">
        <v>50</v>
      </c>
      <c r="S221" s="35" t="n">
        <f>993.17</f>
        <v>993.17</v>
      </c>
      <c r="T221" s="32" t="n">
        <f>3706130</f>
        <v>3706130.0</v>
      </c>
      <c r="U221" s="32" t="n">
        <f>1951700</f>
        <v>1951700.0</v>
      </c>
      <c r="V221" s="32" t="n">
        <f>3681831358</f>
        <v>3.681831358E9</v>
      </c>
      <c r="W221" s="32" t="n">
        <f>1942046388</f>
        <v>1.942046388E9</v>
      </c>
      <c r="X221" s="36" t="n">
        <f>18</f>
        <v>18.0</v>
      </c>
    </row>
    <row r="222">
      <c r="A222" s="27" t="s">
        <v>42</v>
      </c>
      <c r="B222" s="27" t="s">
        <v>710</v>
      </c>
      <c r="C222" s="27" t="s">
        <v>711</v>
      </c>
      <c r="D222" s="27" t="s">
        <v>712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1007</f>
        <v>1007.0</v>
      </c>
      <c r="L222" s="34" t="s">
        <v>48</v>
      </c>
      <c r="M222" s="33" t="n">
        <f>1015</f>
        <v>1015.0</v>
      </c>
      <c r="N222" s="34" t="s">
        <v>49</v>
      </c>
      <c r="O222" s="33" t="n">
        <f>996</f>
        <v>996.0</v>
      </c>
      <c r="P222" s="34" t="s">
        <v>50</v>
      </c>
      <c r="Q222" s="33" t="n">
        <f>998</f>
        <v>998.0</v>
      </c>
      <c r="R222" s="34" t="s">
        <v>50</v>
      </c>
      <c r="S222" s="35" t="n">
        <f>1005.44</f>
        <v>1005.44</v>
      </c>
      <c r="T222" s="32" t="n">
        <f>1331610</f>
        <v>1331610.0</v>
      </c>
      <c r="U222" s="32" t="n">
        <f>20</f>
        <v>20.0</v>
      </c>
      <c r="V222" s="32" t="n">
        <f>1338366130</f>
        <v>1.33836613E9</v>
      </c>
      <c r="W222" s="32" t="n">
        <f>20100</f>
        <v>20100.0</v>
      </c>
      <c r="X222" s="36" t="n">
        <f>18</f>
        <v>18.0</v>
      </c>
    </row>
    <row r="223">
      <c r="A223" s="27" t="s">
        <v>42</v>
      </c>
      <c r="B223" s="27" t="s">
        <v>713</v>
      </c>
      <c r="C223" s="27" t="s">
        <v>714</v>
      </c>
      <c r="D223" s="27" t="s">
        <v>715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1050</f>
        <v>1050.0</v>
      </c>
      <c r="L223" s="34" t="s">
        <v>48</v>
      </c>
      <c r="M223" s="33" t="n">
        <f>1052</f>
        <v>1052.0</v>
      </c>
      <c r="N223" s="34" t="s">
        <v>48</v>
      </c>
      <c r="O223" s="33" t="n">
        <f>1018</f>
        <v>1018.0</v>
      </c>
      <c r="P223" s="34" t="s">
        <v>50</v>
      </c>
      <c r="Q223" s="33" t="n">
        <f>1021</f>
        <v>1021.0</v>
      </c>
      <c r="R223" s="34" t="s">
        <v>50</v>
      </c>
      <c r="S223" s="35" t="n">
        <f>1041.17</f>
        <v>1041.17</v>
      </c>
      <c r="T223" s="32" t="n">
        <f>6653410</f>
        <v>6653410.0</v>
      </c>
      <c r="U223" s="32" t="n">
        <f>4374490</f>
        <v>4374490.0</v>
      </c>
      <c r="V223" s="32" t="n">
        <f>6916908747</f>
        <v>6.916908747E9</v>
      </c>
      <c r="W223" s="32" t="n">
        <f>4560093017</f>
        <v>4.560093017E9</v>
      </c>
      <c r="X223" s="36" t="n">
        <f>18</f>
        <v>18.0</v>
      </c>
    </row>
    <row r="224">
      <c r="A224" s="27" t="s">
        <v>42</v>
      </c>
      <c r="B224" s="27" t="s">
        <v>716</v>
      </c>
      <c r="C224" s="27" t="s">
        <v>717</v>
      </c>
      <c r="D224" s="27" t="s">
        <v>718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1234</f>
        <v>1234.0</v>
      </c>
      <c r="L224" s="34" t="s">
        <v>48</v>
      </c>
      <c r="M224" s="33" t="n">
        <f>1343</f>
        <v>1343.0</v>
      </c>
      <c r="N224" s="34" t="s">
        <v>49</v>
      </c>
      <c r="O224" s="33" t="n">
        <f>1231</f>
        <v>1231.0</v>
      </c>
      <c r="P224" s="34" t="s">
        <v>48</v>
      </c>
      <c r="Q224" s="33" t="n">
        <f>1302</f>
        <v>1302.0</v>
      </c>
      <c r="R224" s="34" t="s">
        <v>50</v>
      </c>
      <c r="S224" s="35" t="n">
        <f>1308.83</f>
        <v>1308.83</v>
      </c>
      <c r="T224" s="32" t="n">
        <f>2269110</f>
        <v>2269110.0</v>
      </c>
      <c r="U224" s="32" t="n">
        <f>1437960</f>
        <v>1437960.0</v>
      </c>
      <c r="V224" s="32" t="n">
        <f>2955730732</f>
        <v>2.955730732E9</v>
      </c>
      <c r="W224" s="32" t="n">
        <f>1895834232</f>
        <v>1.895834232E9</v>
      </c>
      <c r="X224" s="36" t="n">
        <f>18</f>
        <v>18.0</v>
      </c>
    </row>
    <row r="225">
      <c r="A225" s="27" t="s">
        <v>42</v>
      </c>
      <c r="B225" s="27" t="s">
        <v>719</v>
      </c>
      <c r="C225" s="27" t="s">
        <v>720</v>
      </c>
      <c r="D225" s="27" t="s">
        <v>721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1277</f>
        <v>1277.0</v>
      </c>
      <c r="L225" s="34" t="s">
        <v>48</v>
      </c>
      <c r="M225" s="33" t="n">
        <f>1384</f>
        <v>1384.0</v>
      </c>
      <c r="N225" s="34" t="s">
        <v>174</v>
      </c>
      <c r="O225" s="33" t="n">
        <f>1277</f>
        <v>1277.0</v>
      </c>
      <c r="P225" s="34" t="s">
        <v>48</v>
      </c>
      <c r="Q225" s="33" t="n">
        <f>1322</f>
        <v>1322.0</v>
      </c>
      <c r="R225" s="34" t="s">
        <v>50</v>
      </c>
      <c r="S225" s="35" t="n">
        <f>1345.76</f>
        <v>1345.76</v>
      </c>
      <c r="T225" s="32" t="n">
        <f>52110</f>
        <v>52110.0</v>
      </c>
      <c r="U225" s="32" t="str">
        <f>"－"</f>
        <v>－</v>
      </c>
      <c r="V225" s="32" t="n">
        <f>70205910</f>
        <v>7.020591E7</v>
      </c>
      <c r="W225" s="32" t="str">
        <f>"－"</f>
        <v>－</v>
      </c>
      <c r="X225" s="36" t="n">
        <f>17</f>
        <v>17.0</v>
      </c>
    </row>
    <row r="226">
      <c r="A226" s="27" t="s">
        <v>42</v>
      </c>
      <c r="B226" s="27" t="s">
        <v>722</v>
      </c>
      <c r="C226" s="27" t="s">
        <v>723</v>
      </c>
      <c r="D226" s="27" t="s">
        <v>724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910</f>
        <v>910.0</v>
      </c>
      <c r="L226" s="34" t="s">
        <v>48</v>
      </c>
      <c r="M226" s="33" t="n">
        <f>994</f>
        <v>994.0</v>
      </c>
      <c r="N226" s="34" t="s">
        <v>175</v>
      </c>
      <c r="O226" s="33" t="n">
        <f>910</f>
        <v>910.0</v>
      </c>
      <c r="P226" s="34" t="s">
        <v>48</v>
      </c>
      <c r="Q226" s="33" t="n">
        <f>972</f>
        <v>972.0</v>
      </c>
      <c r="R226" s="34" t="s">
        <v>50</v>
      </c>
      <c r="S226" s="35" t="n">
        <f>954.72</f>
        <v>954.72</v>
      </c>
      <c r="T226" s="32" t="n">
        <f>706000</f>
        <v>706000.0</v>
      </c>
      <c r="U226" s="32" t="n">
        <f>266040</f>
        <v>266040.0</v>
      </c>
      <c r="V226" s="32" t="n">
        <f>674785016</f>
        <v>6.74785016E8</v>
      </c>
      <c r="W226" s="32" t="n">
        <f>255840626</f>
        <v>2.55840626E8</v>
      </c>
      <c r="X226" s="36" t="n">
        <f>18</f>
        <v>18.0</v>
      </c>
    </row>
    <row r="227">
      <c r="A227" s="27" t="s">
        <v>42</v>
      </c>
      <c r="B227" s="27" t="s">
        <v>725</v>
      </c>
      <c r="C227" s="27" t="s">
        <v>726</v>
      </c>
      <c r="D227" s="27" t="s">
        <v>727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918</f>
        <v>918.0</v>
      </c>
      <c r="L227" s="34" t="s">
        <v>48</v>
      </c>
      <c r="M227" s="33" t="n">
        <f>1033</f>
        <v>1033.0</v>
      </c>
      <c r="N227" s="34" t="s">
        <v>49</v>
      </c>
      <c r="O227" s="33" t="n">
        <f>915</f>
        <v>915.0</v>
      </c>
      <c r="P227" s="34" t="s">
        <v>48</v>
      </c>
      <c r="Q227" s="33" t="n">
        <f>933</f>
        <v>933.0</v>
      </c>
      <c r="R227" s="34" t="s">
        <v>50</v>
      </c>
      <c r="S227" s="35" t="n">
        <f>971.78</f>
        <v>971.78</v>
      </c>
      <c r="T227" s="32" t="n">
        <f>8990600</f>
        <v>8990600.0</v>
      </c>
      <c r="U227" s="32" t="n">
        <f>53380</f>
        <v>53380.0</v>
      </c>
      <c r="V227" s="32" t="n">
        <f>8766403760</f>
        <v>8.76640376E9</v>
      </c>
      <c r="W227" s="32" t="n">
        <f>53057770</f>
        <v>5.305777E7</v>
      </c>
      <c r="X227" s="36" t="n">
        <f>18</f>
        <v>18.0</v>
      </c>
    </row>
    <row r="228">
      <c r="A228" s="27" t="s">
        <v>42</v>
      </c>
      <c r="B228" s="27" t="s">
        <v>728</v>
      </c>
      <c r="C228" s="27" t="s">
        <v>729</v>
      </c>
      <c r="D228" s="27" t="s">
        <v>730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1088</f>
        <v>1088.0</v>
      </c>
      <c r="L228" s="34" t="s">
        <v>48</v>
      </c>
      <c r="M228" s="33" t="n">
        <f>1177</f>
        <v>1177.0</v>
      </c>
      <c r="N228" s="34" t="s">
        <v>175</v>
      </c>
      <c r="O228" s="33" t="n">
        <f>1074</f>
        <v>1074.0</v>
      </c>
      <c r="P228" s="34" t="s">
        <v>115</v>
      </c>
      <c r="Q228" s="33" t="n">
        <f>1141</f>
        <v>1141.0</v>
      </c>
      <c r="R228" s="34" t="s">
        <v>50</v>
      </c>
      <c r="S228" s="35" t="n">
        <f>1123.61</f>
        <v>1123.61</v>
      </c>
      <c r="T228" s="32" t="n">
        <f>958980</f>
        <v>958980.0</v>
      </c>
      <c r="U228" s="32" t="n">
        <f>322000</f>
        <v>322000.0</v>
      </c>
      <c r="V228" s="32" t="n">
        <f>1088932570</f>
        <v>1.08893257E9</v>
      </c>
      <c r="W228" s="32" t="n">
        <f>373512300</f>
        <v>3.735123E8</v>
      </c>
      <c r="X228" s="36" t="n">
        <f>18</f>
        <v>18.0</v>
      </c>
    </row>
    <row r="229">
      <c r="A229" s="27" t="s">
        <v>42</v>
      </c>
      <c r="B229" s="27" t="s">
        <v>731</v>
      </c>
      <c r="C229" s="27" t="s">
        <v>732</v>
      </c>
      <c r="D229" s="27" t="s">
        <v>733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1064</f>
        <v>1064.0</v>
      </c>
      <c r="L229" s="34" t="s">
        <v>48</v>
      </c>
      <c r="M229" s="33" t="n">
        <f>1150</f>
        <v>1150.0</v>
      </c>
      <c r="N229" s="34" t="s">
        <v>49</v>
      </c>
      <c r="O229" s="33" t="n">
        <f>1063</f>
        <v>1063.0</v>
      </c>
      <c r="P229" s="34" t="s">
        <v>48</v>
      </c>
      <c r="Q229" s="33" t="n">
        <f>1082</f>
        <v>1082.0</v>
      </c>
      <c r="R229" s="34" t="s">
        <v>50</v>
      </c>
      <c r="S229" s="35" t="n">
        <f>1112.06</f>
        <v>1112.06</v>
      </c>
      <c r="T229" s="32" t="n">
        <f>10723</f>
        <v>10723.0</v>
      </c>
      <c r="U229" s="32" t="str">
        <f>"－"</f>
        <v>－</v>
      </c>
      <c r="V229" s="32" t="n">
        <f>11972372</f>
        <v>1.1972372E7</v>
      </c>
      <c r="W229" s="32" t="str">
        <f>"－"</f>
        <v>－</v>
      </c>
      <c r="X229" s="36" t="n">
        <f>18</f>
        <v>18.0</v>
      </c>
    </row>
    <row r="230">
      <c r="A230" s="27" t="s">
        <v>42</v>
      </c>
      <c r="B230" s="27" t="s">
        <v>734</v>
      </c>
      <c r="C230" s="27" t="s">
        <v>735</v>
      </c>
      <c r="D230" s="27" t="s">
        <v>736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1024</f>
        <v>1024.0</v>
      </c>
      <c r="L230" s="34" t="s">
        <v>48</v>
      </c>
      <c r="M230" s="33" t="n">
        <f>1039</f>
        <v>1039.0</v>
      </c>
      <c r="N230" s="34" t="s">
        <v>49</v>
      </c>
      <c r="O230" s="33" t="n">
        <f>1000</f>
        <v>1000.0</v>
      </c>
      <c r="P230" s="34" t="s">
        <v>50</v>
      </c>
      <c r="Q230" s="33" t="n">
        <f>1000</f>
        <v>1000.0</v>
      </c>
      <c r="R230" s="34" t="s">
        <v>50</v>
      </c>
      <c r="S230" s="35" t="n">
        <f>1026.39</f>
        <v>1026.39</v>
      </c>
      <c r="T230" s="32" t="n">
        <f>172700</f>
        <v>172700.0</v>
      </c>
      <c r="U230" s="32" t="n">
        <f>87380</f>
        <v>87380.0</v>
      </c>
      <c r="V230" s="32" t="n">
        <f>177786116</f>
        <v>1.77786116E8</v>
      </c>
      <c r="W230" s="32" t="n">
        <f>90428646</f>
        <v>9.0428646E7</v>
      </c>
      <c r="X230" s="36" t="n">
        <f>18</f>
        <v>18.0</v>
      </c>
    </row>
    <row r="231">
      <c r="A231" s="27" t="s">
        <v>42</v>
      </c>
      <c r="B231" s="27" t="s">
        <v>737</v>
      </c>
      <c r="C231" s="27" t="s">
        <v>738</v>
      </c>
      <c r="D231" s="27" t="s">
        <v>739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1201</f>
        <v>1201.0</v>
      </c>
      <c r="L231" s="34" t="s">
        <v>48</v>
      </c>
      <c r="M231" s="33" t="n">
        <f>1339</f>
        <v>1339.0</v>
      </c>
      <c r="N231" s="34" t="s">
        <v>49</v>
      </c>
      <c r="O231" s="33" t="n">
        <f>1186</f>
        <v>1186.0</v>
      </c>
      <c r="P231" s="34" t="s">
        <v>48</v>
      </c>
      <c r="Q231" s="33" t="n">
        <f>1223</f>
        <v>1223.0</v>
      </c>
      <c r="R231" s="34" t="s">
        <v>50</v>
      </c>
      <c r="S231" s="35" t="n">
        <f>1274.28</f>
        <v>1274.28</v>
      </c>
      <c r="T231" s="32" t="n">
        <f>168320</f>
        <v>168320.0</v>
      </c>
      <c r="U231" s="32" t="n">
        <f>41460</f>
        <v>41460.0</v>
      </c>
      <c r="V231" s="32" t="n">
        <f>216490032</f>
        <v>2.16490032E8</v>
      </c>
      <c r="W231" s="32" t="n">
        <f>54392852</f>
        <v>5.4392852E7</v>
      </c>
      <c r="X231" s="36" t="n">
        <f>18</f>
        <v>18.0</v>
      </c>
    </row>
    <row r="232">
      <c r="A232" s="27" t="s">
        <v>42</v>
      </c>
      <c r="B232" s="27" t="s">
        <v>740</v>
      </c>
      <c r="C232" s="27" t="s">
        <v>741</v>
      </c>
      <c r="D232" s="27" t="s">
        <v>742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1279</f>
        <v>1279.0</v>
      </c>
      <c r="L232" s="34" t="s">
        <v>48</v>
      </c>
      <c r="M232" s="33" t="n">
        <f>1379</f>
        <v>1379.0</v>
      </c>
      <c r="N232" s="34" t="s">
        <v>49</v>
      </c>
      <c r="O232" s="33" t="n">
        <f>1279</f>
        <v>1279.0</v>
      </c>
      <c r="P232" s="34" t="s">
        <v>48</v>
      </c>
      <c r="Q232" s="33" t="n">
        <f>1324</f>
        <v>1324.0</v>
      </c>
      <c r="R232" s="34" t="s">
        <v>50</v>
      </c>
      <c r="S232" s="35" t="n">
        <f>1349.89</f>
        <v>1349.89</v>
      </c>
      <c r="T232" s="32" t="n">
        <f>12818500</f>
        <v>1.28185E7</v>
      </c>
      <c r="U232" s="32" t="n">
        <f>3935790</f>
        <v>3935790.0</v>
      </c>
      <c r="V232" s="32" t="n">
        <f>17293158330</f>
        <v>1.729315833E10</v>
      </c>
      <c r="W232" s="32" t="n">
        <f>5282847850</f>
        <v>5.28284785E9</v>
      </c>
      <c r="X232" s="36" t="n">
        <f>18</f>
        <v>18.0</v>
      </c>
    </row>
    <row r="233">
      <c r="A233" s="27" t="s">
        <v>42</v>
      </c>
      <c r="B233" s="27" t="s">
        <v>743</v>
      </c>
      <c r="C233" s="27" t="s">
        <v>744</v>
      </c>
      <c r="D233" s="27" t="s">
        <v>745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3330</f>
        <v>3330.0</v>
      </c>
      <c r="L233" s="34" t="s">
        <v>48</v>
      </c>
      <c r="M233" s="33" t="n">
        <f>3770</f>
        <v>3770.0</v>
      </c>
      <c r="N233" s="34" t="s">
        <v>49</v>
      </c>
      <c r="O233" s="33" t="n">
        <f>3320</f>
        <v>3320.0</v>
      </c>
      <c r="P233" s="34" t="s">
        <v>48</v>
      </c>
      <c r="Q233" s="33" t="n">
        <f>3430</f>
        <v>3430.0</v>
      </c>
      <c r="R233" s="34" t="s">
        <v>50</v>
      </c>
      <c r="S233" s="35" t="n">
        <f>3583.06</f>
        <v>3583.06</v>
      </c>
      <c r="T233" s="32" t="n">
        <f>147915</f>
        <v>147915.0</v>
      </c>
      <c r="U233" s="32" t="n">
        <f>3</f>
        <v>3.0</v>
      </c>
      <c r="V233" s="32" t="n">
        <f>527001240</f>
        <v>5.2700124E8</v>
      </c>
      <c r="W233" s="32" t="n">
        <f>10965</f>
        <v>10965.0</v>
      </c>
      <c r="X233" s="36" t="n">
        <f>18</f>
        <v>18.0</v>
      </c>
    </row>
    <row r="234">
      <c r="A234" s="27" t="s">
        <v>42</v>
      </c>
      <c r="B234" s="27" t="s">
        <v>746</v>
      </c>
      <c r="C234" s="27" t="s">
        <v>747</v>
      </c>
      <c r="D234" s="27" t="s">
        <v>748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1654</f>
        <v>1654.0</v>
      </c>
      <c r="L234" s="34" t="s">
        <v>48</v>
      </c>
      <c r="M234" s="33" t="n">
        <f>1812</f>
        <v>1812.0</v>
      </c>
      <c r="N234" s="34" t="s">
        <v>70</v>
      </c>
      <c r="O234" s="33" t="n">
        <f>1637</f>
        <v>1637.0</v>
      </c>
      <c r="P234" s="34" t="s">
        <v>48</v>
      </c>
      <c r="Q234" s="33" t="n">
        <f>1789</f>
        <v>1789.0</v>
      </c>
      <c r="R234" s="34" t="s">
        <v>50</v>
      </c>
      <c r="S234" s="35" t="n">
        <f>1737.31</f>
        <v>1737.31</v>
      </c>
      <c r="T234" s="32" t="n">
        <f>7740</f>
        <v>7740.0</v>
      </c>
      <c r="U234" s="32" t="str">
        <f>"－"</f>
        <v>－</v>
      </c>
      <c r="V234" s="32" t="n">
        <f>13592730</f>
        <v>1.359273E7</v>
      </c>
      <c r="W234" s="32" t="str">
        <f>"－"</f>
        <v>－</v>
      </c>
      <c r="X234" s="36" t="n">
        <f>16</f>
        <v>16.0</v>
      </c>
    </row>
    <row r="235">
      <c r="A235" s="27" t="s">
        <v>42</v>
      </c>
      <c r="B235" s="27" t="s">
        <v>749</v>
      </c>
      <c r="C235" s="27" t="s">
        <v>750</v>
      </c>
      <c r="D235" s="27" t="s">
        <v>751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1838</f>
        <v>1838.0</v>
      </c>
      <c r="L235" s="34" t="s">
        <v>48</v>
      </c>
      <c r="M235" s="33" t="n">
        <f>1989</f>
        <v>1989.0</v>
      </c>
      <c r="N235" s="34" t="s">
        <v>70</v>
      </c>
      <c r="O235" s="33" t="n">
        <f>1838</f>
        <v>1838.0</v>
      </c>
      <c r="P235" s="34" t="s">
        <v>48</v>
      </c>
      <c r="Q235" s="33" t="n">
        <f>1883</f>
        <v>1883.0</v>
      </c>
      <c r="R235" s="34" t="s">
        <v>50</v>
      </c>
      <c r="S235" s="35" t="n">
        <f>1943.13</f>
        <v>1943.13</v>
      </c>
      <c r="T235" s="32" t="n">
        <f>95910</f>
        <v>95910.0</v>
      </c>
      <c r="U235" s="32" t="str">
        <f>"－"</f>
        <v>－</v>
      </c>
      <c r="V235" s="32" t="n">
        <f>184065490</f>
        <v>1.8406549E8</v>
      </c>
      <c r="W235" s="32" t="str">
        <f>"－"</f>
        <v>－</v>
      </c>
      <c r="X235" s="36" t="n">
        <f>8</f>
        <v>8.0</v>
      </c>
    </row>
    <row r="236">
      <c r="A236" s="27" t="s">
        <v>42</v>
      </c>
      <c r="B236" s="27" t="s">
        <v>752</v>
      </c>
      <c r="C236" s="27" t="s">
        <v>753</v>
      </c>
      <c r="D236" s="27" t="s">
        <v>754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27990</f>
        <v>27990.0</v>
      </c>
      <c r="L236" s="34" t="s">
        <v>48</v>
      </c>
      <c r="M236" s="33" t="n">
        <f>30950</f>
        <v>30950.0</v>
      </c>
      <c r="N236" s="34" t="s">
        <v>49</v>
      </c>
      <c r="O236" s="33" t="n">
        <f>27990</f>
        <v>27990.0</v>
      </c>
      <c r="P236" s="34" t="s">
        <v>48</v>
      </c>
      <c r="Q236" s="33" t="n">
        <f>29390</f>
        <v>29390.0</v>
      </c>
      <c r="R236" s="34" t="s">
        <v>50</v>
      </c>
      <c r="S236" s="35" t="n">
        <f>29727.22</f>
        <v>29727.22</v>
      </c>
      <c r="T236" s="32" t="n">
        <f>3344</f>
        <v>3344.0</v>
      </c>
      <c r="U236" s="32" t="n">
        <f>2342</f>
        <v>2342.0</v>
      </c>
      <c r="V236" s="32" t="n">
        <f>101286260</f>
        <v>1.0128626E8</v>
      </c>
      <c r="W236" s="32" t="n">
        <f>71231930</f>
        <v>7.123193E7</v>
      </c>
      <c r="X236" s="36" t="n">
        <f>18</f>
        <v>18.0</v>
      </c>
    </row>
    <row r="237">
      <c r="A237" s="27" t="s">
        <v>42</v>
      </c>
      <c r="B237" s="27" t="s">
        <v>755</v>
      </c>
      <c r="C237" s="27" t="s">
        <v>756</v>
      </c>
      <c r="D237" s="27" t="s">
        <v>757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16570</f>
        <v>16570.0</v>
      </c>
      <c r="L237" s="34" t="s">
        <v>48</v>
      </c>
      <c r="M237" s="33" t="n">
        <f>18020</f>
        <v>18020.0</v>
      </c>
      <c r="N237" s="34" t="s">
        <v>49</v>
      </c>
      <c r="O237" s="33" t="n">
        <f>16570</f>
        <v>16570.0</v>
      </c>
      <c r="P237" s="34" t="s">
        <v>48</v>
      </c>
      <c r="Q237" s="33" t="n">
        <f>17230</f>
        <v>17230.0</v>
      </c>
      <c r="R237" s="34" t="s">
        <v>50</v>
      </c>
      <c r="S237" s="35" t="n">
        <f>17472.5</f>
        <v>17472.5</v>
      </c>
      <c r="T237" s="32" t="n">
        <f>142535</f>
        <v>142535.0</v>
      </c>
      <c r="U237" s="32" t="n">
        <f>30000</f>
        <v>30000.0</v>
      </c>
      <c r="V237" s="32" t="n">
        <f>2506493630</f>
        <v>2.50649363E9</v>
      </c>
      <c r="W237" s="32" t="n">
        <f>527050000</f>
        <v>5.2705E8</v>
      </c>
      <c r="X237" s="36" t="n">
        <f>16</f>
        <v>16.0</v>
      </c>
    </row>
    <row r="238">
      <c r="A238" s="27" t="s">
        <v>42</v>
      </c>
      <c r="B238" s="27" t="s">
        <v>758</v>
      </c>
      <c r="C238" s="27" t="s">
        <v>759</v>
      </c>
      <c r="D238" s="27" t="s">
        <v>760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1100</f>
        <v>1100.0</v>
      </c>
      <c r="L238" s="34" t="s">
        <v>48</v>
      </c>
      <c r="M238" s="33" t="n">
        <f>1177</f>
        <v>1177.0</v>
      </c>
      <c r="N238" s="34" t="s">
        <v>94</v>
      </c>
      <c r="O238" s="33" t="n">
        <f>1068</f>
        <v>1068.0</v>
      </c>
      <c r="P238" s="34" t="s">
        <v>115</v>
      </c>
      <c r="Q238" s="33" t="n">
        <f>1177</f>
        <v>1177.0</v>
      </c>
      <c r="R238" s="34" t="s">
        <v>94</v>
      </c>
      <c r="S238" s="35" t="n">
        <f>1118.33</f>
        <v>1118.33</v>
      </c>
      <c r="T238" s="32" t="n">
        <f>170180</f>
        <v>170180.0</v>
      </c>
      <c r="U238" s="32" t="n">
        <f>10</f>
        <v>10.0</v>
      </c>
      <c r="V238" s="32" t="n">
        <f>197357490</f>
        <v>1.9735749E8</v>
      </c>
      <c r="W238" s="32" t="n">
        <f>11080</f>
        <v>11080.0</v>
      </c>
      <c r="X238" s="36" t="n">
        <f>15</f>
        <v>15.0</v>
      </c>
    </row>
    <row r="239">
      <c r="A239" s="27" t="s">
        <v>42</v>
      </c>
      <c r="B239" s="27" t="s">
        <v>761</v>
      </c>
      <c r="C239" s="27" t="s">
        <v>762</v>
      </c>
      <c r="D239" s="27" t="s">
        <v>763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1085</f>
        <v>1085.0</v>
      </c>
      <c r="L239" s="34" t="s">
        <v>48</v>
      </c>
      <c r="M239" s="33" t="n">
        <f>1185</f>
        <v>1185.0</v>
      </c>
      <c r="N239" s="34" t="s">
        <v>70</v>
      </c>
      <c r="O239" s="33" t="n">
        <f>1071</f>
        <v>1071.0</v>
      </c>
      <c r="P239" s="34" t="s">
        <v>115</v>
      </c>
      <c r="Q239" s="33" t="n">
        <f>1140</f>
        <v>1140.0</v>
      </c>
      <c r="R239" s="34" t="s">
        <v>50</v>
      </c>
      <c r="S239" s="35" t="n">
        <f>1125.89</f>
        <v>1125.89</v>
      </c>
      <c r="T239" s="32" t="n">
        <f>32810</f>
        <v>32810.0</v>
      </c>
      <c r="U239" s="32" t="str">
        <f>"－"</f>
        <v>－</v>
      </c>
      <c r="V239" s="32" t="n">
        <f>37357850</f>
        <v>3.735785E7</v>
      </c>
      <c r="W239" s="32" t="str">
        <f>"－"</f>
        <v>－</v>
      </c>
      <c r="X239" s="36" t="n">
        <f>18</f>
        <v>18.0</v>
      </c>
    </row>
    <row r="240">
      <c r="A240" s="27" t="s">
        <v>42</v>
      </c>
      <c r="B240" s="27" t="s">
        <v>764</v>
      </c>
      <c r="C240" s="27" t="s">
        <v>765</v>
      </c>
      <c r="D240" s="27" t="s">
        <v>766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975</f>
        <v>975.0</v>
      </c>
      <c r="L240" s="34" t="s">
        <v>48</v>
      </c>
      <c r="M240" s="33" t="n">
        <f>1065</f>
        <v>1065.0</v>
      </c>
      <c r="N240" s="34" t="s">
        <v>70</v>
      </c>
      <c r="O240" s="33" t="n">
        <f>975</f>
        <v>975.0</v>
      </c>
      <c r="P240" s="34" t="s">
        <v>48</v>
      </c>
      <c r="Q240" s="33" t="n">
        <f>1030</f>
        <v>1030.0</v>
      </c>
      <c r="R240" s="34" t="s">
        <v>50</v>
      </c>
      <c r="S240" s="35" t="n">
        <f>1036.78</f>
        <v>1036.78</v>
      </c>
      <c r="T240" s="32" t="n">
        <f>34916</f>
        <v>34916.0</v>
      </c>
      <c r="U240" s="32" t="str">
        <f>"－"</f>
        <v>－</v>
      </c>
      <c r="V240" s="32" t="n">
        <f>36459183</f>
        <v>3.6459183E7</v>
      </c>
      <c r="W240" s="32" t="str">
        <f>"－"</f>
        <v>－</v>
      </c>
      <c r="X240" s="36" t="n">
        <f>18</f>
        <v>18.0</v>
      </c>
    </row>
    <row r="241">
      <c r="A241" s="27" t="s">
        <v>42</v>
      </c>
      <c r="B241" s="27" t="s">
        <v>767</v>
      </c>
      <c r="C241" s="27" t="s">
        <v>768</v>
      </c>
      <c r="D241" s="27" t="s">
        <v>769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13900</f>
        <v>13900.0</v>
      </c>
      <c r="L241" s="34" t="s">
        <v>48</v>
      </c>
      <c r="M241" s="33" t="n">
        <f>15300</f>
        <v>15300.0</v>
      </c>
      <c r="N241" s="34" t="s">
        <v>60</v>
      </c>
      <c r="O241" s="33" t="n">
        <f>13650</f>
        <v>13650.0</v>
      </c>
      <c r="P241" s="34" t="s">
        <v>50</v>
      </c>
      <c r="Q241" s="33" t="n">
        <f>14100</f>
        <v>14100.0</v>
      </c>
      <c r="R241" s="34" t="s">
        <v>50</v>
      </c>
      <c r="S241" s="35" t="n">
        <f>14581.11</f>
        <v>14581.11</v>
      </c>
      <c r="T241" s="32" t="n">
        <f>4606</f>
        <v>4606.0</v>
      </c>
      <c r="U241" s="32" t="str">
        <f>"－"</f>
        <v>－</v>
      </c>
      <c r="V241" s="32" t="n">
        <f>67229350</f>
        <v>6.722935E7</v>
      </c>
      <c r="W241" s="32" t="str">
        <f>"－"</f>
        <v>－</v>
      </c>
      <c r="X241" s="36" t="n">
        <f>18</f>
        <v>18.0</v>
      </c>
    </row>
    <row r="242">
      <c r="A242" s="27" t="s">
        <v>42</v>
      </c>
      <c r="B242" s="27" t="s">
        <v>770</v>
      </c>
      <c r="C242" s="27" t="s">
        <v>771</v>
      </c>
      <c r="D242" s="27" t="s">
        <v>772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1961</f>
        <v>1961.0</v>
      </c>
      <c r="L242" s="34" t="s">
        <v>48</v>
      </c>
      <c r="M242" s="33" t="n">
        <f>2247</f>
        <v>2247.0</v>
      </c>
      <c r="N242" s="34" t="s">
        <v>175</v>
      </c>
      <c r="O242" s="33" t="n">
        <f>1947</f>
        <v>1947.0</v>
      </c>
      <c r="P242" s="34" t="s">
        <v>98</v>
      </c>
      <c r="Q242" s="33" t="n">
        <f>2100</f>
        <v>2100.0</v>
      </c>
      <c r="R242" s="34" t="s">
        <v>50</v>
      </c>
      <c r="S242" s="35" t="n">
        <f>2033.06</f>
        <v>2033.06</v>
      </c>
      <c r="T242" s="32" t="n">
        <f>25669</f>
        <v>25669.0</v>
      </c>
      <c r="U242" s="32" t="str">
        <f>"－"</f>
        <v>－</v>
      </c>
      <c r="V242" s="32" t="n">
        <f>51434152</f>
        <v>5.1434152E7</v>
      </c>
      <c r="W242" s="32" t="str">
        <f>"－"</f>
        <v>－</v>
      </c>
      <c r="X242" s="36" t="n">
        <f>18</f>
        <v>18.0</v>
      </c>
    </row>
    <row r="243">
      <c r="A243" s="27" t="s">
        <v>42</v>
      </c>
      <c r="B243" s="27" t="s">
        <v>773</v>
      </c>
      <c r="C243" s="27" t="s">
        <v>774</v>
      </c>
      <c r="D243" s="27" t="s">
        <v>775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1427</f>
        <v>1427.0</v>
      </c>
      <c r="L243" s="34" t="s">
        <v>48</v>
      </c>
      <c r="M243" s="33" t="n">
        <f>1705</f>
        <v>1705.0</v>
      </c>
      <c r="N243" s="34" t="s">
        <v>60</v>
      </c>
      <c r="O243" s="33" t="n">
        <f>1381</f>
        <v>1381.0</v>
      </c>
      <c r="P243" s="34" t="s">
        <v>549</v>
      </c>
      <c r="Q243" s="33" t="n">
        <f>1519</f>
        <v>1519.0</v>
      </c>
      <c r="R243" s="34" t="s">
        <v>50</v>
      </c>
      <c r="S243" s="35" t="n">
        <f>1486.22</f>
        <v>1486.22</v>
      </c>
      <c r="T243" s="32" t="n">
        <f>9870</f>
        <v>9870.0</v>
      </c>
      <c r="U243" s="32" t="str">
        <f>"－"</f>
        <v>－</v>
      </c>
      <c r="V243" s="32" t="n">
        <f>15155060</f>
        <v>1.515506E7</v>
      </c>
      <c r="W243" s="32" t="str">
        <f>"－"</f>
        <v>－</v>
      </c>
      <c r="X243" s="36" t="n">
        <f>18</f>
        <v>18.0</v>
      </c>
    </row>
    <row r="244">
      <c r="A244" s="27" t="s">
        <v>42</v>
      </c>
      <c r="B244" s="27" t="s">
        <v>776</v>
      </c>
      <c r="C244" s="27" t="s">
        <v>777</v>
      </c>
      <c r="D244" s="27" t="s">
        <v>778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1028</f>
        <v>1028.0</v>
      </c>
      <c r="L244" s="34" t="s">
        <v>48</v>
      </c>
      <c r="M244" s="33" t="n">
        <f>1032</f>
        <v>1032.0</v>
      </c>
      <c r="N244" s="34" t="s">
        <v>174</v>
      </c>
      <c r="O244" s="33" t="n">
        <f>1011</f>
        <v>1011.0</v>
      </c>
      <c r="P244" s="34" t="s">
        <v>50</v>
      </c>
      <c r="Q244" s="33" t="n">
        <f>1014</f>
        <v>1014.0</v>
      </c>
      <c r="R244" s="34" t="s">
        <v>50</v>
      </c>
      <c r="S244" s="35" t="n">
        <f>1026</f>
        <v>1026.0</v>
      </c>
      <c r="T244" s="32" t="n">
        <f>760310</f>
        <v>760310.0</v>
      </c>
      <c r="U244" s="32" t="n">
        <f>503160</f>
        <v>503160.0</v>
      </c>
      <c r="V244" s="32" t="n">
        <f>780876475</f>
        <v>7.80876475E8</v>
      </c>
      <c r="W244" s="32" t="n">
        <f>517069255</f>
        <v>5.17069255E8</v>
      </c>
      <c r="X244" s="36" t="n">
        <f>18</f>
        <v>18.0</v>
      </c>
    </row>
    <row r="245">
      <c r="A245" s="27" t="s">
        <v>42</v>
      </c>
      <c r="B245" s="27" t="s">
        <v>779</v>
      </c>
      <c r="C245" s="27" t="s">
        <v>780</v>
      </c>
      <c r="D245" s="27" t="s">
        <v>781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1876</f>
        <v>1876.0</v>
      </c>
      <c r="L245" s="34" t="s">
        <v>48</v>
      </c>
      <c r="M245" s="33" t="n">
        <f>2030</f>
        <v>2030.0</v>
      </c>
      <c r="N245" s="34" t="s">
        <v>175</v>
      </c>
      <c r="O245" s="33" t="n">
        <f>1850</f>
        <v>1850.0</v>
      </c>
      <c r="P245" s="34" t="s">
        <v>115</v>
      </c>
      <c r="Q245" s="33" t="n">
        <f>1970</f>
        <v>1970.0</v>
      </c>
      <c r="R245" s="34" t="s">
        <v>50</v>
      </c>
      <c r="S245" s="35" t="n">
        <f>1938.72</f>
        <v>1938.72</v>
      </c>
      <c r="T245" s="32" t="n">
        <f>1205480</f>
        <v>1205480.0</v>
      </c>
      <c r="U245" s="32" t="n">
        <f>380000</f>
        <v>380000.0</v>
      </c>
      <c r="V245" s="32" t="n">
        <f>2334675350</f>
        <v>2.33467535E9</v>
      </c>
      <c r="W245" s="32" t="n">
        <f>735383600</f>
        <v>7.353836E8</v>
      </c>
      <c r="X245" s="36" t="n">
        <f>18</f>
        <v>18.0</v>
      </c>
    </row>
    <row r="246">
      <c r="A246" s="27" t="s">
        <v>42</v>
      </c>
      <c r="B246" s="27" t="s">
        <v>782</v>
      </c>
      <c r="C246" s="27" t="s">
        <v>783</v>
      </c>
      <c r="D246" s="27" t="s">
        <v>784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1875</f>
        <v>1875.0</v>
      </c>
      <c r="L246" s="34" t="s">
        <v>48</v>
      </c>
      <c r="M246" s="33" t="n">
        <f>2067</f>
        <v>2067.0</v>
      </c>
      <c r="N246" s="34" t="s">
        <v>70</v>
      </c>
      <c r="O246" s="33" t="n">
        <f>1847</f>
        <v>1847.0</v>
      </c>
      <c r="P246" s="34" t="s">
        <v>115</v>
      </c>
      <c r="Q246" s="33" t="n">
        <f>1969</f>
        <v>1969.0</v>
      </c>
      <c r="R246" s="34" t="s">
        <v>50</v>
      </c>
      <c r="S246" s="35" t="n">
        <f>1949.67</f>
        <v>1949.67</v>
      </c>
      <c r="T246" s="32" t="n">
        <f>306120</f>
        <v>306120.0</v>
      </c>
      <c r="U246" s="32" t="n">
        <f>40230</f>
        <v>40230.0</v>
      </c>
      <c r="V246" s="32" t="n">
        <f>600507550</f>
        <v>6.0050755E8</v>
      </c>
      <c r="W246" s="32" t="n">
        <f>80247790</f>
        <v>8.024779E7</v>
      </c>
      <c r="X246" s="36" t="n">
        <f>18</f>
        <v>18.0</v>
      </c>
    </row>
    <row r="247">
      <c r="A247" s="27" t="s">
        <v>42</v>
      </c>
      <c r="B247" s="27" t="s">
        <v>785</v>
      </c>
      <c r="C247" s="27" t="s">
        <v>786</v>
      </c>
      <c r="D247" s="27" t="s">
        <v>787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1823</f>
        <v>1823.0</v>
      </c>
      <c r="L247" s="34" t="s">
        <v>48</v>
      </c>
      <c r="M247" s="33" t="n">
        <f>1976</f>
        <v>1976.0</v>
      </c>
      <c r="N247" s="34" t="s">
        <v>49</v>
      </c>
      <c r="O247" s="33" t="n">
        <f>1823</f>
        <v>1823.0</v>
      </c>
      <c r="P247" s="34" t="s">
        <v>48</v>
      </c>
      <c r="Q247" s="33" t="n">
        <f>1868</f>
        <v>1868.0</v>
      </c>
      <c r="R247" s="34" t="s">
        <v>50</v>
      </c>
      <c r="S247" s="35" t="n">
        <f>1926.69</f>
        <v>1926.69</v>
      </c>
      <c r="T247" s="32" t="n">
        <f>124790</f>
        <v>124790.0</v>
      </c>
      <c r="U247" s="32" t="str">
        <f>"－"</f>
        <v>－</v>
      </c>
      <c r="V247" s="32" t="n">
        <f>239507990</f>
        <v>2.3950799E8</v>
      </c>
      <c r="W247" s="32" t="str">
        <f>"－"</f>
        <v>－</v>
      </c>
      <c r="X247" s="36" t="n">
        <f>13</f>
        <v>13.0</v>
      </c>
    </row>
    <row r="248">
      <c r="A248" s="27" t="s">
        <v>42</v>
      </c>
      <c r="B248" s="27" t="s">
        <v>788</v>
      </c>
      <c r="C248" s="27" t="s">
        <v>789</v>
      </c>
      <c r="D248" s="27" t="s">
        <v>790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11040</f>
        <v>11040.0</v>
      </c>
      <c r="L248" s="34" t="s">
        <v>48</v>
      </c>
      <c r="M248" s="33" t="n">
        <f>11980</f>
        <v>11980.0</v>
      </c>
      <c r="N248" s="34" t="s">
        <v>49</v>
      </c>
      <c r="O248" s="33" t="n">
        <f>11030</f>
        <v>11030.0</v>
      </c>
      <c r="P248" s="34" t="s">
        <v>48</v>
      </c>
      <c r="Q248" s="33" t="n">
        <f>11580</f>
        <v>11580.0</v>
      </c>
      <c r="R248" s="34" t="s">
        <v>50</v>
      </c>
      <c r="S248" s="35" t="n">
        <f>11703.89</f>
        <v>11703.89</v>
      </c>
      <c r="T248" s="32" t="n">
        <f>192129</f>
        <v>192129.0</v>
      </c>
      <c r="U248" s="32" t="n">
        <f>36101</f>
        <v>36101.0</v>
      </c>
      <c r="V248" s="32" t="n">
        <f>2252518262</f>
        <v>2.252518262E9</v>
      </c>
      <c r="W248" s="32" t="n">
        <f>428739972</f>
        <v>4.28739972E8</v>
      </c>
      <c r="X248" s="36" t="n">
        <f>18</f>
        <v>18.0</v>
      </c>
    </row>
    <row r="249">
      <c r="A249" s="27" t="s">
        <v>42</v>
      </c>
      <c r="B249" s="27" t="s">
        <v>791</v>
      </c>
      <c r="C249" s="27" t="s">
        <v>792</v>
      </c>
      <c r="D249" s="27" t="s">
        <v>793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10960</f>
        <v>10960.0</v>
      </c>
      <c r="L249" s="34" t="s">
        <v>48</v>
      </c>
      <c r="M249" s="33" t="n">
        <f>12050</f>
        <v>12050.0</v>
      </c>
      <c r="N249" s="34" t="s">
        <v>49</v>
      </c>
      <c r="O249" s="33" t="n">
        <f>10940</f>
        <v>10940.0</v>
      </c>
      <c r="P249" s="34" t="s">
        <v>48</v>
      </c>
      <c r="Q249" s="33" t="n">
        <f>11550</f>
        <v>11550.0</v>
      </c>
      <c r="R249" s="34" t="s">
        <v>50</v>
      </c>
      <c r="S249" s="35" t="n">
        <f>11668.33</f>
        <v>11668.33</v>
      </c>
      <c r="T249" s="32" t="n">
        <f>106307</f>
        <v>106307.0</v>
      </c>
      <c r="U249" s="32" t="n">
        <f>17000</f>
        <v>17000.0</v>
      </c>
      <c r="V249" s="32" t="n">
        <f>1245758620</f>
        <v>1.24575862E9</v>
      </c>
      <c r="W249" s="32" t="n">
        <f>201402400</f>
        <v>2.014024E8</v>
      </c>
      <c r="X249" s="36" t="n">
        <f>18</f>
        <v>18.0</v>
      </c>
    </row>
    <row r="250">
      <c r="A250" s="27" t="s">
        <v>42</v>
      </c>
      <c r="B250" s="27" t="s">
        <v>794</v>
      </c>
      <c r="C250" s="27" t="s">
        <v>795</v>
      </c>
      <c r="D250" s="27" t="s">
        <v>796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24040</f>
        <v>24040.0</v>
      </c>
      <c r="L250" s="34" t="s">
        <v>48</v>
      </c>
      <c r="M250" s="33" t="n">
        <f>26300</f>
        <v>26300.0</v>
      </c>
      <c r="N250" s="34" t="s">
        <v>49</v>
      </c>
      <c r="O250" s="33" t="n">
        <f>24040</f>
        <v>24040.0</v>
      </c>
      <c r="P250" s="34" t="s">
        <v>48</v>
      </c>
      <c r="Q250" s="33" t="n">
        <f>24950</f>
        <v>24950.0</v>
      </c>
      <c r="R250" s="34" t="s">
        <v>50</v>
      </c>
      <c r="S250" s="35" t="n">
        <f>25418.33</f>
        <v>25418.33</v>
      </c>
      <c r="T250" s="32" t="n">
        <f>201</f>
        <v>201.0</v>
      </c>
      <c r="U250" s="32" t="str">
        <f>"－"</f>
        <v>－</v>
      </c>
      <c r="V250" s="32" t="n">
        <f>5049650</f>
        <v>5049650.0</v>
      </c>
      <c r="W250" s="32" t="str">
        <f>"－"</f>
        <v>－</v>
      </c>
      <c r="X250" s="36" t="n">
        <f>18</f>
        <v>18.0</v>
      </c>
    </row>
    <row r="251">
      <c r="A251" s="27" t="s">
        <v>42</v>
      </c>
      <c r="B251" s="27" t="s">
        <v>797</v>
      </c>
      <c r="C251" s="27" t="s">
        <v>798</v>
      </c>
      <c r="D251" s="27" t="s">
        <v>799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2717</f>
        <v>2717.0</v>
      </c>
      <c r="L251" s="34" t="s">
        <v>48</v>
      </c>
      <c r="M251" s="33" t="n">
        <f>2719</f>
        <v>2719.0</v>
      </c>
      <c r="N251" s="34" t="s">
        <v>119</v>
      </c>
      <c r="O251" s="33" t="n">
        <f>2680</f>
        <v>2680.0</v>
      </c>
      <c r="P251" s="34" t="s">
        <v>50</v>
      </c>
      <c r="Q251" s="33" t="n">
        <f>2685</f>
        <v>2685.0</v>
      </c>
      <c r="R251" s="34" t="s">
        <v>50</v>
      </c>
      <c r="S251" s="35" t="n">
        <f>2707</f>
        <v>2707.0</v>
      </c>
      <c r="T251" s="32" t="n">
        <f>1299815</f>
        <v>1299815.0</v>
      </c>
      <c r="U251" s="32" t="n">
        <f>1172476</f>
        <v>1172476.0</v>
      </c>
      <c r="V251" s="32" t="n">
        <f>3516990687</f>
        <v>3.516990687E9</v>
      </c>
      <c r="W251" s="32" t="n">
        <f>3172855851</f>
        <v>3.172855851E9</v>
      </c>
      <c r="X251" s="36" t="n">
        <f>18</f>
        <v>18.0</v>
      </c>
    </row>
    <row r="252">
      <c r="A252" s="27" t="s">
        <v>42</v>
      </c>
      <c r="B252" s="27" t="s">
        <v>800</v>
      </c>
      <c r="C252" s="27" t="s">
        <v>801</v>
      </c>
      <c r="D252" s="27" t="s">
        <v>802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2564</f>
        <v>2564.0</v>
      </c>
      <c r="L252" s="34" t="s">
        <v>48</v>
      </c>
      <c r="M252" s="33" t="n">
        <f>2768</f>
        <v>2768.0</v>
      </c>
      <c r="N252" s="34" t="s">
        <v>175</v>
      </c>
      <c r="O252" s="33" t="n">
        <f>2564</f>
        <v>2564.0</v>
      </c>
      <c r="P252" s="34" t="s">
        <v>48</v>
      </c>
      <c r="Q252" s="33" t="n">
        <f>2696</f>
        <v>2696.0</v>
      </c>
      <c r="R252" s="34" t="s">
        <v>50</v>
      </c>
      <c r="S252" s="35" t="n">
        <f>2693.67</f>
        <v>2693.67</v>
      </c>
      <c r="T252" s="32" t="n">
        <f>898070</f>
        <v>898070.0</v>
      </c>
      <c r="U252" s="32" t="n">
        <f>38200</f>
        <v>38200.0</v>
      </c>
      <c r="V252" s="32" t="n">
        <f>2421840530</f>
        <v>2.42184053E9</v>
      </c>
      <c r="W252" s="32" t="n">
        <f>99915920</f>
        <v>9.991592E7</v>
      </c>
      <c r="X252" s="36" t="n">
        <f>18</f>
        <v>18.0</v>
      </c>
    </row>
    <row r="253">
      <c r="A253" s="27" t="s">
        <v>42</v>
      </c>
      <c r="B253" s="27" t="s">
        <v>803</v>
      </c>
      <c r="C253" s="27" t="s">
        <v>804</v>
      </c>
      <c r="D253" s="27" t="s">
        <v>805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2386</f>
        <v>2386.0</v>
      </c>
      <c r="L253" s="34" t="s">
        <v>48</v>
      </c>
      <c r="M253" s="33" t="n">
        <f>2566</f>
        <v>2566.0</v>
      </c>
      <c r="N253" s="34" t="s">
        <v>49</v>
      </c>
      <c r="O253" s="33" t="n">
        <f>2386</f>
        <v>2386.0</v>
      </c>
      <c r="P253" s="34" t="s">
        <v>48</v>
      </c>
      <c r="Q253" s="33" t="n">
        <f>2466</f>
        <v>2466.0</v>
      </c>
      <c r="R253" s="34" t="s">
        <v>50</v>
      </c>
      <c r="S253" s="35" t="n">
        <f>2515.94</f>
        <v>2515.94</v>
      </c>
      <c r="T253" s="32" t="n">
        <f>2702033</f>
        <v>2702033.0</v>
      </c>
      <c r="U253" s="32" t="n">
        <f>2102200</f>
        <v>2102200.0</v>
      </c>
      <c r="V253" s="32" t="n">
        <f>6769290992</f>
        <v>6.769290992E9</v>
      </c>
      <c r="W253" s="32" t="n">
        <f>5272284521</f>
        <v>5.272284521E9</v>
      </c>
      <c r="X253" s="36" t="n">
        <f>18</f>
        <v>18.0</v>
      </c>
    </row>
    <row r="254">
      <c r="A254" s="27" t="s">
        <v>42</v>
      </c>
      <c r="B254" s="27" t="s">
        <v>806</v>
      </c>
      <c r="C254" s="27" t="s">
        <v>807</v>
      </c>
      <c r="D254" s="27" t="s">
        <v>808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1654</f>
        <v>1654.0</v>
      </c>
      <c r="L254" s="34" t="s">
        <v>48</v>
      </c>
      <c r="M254" s="33" t="n">
        <f>1854</f>
        <v>1854.0</v>
      </c>
      <c r="N254" s="34" t="s">
        <v>60</v>
      </c>
      <c r="O254" s="33" t="n">
        <f>1654</f>
        <v>1654.0</v>
      </c>
      <c r="P254" s="34" t="s">
        <v>48</v>
      </c>
      <c r="Q254" s="33" t="n">
        <f>1801</f>
        <v>1801.0</v>
      </c>
      <c r="R254" s="34" t="s">
        <v>50</v>
      </c>
      <c r="S254" s="35" t="n">
        <f>1770.11</f>
        <v>1770.11</v>
      </c>
      <c r="T254" s="32" t="n">
        <f>81397</f>
        <v>81397.0</v>
      </c>
      <c r="U254" s="32" t="str">
        <f>"－"</f>
        <v>－</v>
      </c>
      <c r="V254" s="32" t="n">
        <f>144052556</f>
        <v>1.44052556E8</v>
      </c>
      <c r="W254" s="32" t="str">
        <f>"－"</f>
        <v>－</v>
      </c>
      <c r="X254" s="36" t="n">
        <f>18</f>
        <v>18.0</v>
      </c>
    </row>
    <row r="255">
      <c r="A255" s="27" t="s">
        <v>42</v>
      </c>
      <c r="B255" s="27" t="s">
        <v>809</v>
      </c>
      <c r="C255" s="27" t="s">
        <v>810</v>
      </c>
      <c r="D255" s="27" t="s">
        <v>811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1069</f>
        <v>1069.0</v>
      </c>
      <c r="L255" s="34" t="s">
        <v>48</v>
      </c>
      <c r="M255" s="33" t="n">
        <f>1122</f>
        <v>1122.0</v>
      </c>
      <c r="N255" s="34" t="s">
        <v>70</v>
      </c>
      <c r="O255" s="33" t="n">
        <f>1047</f>
        <v>1047.0</v>
      </c>
      <c r="P255" s="34" t="s">
        <v>549</v>
      </c>
      <c r="Q255" s="33" t="n">
        <f>1062</f>
        <v>1062.0</v>
      </c>
      <c r="R255" s="34" t="s">
        <v>50</v>
      </c>
      <c r="S255" s="35" t="n">
        <f>1077.44</f>
        <v>1077.44</v>
      </c>
      <c r="T255" s="32" t="n">
        <f>1230526</f>
        <v>1230526.0</v>
      </c>
      <c r="U255" s="32" t="n">
        <f>370900</f>
        <v>370900.0</v>
      </c>
      <c r="V255" s="32" t="n">
        <f>1346577471</f>
        <v>1.346577471E9</v>
      </c>
      <c r="W255" s="32" t="n">
        <f>409922293</f>
        <v>4.09922293E8</v>
      </c>
      <c r="X255" s="36" t="n">
        <f>18</f>
        <v>18.0</v>
      </c>
    </row>
    <row r="256">
      <c r="A256" s="27" t="s">
        <v>42</v>
      </c>
      <c r="B256" s="27" t="s">
        <v>812</v>
      </c>
      <c r="C256" s="27" t="s">
        <v>813</v>
      </c>
      <c r="D256" s="27" t="s">
        <v>814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1035</f>
        <v>1035.0</v>
      </c>
      <c r="L256" s="34" t="s">
        <v>48</v>
      </c>
      <c r="M256" s="33" t="n">
        <f>1147</f>
        <v>1147.0</v>
      </c>
      <c r="N256" s="34" t="s">
        <v>50</v>
      </c>
      <c r="O256" s="33" t="n">
        <f>1023</f>
        <v>1023.0</v>
      </c>
      <c r="P256" s="34" t="s">
        <v>115</v>
      </c>
      <c r="Q256" s="33" t="n">
        <f>1088</f>
        <v>1088.0</v>
      </c>
      <c r="R256" s="34" t="s">
        <v>50</v>
      </c>
      <c r="S256" s="35" t="n">
        <f>1071.67</f>
        <v>1071.67</v>
      </c>
      <c r="T256" s="32" t="n">
        <f>47850</f>
        <v>47850.0</v>
      </c>
      <c r="U256" s="32" t="str">
        <f>"－"</f>
        <v>－</v>
      </c>
      <c r="V256" s="32" t="n">
        <f>51837940</f>
        <v>5.183794E7</v>
      </c>
      <c r="W256" s="32" t="str">
        <f>"－"</f>
        <v>－</v>
      </c>
      <c r="X256" s="36" t="n">
        <f>18</f>
        <v>18.0</v>
      </c>
    </row>
    <row r="257">
      <c r="A257" s="27" t="s">
        <v>42</v>
      </c>
      <c r="B257" s="27" t="s">
        <v>815</v>
      </c>
      <c r="C257" s="27" t="s">
        <v>816</v>
      </c>
      <c r="D257" s="27" t="s">
        <v>817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244</f>
        <v>244.0</v>
      </c>
      <c r="L257" s="34" t="s">
        <v>48</v>
      </c>
      <c r="M257" s="33" t="n">
        <f>264</f>
        <v>264.0</v>
      </c>
      <c r="N257" s="34" t="s">
        <v>70</v>
      </c>
      <c r="O257" s="33" t="n">
        <f>237</f>
        <v>237.0</v>
      </c>
      <c r="P257" s="34" t="s">
        <v>48</v>
      </c>
      <c r="Q257" s="33" t="n">
        <f>251</f>
        <v>251.0</v>
      </c>
      <c r="R257" s="34" t="s">
        <v>50</v>
      </c>
      <c r="S257" s="35" t="n">
        <f>251.72</f>
        <v>251.72</v>
      </c>
      <c r="T257" s="32" t="n">
        <f>101710</f>
        <v>101710.0</v>
      </c>
      <c r="U257" s="32" t="str">
        <f>"－"</f>
        <v>－</v>
      </c>
      <c r="V257" s="32" t="n">
        <f>25591900</f>
        <v>2.55919E7</v>
      </c>
      <c r="W257" s="32" t="str">
        <f>"－"</f>
        <v>－</v>
      </c>
      <c r="X257" s="36" t="n">
        <f>18</f>
        <v>18.0</v>
      </c>
    </row>
    <row r="258">
      <c r="A258" s="27" t="s">
        <v>42</v>
      </c>
      <c r="B258" s="27" t="s">
        <v>818</v>
      </c>
      <c r="C258" s="27" t="s">
        <v>819</v>
      </c>
      <c r="D258" s="27" t="s">
        <v>820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2309</f>
        <v>2309.0</v>
      </c>
      <c r="L258" s="34" t="s">
        <v>48</v>
      </c>
      <c r="M258" s="33" t="n">
        <f>2529</f>
        <v>2529.0</v>
      </c>
      <c r="N258" s="34" t="s">
        <v>49</v>
      </c>
      <c r="O258" s="33" t="n">
        <f>2306</f>
        <v>2306.0</v>
      </c>
      <c r="P258" s="34" t="s">
        <v>48</v>
      </c>
      <c r="Q258" s="33" t="n">
        <f>2324</f>
        <v>2324.0</v>
      </c>
      <c r="R258" s="34" t="s">
        <v>50</v>
      </c>
      <c r="S258" s="35" t="n">
        <f>2451</f>
        <v>2451.0</v>
      </c>
      <c r="T258" s="32" t="n">
        <f>2288730</f>
        <v>2288730.0</v>
      </c>
      <c r="U258" s="32" t="n">
        <f>244300</f>
        <v>244300.0</v>
      </c>
      <c r="V258" s="32" t="n">
        <f>5588980817</f>
        <v>5.588980817E9</v>
      </c>
      <c r="W258" s="32" t="n">
        <f>601410667</f>
        <v>6.01410667E8</v>
      </c>
      <c r="X258" s="36" t="n">
        <f>18</f>
        <v>18.0</v>
      </c>
    </row>
    <row r="259">
      <c r="A259" s="27" t="s">
        <v>42</v>
      </c>
      <c r="B259" s="27" t="s">
        <v>821</v>
      </c>
      <c r="C259" s="27" t="s">
        <v>822</v>
      </c>
      <c r="D259" s="27" t="s">
        <v>823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2303</f>
        <v>2303.0</v>
      </c>
      <c r="L259" s="34" t="s">
        <v>48</v>
      </c>
      <c r="M259" s="33" t="n">
        <f>2504</f>
        <v>2504.0</v>
      </c>
      <c r="N259" s="34" t="s">
        <v>49</v>
      </c>
      <c r="O259" s="33" t="n">
        <f>2282</f>
        <v>2282.0</v>
      </c>
      <c r="P259" s="34" t="s">
        <v>50</v>
      </c>
      <c r="Q259" s="33" t="n">
        <f>2288</f>
        <v>2288.0</v>
      </c>
      <c r="R259" s="34" t="s">
        <v>50</v>
      </c>
      <c r="S259" s="35" t="n">
        <f>2431.39</f>
        <v>2431.39</v>
      </c>
      <c r="T259" s="32" t="n">
        <f>2983470</f>
        <v>2983470.0</v>
      </c>
      <c r="U259" s="32" t="n">
        <f>969000</f>
        <v>969000.0</v>
      </c>
      <c r="V259" s="32" t="n">
        <f>7231375840</f>
        <v>7.23137584E9</v>
      </c>
      <c r="W259" s="32" t="n">
        <f>2347590980</f>
        <v>2.34759098E9</v>
      </c>
      <c r="X259" s="36" t="n">
        <f>18</f>
        <v>18.0</v>
      </c>
    </row>
    <row r="260">
      <c r="A260" s="27" t="s">
        <v>42</v>
      </c>
      <c r="B260" s="27" t="s">
        <v>824</v>
      </c>
      <c r="C260" s="27" t="s">
        <v>825</v>
      </c>
      <c r="D260" s="27" t="s">
        <v>826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2481</f>
        <v>2481.0</v>
      </c>
      <c r="L260" s="34" t="s">
        <v>48</v>
      </c>
      <c r="M260" s="33" t="n">
        <f>2521</f>
        <v>2521.0</v>
      </c>
      <c r="N260" s="34" t="s">
        <v>99</v>
      </c>
      <c r="O260" s="33" t="n">
        <f>2478</f>
        <v>2478.0</v>
      </c>
      <c r="P260" s="34" t="s">
        <v>488</v>
      </c>
      <c r="Q260" s="33" t="n">
        <f>2515</f>
        <v>2515.0</v>
      </c>
      <c r="R260" s="34" t="s">
        <v>50</v>
      </c>
      <c r="S260" s="35" t="n">
        <f>2498.39</f>
        <v>2498.39</v>
      </c>
      <c r="T260" s="32" t="n">
        <f>12025</f>
        <v>12025.0</v>
      </c>
      <c r="U260" s="32" t="str">
        <f>"－"</f>
        <v>－</v>
      </c>
      <c r="V260" s="32" t="n">
        <f>30007569</f>
        <v>3.0007569E7</v>
      </c>
      <c r="W260" s="32" t="str">
        <f>"－"</f>
        <v>－</v>
      </c>
      <c r="X260" s="36" t="n">
        <f>18</f>
        <v>18.0</v>
      </c>
    </row>
    <row r="261">
      <c r="A261" s="27" t="s">
        <v>42</v>
      </c>
      <c r="B261" s="27" t="s">
        <v>827</v>
      </c>
      <c r="C261" s="27" t="s">
        <v>828</v>
      </c>
      <c r="D261" s="27" t="s">
        <v>829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2346</f>
        <v>2346.0</v>
      </c>
      <c r="L261" s="34" t="s">
        <v>48</v>
      </c>
      <c r="M261" s="33" t="n">
        <f>2346</f>
        <v>2346.0</v>
      </c>
      <c r="N261" s="34" t="s">
        <v>48</v>
      </c>
      <c r="O261" s="33" t="n">
        <f>2125</f>
        <v>2125.0</v>
      </c>
      <c r="P261" s="34" t="s">
        <v>50</v>
      </c>
      <c r="Q261" s="33" t="n">
        <f>2148</f>
        <v>2148.0</v>
      </c>
      <c r="R261" s="34" t="s">
        <v>50</v>
      </c>
      <c r="S261" s="35" t="n">
        <f>2261.61</f>
        <v>2261.61</v>
      </c>
      <c r="T261" s="32" t="n">
        <f>759950</f>
        <v>759950.0</v>
      </c>
      <c r="U261" s="32" t="n">
        <f>440000</f>
        <v>440000.0</v>
      </c>
      <c r="V261" s="32" t="n">
        <f>1723713331</f>
        <v>1.723713331E9</v>
      </c>
      <c r="W261" s="32" t="n">
        <f>1009228000</f>
        <v>1.009228E9</v>
      </c>
      <c r="X261" s="36" t="n">
        <f>18</f>
        <v>18.0</v>
      </c>
    </row>
    <row r="262">
      <c r="A262" s="27" t="s">
        <v>42</v>
      </c>
      <c r="B262" s="27" t="s">
        <v>830</v>
      </c>
      <c r="C262" s="27" t="s">
        <v>831</v>
      </c>
      <c r="D262" s="27" t="s">
        <v>832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2562</f>
        <v>2562.0</v>
      </c>
      <c r="L262" s="34" t="s">
        <v>48</v>
      </c>
      <c r="M262" s="33" t="n">
        <f>2625</f>
        <v>2625.0</v>
      </c>
      <c r="N262" s="34" t="s">
        <v>303</v>
      </c>
      <c r="O262" s="33" t="n">
        <f>2469</f>
        <v>2469.0</v>
      </c>
      <c r="P262" s="34" t="s">
        <v>50</v>
      </c>
      <c r="Q262" s="33" t="n">
        <f>2485</f>
        <v>2485.0</v>
      </c>
      <c r="R262" s="34" t="s">
        <v>50</v>
      </c>
      <c r="S262" s="35" t="n">
        <f>2552.56</f>
        <v>2552.56</v>
      </c>
      <c r="T262" s="32" t="n">
        <f>1707</f>
        <v>1707.0</v>
      </c>
      <c r="U262" s="32" t="str">
        <f>"－"</f>
        <v>－</v>
      </c>
      <c r="V262" s="32" t="n">
        <f>4359753</f>
        <v>4359753.0</v>
      </c>
      <c r="W262" s="32" t="str">
        <f>"－"</f>
        <v>－</v>
      </c>
      <c r="X262" s="36" t="n">
        <f>18</f>
        <v>18.0</v>
      </c>
    </row>
    <row r="263">
      <c r="A263" s="27" t="s">
        <v>42</v>
      </c>
      <c r="B263" s="27" t="s">
        <v>833</v>
      </c>
      <c r="C263" s="27" t="s">
        <v>834</v>
      </c>
      <c r="D263" s="27" t="s">
        <v>835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2538</f>
        <v>2538.0</v>
      </c>
      <c r="L263" s="34" t="s">
        <v>98</v>
      </c>
      <c r="M263" s="33" t="n">
        <f>2553</f>
        <v>2553.0</v>
      </c>
      <c r="N263" s="34" t="s">
        <v>488</v>
      </c>
      <c r="O263" s="33" t="n">
        <f>2499</f>
        <v>2499.0</v>
      </c>
      <c r="P263" s="34" t="s">
        <v>50</v>
      </c>
      <c r="Q263" s="33" t="n">
        <f>2499</f>
        <v>2499.0</v>
      </c>
      <c r="R263" s="34" t="s">
        <v>50</v>
      </c>
      <c r="S263" s="35" t="n">
        <f>2526.73</f>
        <v>2526.73</v>
      </c>
      <c r="T263" s="32" t="n">
        <f>3082</f>
        <v>3082.0</v>
      </c>
      <c r="U263" s="32" t="str">
        <f>"－"</f>
        <v>－</v>
      </c>
      <c r="V263" s="32" t="n">
        <f>7787761</f>
        <v>7787761.0</v>
      </c>
      <c r="W263" s="32" t="str">
        <f>"－"</f>
        <v>－</v>
      </c>
      <c r="X263" s="36" t="n">
        <f>15</f>
        <v>15.0</v>
      </c>
    </row>
    <row r="264">
      <c r="A264" s="27" t="s">
        <v>42</v>
      </c>
      <c r="B264" s="27" t="s">
        <v>836</v>
      </c>
      <c r="C264" s="27" t="s">
        <v>837</v>
      </c>
      <c r="D264" s="27" t="s">
        <v>838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2768</f>
        <v>2768.0</v>
      </c>
      <c r="L264" s="34" t="s">
        <v>48</v>
      </c>
      <c r="M264" s="33" t="n">
        <f>3070</f>
        <v>3070.0</v>
      </c>
      <c r="N264" s="34" t="s">
        <v>49</v>
      </c>
      <c r="O264" s="33" t="n">
        <f>2768</f>
        <v>2768.0</v>
      </c>
      <c r="P264" s="34" t="s">
        <v>48</v>
      </c>
      <c r="Q264" s="33" t="n">
        <f>2906</f>
        <v>2906.0</v>
      </c>
      <c r="R264" s="34" t="s">
        <v>50</v>
      </c>
      <c r="S264" s="35" t="n">
        <f>2947.44</f>
        <v>2947.44</v>
      </c>
      <c r="T264" s="32" t="n">
        <f>28604</f>
        <v>28604.0</v>
      </c>
      <c r="U264" s="32" t="str">
        <f>"－"</f>
        <v>－</v>
      </c>
      <c r="V264" s="32" t="n">
        <f>82824044</f>
        <v>8.2824044E7</v>
      </c>
      <c r="W264" s="32" t="str">
        <f>"－"</f>
        <v>－</v>
      </c>
      <c r="X264" s="36" t="n">
        <f>18</f>
        <v>18.0</v>
      </c>
    </row>
    <row r="265">
      <c r="A265" s="27" t="s">
        <v>42</v>
      </c>
      <c r="B265" s="27" t="s">
        <v>839</v>
      </c>
      <c r="C265" s="27" t="s">
        <v>840</v>
      </c>
      <c r="D265" s="27" t="s">
        <v>841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1805</f>
        <v>1805.0</v>
      </c>
      <c r="L265" s="34" t="s">
        <v>48</v>
      </c>
      <c r="M265" s="33" t="n">
        <f>1976</f>
        <v>1976.0</v>
      </c>
      <c r="N265" s="34" t="s">
        <v>49</v>
      </c>
      <c r="O265" s="33" t="n">
        <f>1805</f>
        <v>1805.0</v>
      </c>
      <c r="P265" s="34" t="s">
        <v>48</v>
      </c>
      <c r="Q265" s="33" t="n">
        <f>1865</f>
        <v>1865.0</v>
      </c>
      <c r="R265" s="34" t="s">
        <v>50</v>
      </c>
      <c r="S265" s="35" t="n">
        <f>1912.89</f>
        <v>1912.89</v>
      </c>
      <c r="T265" s="32" t="n">
        <f>108278</f>
        <v>108278.0</v>
      </c>
      <c r="U265" s="32" t="str">
        <f>"－"</f>
        <v>－</v>
      </c>
      <c r="V265" s="32" t="n">
        <f>208488545</f>
        <v>2.08488545E8</v>
      </c>
      <c r="W265" s="32" t="str">
        <f>"－"</f>
        <v>－</v>
      </c>
      <c r="X265" s="36" t="n">
        <f>18</f>
        <v>18.0</v>
      </c>
    </row>
    <row r="266">
      <c r="A266" s="27" t="s">
        <v>42</v>
      </c>
      <c r="B266" s="27" t="s">
        <v>842</v>
      </c>
      <c r="C266" s="27" t="s">
        <v>843</v>
      </c>
      <c r="D266" s="27" t="s">
        <v>844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2056</f>
        <v>2056.0</v>
      </c>
      <c r="L266" s="34" t="s">
        <v>48</v>
      </c>
      <c r="M266" s="33" t="n">
        <f>2203</f>
        <v>2203.0</v>
      </c>
      <c r="N266" s="34" t="s">
        <v>49</v>
      </c>
      <c r="O266" s="33" t="n">
        <f>2021</f>
        <v>2021.0</v>
      </c>
      <c r="P266" s="34" t="s">
        <v>48</v>
      </c>
      <c r="Q266" s="33" t="n">
        <f>2055</f>
        <v>2055.0</v>
      </c>
      <c r="R266" s="34" t="s">
        <v>50</v>
      </c>
      <c r="S266" s="35" t="n">
        <f>2127.39</f>
        <v>2127.39</v>
      </c>
      <c r="T266" s="32" t="n">
        <f>580894</f>
        <v>580894.0</v>
      </c>
      <c r="U266" s="32" t="str">
        <f>"－"</f>
        <v>－</v>
      </c>
      <c r="V266" s="32" t="n">
        <f>1231663061</f>
        <v>1.231663061E9</v>
      </c>
      <c r="W266" s="32" t="str">
        <f>"－"</f>
        <v>－</v>
      </c>
      <c r="X266" s="36" t="n">
        <f>18</f>
        <v>18.0</v>
      </c>
    </row>
    <row r="267">
      <c r="A267" s="27" t="s">
        <v>42</v>
      </c>
      <c r="B267" s="27" t="s">
        <v>845</v>
      </c>
      <c r="C267" s="27" t="s">
        <v>846</v>
      </c>
      <c r="D267" s="27" t="s">
        <v>847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2111</f>
        <v>2111.0</v>
      </c>
      <c r="L267" s="34" t="s">
        <v>48</v>
      </c>
      <c r="M267" s="33" t="n">
        <f>2323</f>
        <v>2323.0</v>
      </c>
      <c r="N267" s="34" t="s">
        <v>49</v>
      </c>
      <c r="O267" s="33" t="n">
        <f>2111</f>
        <v>2111.0</v>
      </c>
      <c r="P267" s="34" t="s">
        <v>48</v>
      </c>
      <c r="Q267" s="33" t="n">
        <f>2167</f>
        <v>2167.0</v>
      </c>
      <c r="R267" s="34" t="s">
        <v>50</v>
      </c>
      <c r="S267" s="35" t="n">
        <f>2234.89</f>
        <v>2234.89</v>
      </c>
      <c r="T267" s="32" t="n">
        <f>463534</f>
        <v>463534.0</v>
      </c>
      <c r="U267" s="32" t="n">
        <f>75010</f>
        <v>75010.0</v>
      </c>
      <c r="V267" s="32" t="n">
        <f>1031645602</f>
        <v>1.031645602E9</v>
      </c>
      <c r="W267" s="32" t="n">
        <f>166222185</f>
        <v>1.66222185E8</v>
      </c>
      <c r="X267" s="36" t="n">
        <f>18</f>
        <v>18.0</v>
      </c>
    </row>
    <row r="268">
      <c r="A268" s="27" t="s">
        <v>42</v>
      </c>
      <c r="B268" s="27" t="s">
        <v>848</v>
      </c>
      <c r="C268" s="27" t="s">
        <v>849</v>
      </c>
      <c r="D268" s="27" t="s">
        <v>850</v>
      </c>
      <c r="E268" s="28" t="s">
        <v>851</v>
      </c>
      <c r="F268" s="29" t="s">
        <v>852</v>
      </c>
      <c r="G268" s="30" t="s">
        <v>853</v>
      </c>
      <c r="H268" s="31"/>
      <c r="I268" s="31" t="s">
        <v>47</v>
      </c>
      <c r="J268" s="32" t="n">
        <v>1.0</v>
      </c>
      <c r="K268" s="33" t="n">
        <f>10220</f>
        <v>10220.0</v>
      </c>
      <c r="L268" s="34" t="s">
        <v>175</v>
      </c>
      <c r="M268" s="33" t="n">
        <f>10220</f>
        <v>10220.0</v>
      </c>
      <c r="N268" s="34" t="s">
        <v>175</v>
      </c>
      <c r="O268" s="33" t="n">
        <f>9840</f>
        <v>9840.0</v>
      </c>
      <c r="P268" s="34" t="s">
        <v>50</v>
      </c>
      <c r="Q268" s="33" t="n">
        <f>9840</f>
        <v>9840.0</v>
      </c>
      <c r="R268" s="34" t="s">
        <v>50</v>
      </c>
      <c r="S268" s="35" t="n">
        <f>10000</f>
        <v>10000.0</v>
      </c>
      <c r="T268" s="32" t="n">
        <f>1189</f>
        <v>1189.0</v>
      </c>
      <c r="U268" s="32" t="str">
        <f>"－"</f>
        <v>－</v>
      </c>
      <c r="V268" s="32" t="n">
        <f>11882590</f>
        <v>1.188259E7</v>
      </c>
      <c r="W268" s="32" t="str">
        <f>"－"</f>
        <v>－</v>
      </c>
      <c r="X268" s="36" t="n">
        <f>2</f>
        <v>2.0</v>
      </c>
    </row>
    <row r="269">
      <c r="A269" s="27" t="s">
        <v>42</v>
      </c>
      <c r="B269" s="27" t="s">
        <v>854</v>
      </c>
      <c r="C269" s="27" t="s">
        <v>855</v>
      </c>
      <c r="D269" s="27" t="s">
        <v>856</v>
      </c>
      <c r="E269" s="28" t="s">
        <v>851</v>
      </c>
      <c r="F269" s="29" t="s">
        <v>852</v>
      </c>
      <c r="G269" s="30" t="s">
        <v>853</v>
      </c>
      <c r="H269" s="31"/>
      <c r="I269" s="31" t="s">
        <v>47</v>
      </c>
      <c r="J269" s="32" t="n">
        <v>1.0</v>
      </c>
      <c r="K269" s="33" t="n">
        <f>10240</f>
        <v>10240.0</v>
      </c>
      <c r="L269" s="34" t="s">
        <v>175</v>
      </c>
      <c r="M269" s="33" t="n">
        <f>10240</f>
        <v>10240.0</v>
      </c>
      <c r="N269" s="34" t="s">
        <v>175</v>
      </c>
      <c r="O269" s="33" t="n">
        <f>9690</f>
        <v>9690.0</v>
      </c>
      <c r="P269" s="34" t="s">
        <v>50</v>
      </c>
      <c r="Q269" s="33" t="n">
        <f>9730</f>
        <v>9730.0</v>
      </c>
      <c r="R269" s="34" t="s">
        <v>50</v>
      </c>
      <c r="S269" s="35" t="n">
        <f>9960</f>
        <v>9960.0</v>
      </c>
      <c r="T269" s="32" t="n">
        <f>33498</f>
        <v>33498.0</v>
      </c>
      <c r="U269" s="32" t="str">
        <f>"－"</f>
        <v>－</v>
      </c>
      <c r="V269" s="32" t="n">
        <f>333401620</f>
        <v>3.3340162E8</v>
      </c>
      <c r="W269" s="32" t="str">
        <f>"－"</f>
        <v>－</v>
      </c>
      <c r="X269" s="36" t="n">
        <f>2</f>
        <v>2.0</v>
      </c>
    </row>
    <row r="270">
      <c r="A270" s="27" t="s">
        <v>42</v>
      </c>
      <c r="B270" s="27" t="s">
        <v>857</v>
      </c>
      <c r="C270" s="27" t="s">
        <v>858</v>
      </c>
      <c r="D270" s="27" t="s">
        <v>859</v>
      </c>
      <c r="E270" s="28" t="s">
        <v>851</v>
      </c>
      <c r="F270" s="29" t="s">
        <v>852</v>
      </c>
      <c r="G270" s="30" t="s">
        <v>853</v>
      </c>
      <c r="H270" s="31"/>
      <c r="I270" s="31" t="s">
        <v>47</v>
      </c>
      <c r="J270" s="32" t="n">
        <v>1.0</v>
      </c>
      <c r="K270" s="33" t="n">
        <f>10190</f>
        <v>10190.0</v>
      </c>
      <c r="L270" s="34" t="s">
        <v>175</v>
      </c>
      <c r="M270" s="33" t="n">
        <f>10190</f>
        <v>10190.0</v>
      </c>
      <c r="N270" s="34" t="s">
        <v>175</v>
      </c>
      <c r="O270" s="33" t="n">
        <f>9630</f>
        <v>9630.0</v>
      </c>
      <c r="P270" s="34" t="s">
        <v>50</v>
      </c>
      <c r="Q270" s="33" t="n">
        <f>9660</f>
        <v>9660.0</v>
      </c>
      <c r="R270" s="34" t="s">
        <v>50</v>
      </c>
      <c r="S270" s="35" t="n">
        <f>9900</f>
        <v>9900.0</v>
      </c>
      <c r="T270" s="32" t="n">
        <f>2776</f>
        <v>2776.0</v>
      </c>
      <c r="U270" s="32" t="str">
        <f>"－"</f>
        <v>－</v>
      </c>
      <c r="V270" s="32" t="n">
        <f>27166710</f>
        <v>2.716671E7</v>
      </c>
      <c r="W270" s="32" t="str">
        <f>"－"</f>
        <v>－</v>
      </c>
      <c r="X270" s="36" t="n">
        <f>2</f>
        <v>2.0</v>
      </c>
    </row>
    <row r="271">
      <c r="A271" s="27" t="s">
        <v>42</v>
      </c>
      <c r="B271" s="27" t="s">
        <v>860</v>
      </c>
      <c r="C271" s="27" t="s">
        <v>861</v>
      </c>
      <c r="D271" s="27" t="s">
        <v>862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121600</f>
        <v>121600.0</v>
      </c>
      <c r="L271" s="34" t="s">
        <v>48</v>
      </c>
      <c r="M271" s="33" t="n">
        <f>131200</f>
        <v>131200.0</v>
      </c>
      <c r="N271" s="34" t="s">
        <v>49</v>
      </c>
      <c r="O271" s="33" t="n">
        <f>119500</f>
        <v>119500.0</v>
      </c>
      <c r="P271" s="34" t="s">
        <v>115</v>
      </c>
      <c r="Q271" s="33" t="n">
        <f>126300</f>
        <v>126300.0</v>
      </c>
      <c r="R271" s="34" t="s">
        <v>50</v>
      </c>
      <c r="S271" s="35" t="n">
        <f>125205.56</f>
        <v>125205.56</v>
      </c>
      <c r="T271" s="32" t="n">
        <f>18671</f>
        <v>18671.0</v>
      </c>
      <c r="U271" s="32" t="n">
        <f>2062</f>
        <v>2062.0</v>
      </c>
      <c r="V271" s="32" t="n">
        <f>2338108340</f>
        <v>2.33810834E9</v>
      </c>
      <c r="W271" s="32" t="n">
        <f>257513740</f>
        <v>2.5751374E8</v>
      </c>
      <c r="X271" s="36" t="n">
        <f>18</f>
        <v>18.0</v>
      </c>
    </row>
    <row r="272">
      <c r="A272" s="27" t="s">
        <v>42</v>
      </c>
      <c r="B272" s="27" t="s">
        <v>863</v>
      </c>
      <c r="C272" s="27" t="s">
        <v>864</v>
      </c>
      <c r="D272" s="27" t="s">
        <v>865</v>
      </c>
      <c r="E272" s="28" t="s">
        <v>46</v>
      </c>
      <c r="F272" s="29" t="s">
        <v>46</v>
      </c>
      <c r="G272" s="30" t="s">
        <v>46</v>
      </c>
      <c r="H272" s="31"/>
      <c r="I272" s="31" t="s">
        <v>628</v>
      </c>
      <c r="J272" s="32" t="n">
        <v>1.0</v>
      </c>
      <c r="K272" s="33" t="n">
        <f>106400</f>
        <v>106400.0</v>
      </c>
      <c r="L272" s="34" t="s">
        <v>48</v>
      </c>
      <c r="M272" s="33" t="n">
        <f>118500</f>
        <v>118500.0</v>
      </c>
      <c r="N272" s="34" t="s">
        <v>49</v>
      </c>
      <c r="O272" s="33" t="n">
        <f>105200</f>
        <v>105200.0</v>
      </c>
      <c r="P272" s="34" t="s">
        <v>98</v>
      </c>
      <c r="Q272" s="33" t="n">
        <f>110200</f>
        <v>110200.0</v>
      </c>
      <c r="R272" s="34" t="s">
        <v>50</v>
      </c>
      <c r="S272" s="35" t="n">
        <f>111555.56</f>
        <v>111555.56</v>
      </c>
      <c r="T272" s="32" t="n">
        <f>20612</f>
        <v>20612.0</v>
      </c>
      <c r="U272" s="32" t="n">
        <f>3492</f>
        <v>3492.0</v>
      </c>
      <c r="V272" s="32" t="n">
        <f>2308583343</f>
        <v>2.308583343E9</v>
      </c>
      <c r="W272" s="32" t="n">
        <f>389925743</f>
        <v>3.89925743E8</v>
      </c>
      <c r="X272" s="36" t="n">
        <f>18</f>
        <v>18.0</v>
      </c>
    </row>
    <row r="273">
      <c r="A273" s="27" t="s">
        <v>42</v>
      </c>
      <c r="B273" s="27" t="s">
        <v>866</v>
      </c>
      <c r="C273" s="27" t="s">
        <v>867</v>
      </c>
      <c r="D273" s="27" t="s">
        <v>868</v>
      </c>
      <c r="E273" s="28" t="s">
        <v>46</v>
      </c>
      <c r="F273" s="29" t="s">
        <v>46</v>
      </c>
      <c r="G273" s="30" t="s">
        <v>46</v>
      </c>
      <c r="H273" s="31"/>
      <c r="I273" s="31" t="s">
        <v>628</v>
      </c>
      <c r="J273" s="32" t="n">
        <v>1.0</v>
      </c>
      <c r="K273" s="33" t="n">
        <f>129000</f>
        <v>129000.0</v>
      </c>
      <c r="L273" s="34" t="s">
        <v>48</v>
      </c>
      <c r="M273" s="33" t="n">
        <f>136000</f>
        <v>136000.0</v>
      </c>
      <c r="N273" s="34" t="s">
        <v>175</v>
      </c>
      <c r="O273" s="33" t="n">
        <f>127000</f>
        <v>127000.0</v>
      </c>
      <c r="P273" s="34" t="s">
        <v>48</v>
      </c>
      <c r="Q273" s="33" t="n">
        <f>133900</f>
        <v>133900.0</v>
      </c>
      <c r="R273" s="34" t="s">
        <v>50</v>
      </c>
      <c r="S273" s="35" t="n">
        <f>131161.11</f>
        <v>131161.11</v>
      </c>
      <c r="T273" s="32" t="n">
        <f>46842</f>
        <v>46842.0</v>
      </c>
      <c r="U273" s="32" t="n">
        <f>6734</f>
        <v>6734.0</v>
      </c>
      <c r="V273" s="32" t="n">
        <f>6150700360</f>
        <v>6.15070036E9</v>
      </c>
      <c r="W273" s="32" t="n">
        <f>883361760</f>
        <v>8.8336176E8</v>
      </c>
      <c r="X273" s="36" t="n">
        <f>18</f>
        <v>18.0</v>
      </c>
    </row>
    <row r="274">
      <c r="A274" s="27" t="s">
        <v>42</v>
      </c>
      <c r="B274" s="27" t="s">
        <v>869</v>
      </c>
      <c r="C274" s="27" t="s">
        <v>870</v>
      </c>
      <c r="D274" s="27" t="s">
        <v>871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574000</f>
        <v>574000.0</v>
      </c>
      <c r="L274" s="34" t="s">
        <v>48</v>
      </c>
      <c r="M274" s="33" t="n">
        <f>612000</f>
        <v>612000.0</v>
      </c>
      <c r="N274" s="34" t="s">
        <v>94</v>
      </c>
      <c r="O274" s="33" t="n">
        <f>557000</f>
        <v>557000.0</v>
      </c>
      <c r="P274" s="34" t="s">
        <v>115</v>
      </c>
      <c r="Q274" s="33" t="n">
        <f>594000</f>
        <v>594000.0</v>
      </c>
      <c r="R274" s="34" t="s">
        <v>50</v>
      </c>
      <c r="S274" s="35" t="n">
        <f>586611.11</f>
        <v>586611.11</v>
      </c>
      <c r="T274" s="32" t="n">
        <f>46005</f>
        <v>46005.0</v>
      </c>
      <c r="U274" s="32" t="n">
        <f>12059</f>
        <v>12059.0</v>
      </c>
      <c r="V274" s="32" t="n">
        <f>27019865677</f>
        <v>2.7019865677E10</v>
      </c>
      <c r="W274" s="32" t="n">
        <f>7079035677</f>
        <v>7.079035677E9</v>
      </c>
      <c r="X274" s="36" t="n">
        <f>18</f>
        <v>18.0</v>
      </c>
    </row>
    <row r="275">
      <c r="A275" s="27" t="s">
        <v>42</v>
      </c>
      <c r="B275" s="27" t="s">
        <v>872</v>
      </c>
      <c r="C275" s="27" t="s">
        <v>873</v>
      </c>
      <c r="D275" s="27" t="s">
        <v>874</v>
      </c>
      <c r="E275" s="28" t="s">
        <v>875</v>
      </c>
      <c r="F275" s="29" t="s">
        <v>876</v>
      </c>
      <c r="G275" s="30" t="s">
        <v>853</v>
      </c>
      <c r="H275" s="31"/>
      <c r="I275" s="31"/>
      <c r="J275" s="32" t="n">
        <v>1.0</v>
      </c>
      <c r="K275" s="33" t="n">
        <f>98600</f>
        <v>98600.0</v>
      </c>
      <c r="L275" s="34" t="s">
        <v>48</v>
      </c>
      <c r="M275" s="33" t="n">
        <f>113000</f>
        <v>113000.0</v>
      </c>
      <c r="N275" s="34" t="s">
        <v>49</v>
      </c>
      <c r="O275" s="33" t="n">
        <f>97900</f>
        <v>97900.0</v>
      </c>
      <c r="P275" s="34" t="s">
        <v>48</v>
      </c>
      <c r="Q275" s="33" t="n">
        <f>111100</f>
        <v>111100.0</v>
      </c>
      <c r="R275" s="34" t="s">
        <v>94</v>
      </c>
      <c r="S275" s="35" t="n">
        <f>106831.25</f>
        <v>106831.25</v>
      </c>
      <c r="T275" s="32" t="n">
        <f>257437</f>
        <v>257437.0</v>
      </c>
      <c r="U275" s="32" t="n">
        <f>82369</f>
        <v>82369.0</v>
      </c>
      <c r="V275" s="32" t="n">
        <f>27789322951</f>
        <v>2.7789322951E10</v>
      </c>
      <c r="W275" s="32" t="n">
        <f>9021083151</f>
        <v>9.021083151E9</v>
      </c>
      <c r="X275" s="36" t="n">
        <f>16</f>
        <v>16.0</v>
      </c>
    </row>
    <row r="276">
      <c r="A276" s="27" t="s">
        <v>42</v>
      </c>
      <c r="B276" s="27" t="s">
        <v>877</v>
      </c>
      <c r="C276" s="27" t="s">
        <v>878</v>
      </c>
      <c r="D276" s="27" t="s">
        <v>879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145900</f>
        <v>145900.0</v>
      </c>
      <c r="L276" s="34" t="s">
        <v>48</v>
      </c>
      <c r="M276" s="33" t="n">
        <f>150900</f>
        <v>150900.0</v>
      </c>
      <c r="N276" s="34" t="s">
        <v>70</v>
      </c>
      <c r="O276" s="33" t="n">
        <f>140300</f>
        <v>140300.0</v>
      </c>
      <c r="P276" s="34" t="s">
        <v>98</v>
      </c>
      <c r="Q276" s="33" t="n">
        <f>147500</f>
        <v>147500.0</v>
      </c>
      <c r="R276" s="34" t="s">
        <v>50</v>
      </c>
      <c r="S276" s="35" t="n">
        <f>144661.11</f>
        <v>144661.11</v>
      </c>
      <c r="T276" s="32" t="n">
        <f>148057</f>
        <v>148057.0</v>
      </c>
      <c r="U276" s="32" t="n">
        <f>36845</f>
        <v>36845.0</v>
      </c>
      <c r="V276" s="32" t="n">
        <f>21448006560</f>
        <v>2.144800656E10</v>
      </c>
      <c r="W276" s="32" t="n">
        <f>5326422060</f>
        <v>5.32642206E9</v>
      </c>
      <c r="X276" s="36" t="n">
        <f>18</f>
        <v>18.0</v>
      </c>
    </row>
    <row r="277">
      <c r="A277" s="27" t="s">
        <v>42</v>
      </c>
      <c r="B277" s="27" t="s">
        <v>880</v>
      </c>
      <c r="C277" s="27" t="s">
        <v>881</v>
      </c>
      <c r="D277" s="27" t="s">
        <v>882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187500</f>
        <v>187500.0</v>
      </c>
      <c r="L277" s="34" t="s">
        <v>48</v>
      </c>
      <c r="M277" s="33" t="n">
        <f>197900</f>
        <v>197900.0</v>
      </c>
      <c r="N277" s="34" t="s">
        <v>49</v>
      </c>
      <c r="O277" s="33" t="n">
        <f>179300</f>
        <v>179300.0</v>
      </c>
      <c r="P277" s="34" t="s">
        <v>549</v>
      </c>
      <c r="Q277" s="33" t="n">
        <f>183000</f>
        <v>183000.0</v>
      </c>
      <c r="R277" s="34" t="s">
        <v>50</v>
      </c>
      <c r="S277" s="35" t="n">
        <f>186955.56</f>
        <v>186955.56</v>
      </c>
      <c r="T277" s="32" t="n">
        <f>169868</f>
        <v>169868.0</v>
      </c>
      <c r="U277" s="32" t="n">
        <f>67886</f>
        <v>67886.0</v>
      </c>
      <c r="V277" s="32" t="n">
        <f>31486057320</f>
        <v>3.148605732E10</v>
      </c>
      <c r="W277" s="32" t="n">
        <f>12436624620</f>
        <v>1.243662462E10</v>
      </c>
      <c r="X277" s="36" t="n">
        <f>18</f>
        <v>18.0</v>
      </c>
    </row>
    <row r="278">
      <c r="A278" s="27" t="s">
        <v>42</v>
      </c>
      <c r="B278" s="27" t="s">
        <v>883</v>
      </c>
      <c r="C278" s="27" t="s">
        <v>884</v>
      </c>
      <c r="D278" s="27" t="s">
        <v>885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306000</f>
        <v>306000.0</v>
      </c>
      <c r="L278" s="34" t="s">
        <v>48</v>
      </c>
      <c r="M278" s="33" t="n">
        <f>334000</f>
        <v>334000.0</v>
      </c>
      <c r="N278" s="34" t="s">
        <v>175</v>
      </c>
      <c r="O278" s="33" t="n">
        <f>300000</f>
        <v>300000.0</v>
      </c>
      <c r="P278" s="34" t="s">
        <v>98</v>
      </c>
      <c r="Q278" s="33" t="n">
        <f>323500</f>
        <v>323500.0</v>
      </c>
      <c r="R278" s="34" t="s">
        <v>50</v>
      </c>
      <c r="S278" s="35" t="n">
        <f>315583.33</f>
        <v>315583.33</v>
      </c>
      <c r="T278" s="32" t="n">
        <f>106195</f>
        <v>106195.0</v>
      </c>
      <c r="U278" s="32" t="n">
        <f>21883</f>
        <v>21883.0</v>
      </c>
      <c r="V278" s="32" t="n">
        <f>33437323348</f>
        <v>3.3437323348E10</v>
      </c>
      <c r="W278" s="32" t="n">
        <f>6868004848</f>
        <v>6.868004848E9</v>
      </c>
      <c r="X278" s="36" t="n">
        <f>18</f>
        <v>18.0</v>
      </c>
    </row>
    <row r="279">
      <c r="A279" s="27" t="s">
        <v>42</v>
      </c>
      <c r="B279" s="27" t="s">
        <v>886</v>
      </c>
      <c r="C279" s="27" t="s">
        <v>887</v>
      </c>
      <c r="D279" s="27" t="s">
        <v>888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182500</f>
        <v>182500.0</v>
      </c>
      <c r="L279" s="34" t="s">
        <v>48</v>
      </c>
      <c r="M279" s="33" t="n">
        <f>201400</f>
        <v>201400.0</v>
      </c>
      <c r="N279" s="34" t="s">
        <v>94</v>
      </c>
      <c r="O279" s="33" t="n">
        <f>177200</f>
        <v>177200.0</v>
      </c>
      <c r="P279" s="34" t="s">
        <v>98</v>
      </c>
      <c r="Q279" s="33" t="n">
        <f>191000</f>
        <v>191000.0</v>
      </c>
      <c r="R279" s="34" t="s">
        <v>50</v>
      </c>
      <c r="S279" s="35" t="n">
        <f>187150</f>
        <v>187150.0</v>
      </c>
      <c r="T279" s="32" t="n">
        <f>117267</f>
        <v>117267.0</v>
      </c>
      <c r="U279" s="32" t="n">
        <f>25384</f>
        <v>25384.0</v>
      </c>
      <c r="V279" s="32" t="n">
        <f>22248300590</f>
        <v>2.224830059E10</v>
      </c>
      <c r="W279" s="32" t="n">
        <f>4814028790</f>
        <v>4.81402879E9</v>
      </c>
      <c r="X279" s="36" t="n">
        <f>18</f>
        <v>18.0</v>
      </c>
    </row>
    <row r="280">
      <c r="A280" s="27" t="s">
        <v>42</v>
      </c>
      <c r="B280" s="27" t="s">
        <v>889</v>
      </c>
      <c r="C280" s="27" t="s">
        <v>890</v>
      </c>
      <c r="D280" s="27" t="s">
        <v>891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419000</f>
        <v>419000.0</v>
      </c>
      <c r="L280" s="34" t="s">
        <v>48</v>
      </c>
      <c r="M280" s="33" t="n">
        <f>484000</f>
        <v>484000.0</v>
      </c>
      <c r="N280" s="34" t="s">
        <v>175</v>
      </c>
      <c r="O280" s="33" t="n">
        <f>409000</f>
        <v>409000.0</v>
      </c>
      <c r="P280" s="34" t="s">
        <v>48</v>
      </c>
      <c r="Q280" s="33" t="n">
        <f>468000</f>
        <v>468000.0</v>
      </c>
      <c r="R280" s="34" t="s">
        <v>50</v>
      </c>
      <c r="S280" s="35" t="n">
        <f>446972.22</f>
        <v>446972.22</v>
      </c>
      <c r="T280" s="32" t="n">
        <f>73484</f>
        <v>73484.0</v>
      </c>
      <c r="U280" s="32" t="n">
        <f>22266</f>
        <v>22266.0</v>
      </c>
      <c r="V280" s="32" t="n">
        <f>32790331999</f>
        <v>3.2790331999E10</v>
      </c>
      <c r="W280" s="32" t="n">
        <f>9906387499</f>
        <v>9.906387499E9</v>
      </c>
      <c r="X280" s="36" t="n">
        <f>18</f>
        <v>18.0</v>
      </c>
    </row>
    <row r="281">
      <c r="A281" s="27" t="s">
        <v>42</v>
      </c>
      <c r="B281" s="27" t="s">
        <v>892</v>
      </c>
      <c r="C281" s="27" t="s">
        <v>893</v>
      </c>
      <c r="D281" s="27" t="s">
        <v>894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168100</f>
        <v>168100.0</v>
      </c>
      <c r="L281" s="34" t="s">
        <v>48</v>
      </c>
      <c r="M281" s="33" t="n">
        <f>184600</f>
        <v>184600.0</v>
      </c>
      <c r="N281" s="34" t="s">
        <v>70</v>
      </c>
      <c r="O281" s="33" t="n">
        <f>164000</f>
        <v>164000.0</v>
      </c>
      <c r="P281" s="34" t="s">
        <v>549</v>
      </c>
      <c r="Q281" s="33" t="n">
        <f>172600</f>
        <v>172600.0</v>
      </c>
      <c r="R281" s="34" t="s">
        <v>50</v>
      </c>
      <c r="S281" s="35" t="n">
        <f>174527.78</f>
        <v>174527.78</v>
      </c>
      <c r="T281" s="32" t="n">
        <f>304006</f>
        <v>304006.0</v>
      </c>
      <c r="U281" s="32" t="n">
        <f>67635</f>
        <v>67635.0</v>
      </c>
      <c r="V281" s="32" t="n">
        <f>53029230444</f>
        <v>5.3029230444E10</v>
      </c>
      <c r="W281" s="32" t="n">
        <f>11800702044</f>
        <v>1.1800702044E10</v>
      </c>
      <c r="X281" s="36" t="n">
        <f>18</f>
        <v>18.0</v>
      </c>
    </row>
    <row r="282">
      <c r="A282" s="27" t="s">
        <v>42</v>
      </c>
      <c r="B282" s="27" t="s">
        <v>895</v>
      </c>
      <c r="C282" s="27" t="s">
        <v>896</v>
      </c>
      <c r="D282" s="27" t="s">
        <v>897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296500</f>
        <v>296500.0</v>
      </c>
      <c r="L282" s="34" t="s">
        <v>48</v>
      </c>
      <c r="M282" s="33" t="n">
        <f>331000</f>
        <v>331000.0</v>
      </c>
      <c r="N282" s="34" t="s">
        <v>175</v>
      </c>
      <c r="O282" s="33" t="n">
        <f>289000</f>
        <v>289000.0</v>
      </c>
      <c r="P282" s="34" t="s">
        <v>98</v>
      </c>
      <c r="Q282" s="33" t="n">
        <f>317000</f>
        <v>317000.0</v>
      </c>
      <c r="R282" s="34" t="s">
        <v>50</v>
      </c>
      <c r="S282" s="35" t="n">
        <f>310222.22</f>
        <v>310222.22</v>
      </c>
      <c r="T282" s="32" t="n">
        <f>86824</f>
        <v>86824.0</v>
      </c>
      <c r="U282" s="32" t="n">
        <f>17119</f>
        <v>17119.0</v>
      </c>
      <c r="V282" s="32" t="n">
        <f>26567321000</f>
        <v>2.6567321E10</v>
      </c>
      <c r="W282" s="32" t="n">
        <f>5249088400</f>
        <v>5.2490884E9</v>
      </c>
      <c r="X282" s="36" t="n">
        <f>18</f>
        <v>18.0</v>
      </c>
    </row>
    <row r="283">
      <c r="A283" s="27" t="s">
        <v>42</v>
      </c>
      <c r="B283" s="27" t="s">
        <v>898</v>
      </c>
      <c r="C283" s="27" t="s">
        <v>899</v>
      </c>
      <c r="D283" s="27" t="s">
        <v>900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339500</f>
        <v>339500.0</v>
      </c>
      <c r="L283" s="34" t="s">
        <v>48</v>
      </c>
      <c r="M283" s="33" t="n">
        <f>350000</f>
        <v>350000.0</v>
      </c>
      <c r="N283" s="34" t="s">
        <v>49</v>
      </c>
      <c r="O283" s="33" t="n">
        <f>325500</f>
        <v>325500.0</v>
      </c>
      <c r="P283" s="34" t="s">
        <v>119</v>
      </c>
      <c r="Q283" s="33" t="n">
        <f>326000</f>
        <v>326000.0</v>
      </c>
      <c r="R283" s="34" t="s">
        <v>50</v>
      </c>
      <c r="S283" s="35" t="n">
        <f>336194.44</f>
        <v>336194.44</v>
      </c>
      <c r="T283" s="32" t="n">
        <f>235488</f>
        <v>235488.0</v>
      </c>
      <c r="U283" s="32" t="n">
        <f>58380</f>
        <v>58380.0</v>
      </c>
      <c r="V283" s="32" t="n">
        <f>79121734299</f>
        <v>7.9121734299E10</v>
      </c>
      <c r="W283" s="32" t="n">
        <f>19616538299</f>
        <v>1.9616538299E10</v>
      </c>
      <c r="X283" s="36" t="n">
        <f>18</f>
        <v>18.0</v>
      </c>
    </row>
    <row r="284">
      <c r="A284" s="27" t="s">
        <v>42</v>
      </c>
      <c r="B284" s="27" t="s">
        <v>901</v>
      </c>
      <c r="C284" s="27" t="s">
        <v>902</v>
      </c>
      <c r="D284" s="27" t="s">
        <v>903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510000</f>
        <v>510000.0</v>
      </c>
      <c r="L284" s="34" t="s">
        <v>48</v>
      </c>
      <c r="M284" s="33" t="n">
        <f>610000</f>
        <v>610000.0</v>
      </c>
      <c r="N284" s="34" t="s">
        <v>175</v>
      </c>
      <c r="O284" s="33" t="n">
        <f>509000</f>
        <v>509000.0</v>
      </c>
      <c r="P284" s="34" t="s">
        <v>48</v>
      </c>
      <c r="Q284" s="33" t="n">
        <f>600000</f>
        <v>600000.0</v>
      </c>
      <c r="R284" s="34" t="s">
        <v>50</v>
      </c>
      <c r="S284" s="35" t="n">
        <f>553333.33</f>
        <v>553333.33</v>
      </c>
      <c r="T284" s="32" t="n">
        <f>32168</f>
        <v>32168.0</v>
      </c>
      <c r="U284" s="32" t="n">
        <f>4290</f>
        <v>4290.0</v>
      </c>
      <c r="V284" s="32" t="n">
        <f>18014414261</f>
        <v>1.8014414261E10</v>
      </c>
      <c r="W284" s="32" t="n">
        <f>2387300261</f>
        <v>2.387300261E9</v>
      </c>
      <c r="X284" s="36" t="n">
        <f>18</f>
        <v>18.0</v>
      </c>
    </row>
    <row r="285">
      <c r="A285" s="27" t="s">
        <v>42</v>
      </c>
      <c r="B285" s="27" t="s">
        <v>904</v>
      </c>
      <c r="C285" s="27" t="s">
        <v>905</v>
      </c>
      <c r="D285" s="27" t="s">
        <v>906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272500</f>
        <v>272500.0</v>
      </c>
      <c r="L285" s="34" t="s">
        <v>48</v>
      </c>
      <c r="M285" s="33" t="n">
        <f>310000</f>
        <v>310000.0</v>
      </c>
      <c r="N285" s="34" t="s">
        <v>70</v>
      </c>
      <c r="O285" s="33" t="n">
        <f>269000</f>
        <v>269000.0</v>
      </c>
      <c r="P285" s="34" t="s">
        <v>48</v>
      </c>
      <c r="Q285" s="33" t="n">
        <f>286400</f>
        <v>286400.0</v>
      </c>
      <c r="R285" s="34" t="s">
        <v>50</v>
      </c>
      <c r="S285" s="35" t="n">
        <f>289294.44</f>
        <v>289294.44</v>
      </c>
      <c r="T285" s="32" t="n">
        <f>25208</f>
        <v>25208.0</v>
      </c>
      <c r="U285" s="32" t="n">
        <f>3593</f>
        <v>3593.0</v>
      </c>
      <c r="V285" s="32" t="n">
        <f>7334997215</f>
        <v>7.334997215E9</v>
      </c>
      <c r="W285" s="32" t="n">
        <f>1047616215</f>
        <v>1.047616215E9</v>
      </c>
      <c r="X285" s="36" t="n">
        <f>18</f>
        <v>18.0</v>
      </c>
    </row>
    <row r="286">
      <c r="A286" s="27" t="s">
        <v>42</v>
      </c>
      <c r="B286" s="27" t="s">
        <v>907</v>
      </c>
      <c r="C286" s="27" t="s">
        <v>908</v>
      </c>
      <c r="D286" s="27" t="s">
        <v>909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138100</f>
        <v>138100.0</v>
      </c>
      <c r="L286" s="34" t="s">
        <v>48</v>
      </c>
      <c r="M286" s="33" t="n">
        <f>152700</f>
        <v>152700.0</v>
      </c>
      <c r="N286" s="34" t="s">
        <v>175</v>
      </c>
      <c r="O286" s="33" t="n">
        <f>134700</f>
        <v>134700.0</v>
      </c>
      <c r="P286" s="34" t="s">
        <v>115</v>
      </c>
      <c r="Q286" s="33" t="n">
        <f>148200</f>
        <v>148200.0</v>
      </c>
      <c r="R286" s="34" t="s">
        <v>50</v>
      </c>
      <c r="S286" s="35" t="n">
        <f>144605.56</f>
        <v>144605.56</v>
      </c>
      <c r="T286" s="32" t="n">
        <f>154127</f>
        <v>154127.0</v>
      </c>
      <c r="U286" s="32" t="n">
        <f>41117</f>
        <v>41117.0</v>
      </c>
      <c r="V286" s="32" t="n">
        <f>22244884079</f>
        <v>2.2244884079E10</v>
      </c>
      <c r="W286" s="32" t="n">
        <f>5913448279</f>
        <v>5.913448279E9</v>
      </c>
      <c r="X286" s="36" t="n">
        <f>18</f>
        <v>18.0</v>
      </c>
    </row>
    <row r="287">
      <c r="A287" s="27" t="s">
        <v>42</v>
      </c>
      <c r="B287" s="27" t="s">
        <v>910</v>
      </c>
      <c r="C287" s="27" t="s">
        <v>911</v>
      </c>
      <c r="D287" s="27" t="s">
        <v>912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159200</f>
        <v>159200.0</v>
      </c>
      <c r="L287" s="34" t="s">
        <v>48</v>
      </c>
      <c r="M287" s="33" t="n">
        <f>181100</f>
        <v>181100.0</v>
      </c>
      <c r="N287" s="34" t="s">
        <v>49</v>
      </c>
      <c r="O287" s="33" t="n">
        <f>156600</f>
        <v>156600.0</v>
      </c>
      <c r="P287" s="34" t="s">
        <v>98</v>
      </c>
      <c r="Q287" s="33" t="n">
        <f>168300</f>
        <v>168300.0</v>
      </c>
      <c r="R287" s="34" t="s">
        <v>50</v>
      </c>
      <c r="S287" s="35" t="n">
        <f>169672.22</f>
        <v>169672.22</v>
      </c>
      <c r="T287" s="32" t="n">
        <f>113689</f>
        <v>113689.0</v>
      </c>
      <c r="U287" s="32" t="n">
        <f>20251</f>
        <v>20251.0</v>
      </c>
      <c r="V287" s="32" t="n">
        <f>19337750186</f>
        <v>1.9337750186E10</v>
      </c>
      <c r="W287" s="32" t="n">
        <f>3426059586</f>
        <v>3.426059586E9</v>
      </c>
      <c r="X287" s="36" t="n">
        <f>18</f>
        <v>18.0</v>
      </c>
    </row>
    <row r="288">
      <c r="A288" s="27" t="s">
        <v>42</v>
      </c>
      <c r="B288" s="27" t="s">
        <v>913</v>
      </c>
      <c r="C288" s="27" t="s">
        <v>914</v>
      </c>
      <c r="D288" s="27" t="s">
        <v>915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372000</f>
        <v>372000.0</v>
      </c>
      <c r="L288" s="34" t="s">
        <v>48</v>
      </c>
      <c r="M288" s="33" t="n">
        <f>422000</f>
        <v>422000.0</v>
      </c>
      <c r="N288" s="34" t="s">
        <v>49</v>
      </c>
      <c r="O288" s="33" t="n">
        <f>359500</f>
        <v>359500.0</v>
      </c>
      <c r="P288" s="34" t="s">
        <v>115</v>
      </c>
      <c r="Q288" s="33" t="n">
        <f>396000</f>
        <v>396000.0</v>
      </c>
      <c r="R288" s="34" t="s">
        <v>50</v>
      </c>
      <c r="S288" s="35" t="n">
        <f>392972.22</f>
        <v>392972.22</v>
      </c>
      <c r="T288" s="32" t="n">
        <f>54866</f>
        <v>54866.0</v>
      </c>
      <c r="U288" s="32" t="n">
        <f>16860</f>
        <v>16860.0</v>
      </c>
      <c r="V288" s="32" t="n">
        <f>21649246974</f>
        <v>2.1649246974E10</v>
      </c>
      <c r="W288" s="32" t="n">
        <f>6678503474</f>
        <v>6.678503474E9</v>
      </c>
      <c r="X288" s="36" t="n">
        <f>18</f>
        <v>18.0</v>
      </c>
    </row>
    <row r="289">
      <c r="A289" s="27" t="s">
        <v>42</v>
      </c>
      <c r="B289" s="27" t="s">
        <v>916</v>
      </c>
      <c r="C289" s="27" t="s">
        <v>917</v>
      </c>
      <c r="D289" s="27" t="s">
        <v>918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15240</f>
        <v>15240.0</v>
      </c>
      <c r="L289" s="34" t="s">
        <v>48</v>
      </c>
      <c r="M289" s="33" t="n">
        <f>17880</f>
        <v>17880.0</v>
      </c>
      <c r="N289" s="34" t="s">
        <v>175</v>
      </c>
      <c r="O289" s="33" t="n">
        <f>14700</f>
        <v>14700.0</v>
      </c>
      <c r="P289" s="34" t="s">
        <v>549</v>
      </c>
      <c r="Q289" s="33" t="n">
        <f>17370</f>
        <v>17370.0</v>
      </c>
      <c r="R289" s="34" t="s">
        <v>50</v>
      </c>
      <c r="S289" s="35" t="n">
        <f>16228.33</f>
        <v>16228.33</v>
      </c>
      <c r="T289" s="32" t="n">
        <f>902923</f>
        <v>902923.0</v>
      </c>
      <c r="U289" s="32" t="n">
        <f>150685</f>
        <v>150685.0</v>
      </c>
      <c r="V289" s="32" t="n">
        <f>14758607554</f>
        <v>1.4758607554E10</v>
      </c>
      <c r="W289" s="32" t="n">
        <f>2447620094</f>
        <v>2.447620094E9</v>
      </c>
      <c r="X289" s="36" t="n">
        <f>18</f>
        <v>18.0</v>
      </c>
    </row>
    <row r="290">
      <c r="A290" s="27" t="s">
        <v>42</v>
      </c>
      <c r="B290" s="27" t="s">
        <v>919</v>
      </c>
      <c r="C290" s="27" t="s">
        <v>920</v>
      </c>
      <c r="D290" s="27" t="s">
        <v>921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76500</f>
        <v>76500.0</v>
      </c>
      <c r="L290" s="34" t="s">
        <v>48</v>
      </c>
      <c r="M290" s="33" t="n">
        <f>86900</f>
        <v>86900.0</v>
      </c>
      <c r="N290" s="34" t="s">
        <v>175</v>
      </c>
      <c r="O290" s="33" t="n">
        <f>74400</f>
        <v>74400.0</v>
      </c>
      <c r="P290" s="34" t="s">
        <v>115</v>
      </c>
      <c r="Q290" s="33" t="n">
        <f>84600</f>
        <v>84600.0</v>
      </c>
      <c r="R290" s="34" t="s">
        <v>50</v>
      </c>
      <c r="S290" s="35" t="n">
        <f>81011.11</f>
        <v>81011.11</v>
      </c>
      <c r="T290" s="32" t="n">
        <f>318924</f>
        <v>318924.0</v>
      </c>
      <c r="U290" s="32" t="n">
        <f>78197</f>
        <v>78197.0</v>
      </c>
      <c r="V290" s="32" t="n">
        <f>25836185926</f>
        <v>2.5836185926E10</v>
      </c>
      <c r="W290" s="32" t="n">
        <f>6313544626</f>
        <v>6.313544626E9</v>
      </c>
      <c r="X290" s="36" t="n">
        <f>18</f>
        <v>18.0</v>
      </c>
    </row>
    <row r="291">
      <c r="A291" s="27" t="s">
        <v>42</v>
      </c>
      <c r="B291" s="27" t="s">
        <v>922</v>
      </c>
      <c r="C291" s="27" t="s">
        <v>923</v>
      </c>
      <c r="D291" s="27" t="s">
        <v>924</v>
      </c>
      <c r="E291" s="28" t="s">
        <v>46</v>
      </c>
      <c r="F291" s="29" t="s">
        <v>46</v>
      </c>
      <c r="G291" s="30" t="s">
        <v>46</v>
      </c>
      <c r="H291" s="31"/>
      <c r="I291" s="31" t="s">
        <v>628</v>
      </c>
      <c r="J291" s="32" t="n">
        <v>1.0</v>
      </c>
      <c r="K291" s="33" t="n">
        <f>117200</f>
        <v>117200.0</v>
      </c>
      <c r="L291" s="34" t="s">
        <v>48</v>
      </c>
      <c r="M291" s="33" t="n">
        <f>128400</f>
        <v>128400.0</v>
      </c>
      <c r="N291" s="34" t="s">
        <v>49</v>
      </c>
      <c r="O291" s="33" t="n">
        <f>116700</f>
        <v>116700.0</v>
      </c>
      <c r="P291" s="34" t="s">
        <v>48</v>
      </c>
      <c r="Q291" s="33" t="n">
        <f>123100</f>
        <v>123100.0</v>
      </c>
      <c r="R291" s="34" t="s">
        <v>50</v>
      </c>
      <c r="S291" s="35" t="n">
        <f>122016.67</f>
        <v>122016.67</v>
      </c>
      <c r="T291" s="32" t="n">
        <f>36751</f>
        <v>36751.0</v>
      </c>
      <c r="U291" s="32" t="n">
        <f>2924</f>
        <v>2924.0</v>
      </c>
      <c r="V291" s="32" t="n">
        <f>4519461972</f>
        <v>4.519461972E9</v>
      </c>
      <c r="W291" s="32" t="n">
        <f>357680672</f>
        <v>3.57680672E8</v>
      </c>
      <c r="X291" s="36" t="n">
        <f>18</f>
        <v>18.0</v>
      </c>
    </row>
    <row r="292">
      <c r="A292" s="27" t="s">
        <v>42</v>
      </c>
      <c r="B292" s="27" t="s">
        <v>925</v>
      </c>
      <c r="C292" s="27" t="s">
        <v>926</v>
      </c>
      <c r="D292" s="27" t="s">
        <v>927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253400</f>
        <v>253400.0</v>
      </c>
      <c r="L292" s="34" t="s">
        <v>48</v>
      </c>
      <c r="M292" s="33" t="n">
        <f>276000</f>
        <v>276000.0</v>
      </c>
      <c r="N292" s="34" t="s">
        <v>70</v>
      </c>
      <c r="O292" s="33" t="n">
        <f>249400</f>
        <v>249400.0</v>
      </c>
      <c r="P292" s="34" t="s">
        <v>115</v>
      </c>
      <c r="Q292" s="33" t="n">
        <f>270200</f>
        <v>270200.0</v>
      </c>
      <c r="R292" s="34" t="s">
        <v>50</v>
      </c>
      <c r="S292" s="35" t="n">
        <f>262688.89</f>
        <v>262688.89</v>
      </c>
      <c r="T292" s="32" t="n">
        <f>61805</f>
        <v>61805.0</v>
      </c>
      <c r="U292" s="32" t="n">
        <f>8729</f>
        <v>8729.0</v>
      </c>
      <c r="V292" s="32" t="n">
        <f>16277173128</f>
        <v>1.6277173128E10</v>
      </c>
      <c r="W292" s="32" t="n">
        <f>2298065528</f>
        <v>2.298065528E9</v>
      </c>
      <c r="X292" s="36" t="n">
        <f>18</f>
        <v>18.0</v>
      </c>
    </row>
    <row r="293">
      <c r="A293" s="27" t="s">
        <v>42</v>
      </c>
      <c r="B293" s="27" t="s">
        <v>928</v>
      </c>
      <c r="C293" s="27" t="s">
        <v>929</v>
      </c>
      <c r="D293" s="27" t="s">
        <v>930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134400</f>
        <v>134400.0</v>
      </c>
      <c r="L293" s="34" t="s">
        <v>48</v>
      </c>
      <c r="M293" s="33" t="n">
        <f>139600</f>
        <v>139600.0</v>
      </c>
      <c r="N293" s="34" t="s">
        <v>49</v>
      </c>
      <c r="O293" s="33" t="n">
        <f>131500</f>
        <v>131500.0</v>
      </c>
      <c r="P293" s="34" t="s">
        <v>182</v>
      </c>
      <c r="Q293" s="33" t="n">
        <f>133000</f>
        <v>133000.0</v>
      </c>
      <c r="R293" s="34" t="s">
        <v>50</v>
      </c>
      <c r="S293" s="35" t="n">
        <f>134750</f>
        <v>134750.0</v>
      </c>
      <c r="T293" s="32" t="n">
        <f>18008</f>
        <v>18008.0</v>
      </c>
      <c r="U293" s="32" t="n">
        <f>3964</f>
        <v>3964.0</v>
      </c>
      <c r="V293" s="32" t="n">
        <f>2423603109</f>
        <v>2.423603109E9</v>
      </c>
      <c r="W293" s="32" t="n">
        <f>532374709</f>
        <v>5.32374709E8</v>
      </c>
      <c r="X293" s="36" t="n">
        <f>18</f>
        <v>18.0</v>
      </c>
    </row>
    <row r="294">
      <c r="A294" s="27" t="s">
        <v>42</v>
      </c>
      <c r="B294" s="27" t="s">
        <v>931</v>
      </c>
      <c r="C294" s="27" t="s">
        <v>932</v>
      </c>
      <c r="D294" s="27" t="s">
        <v>933</v>
      </c>
      <c r="E294" s="28" t="s">
        <v>46</v>
      </c>
      <c r="F294" s="29" t="s">
        <v>46</v>
      </c>
      <c r="G294" s="30" t="s">
        <v>46</v>
      </c>
      <c r="H294" s="31"/>
      <c r="I294" s="31" t="s">
        <v>628</v>
      </c>
      <c r="J294" s="32" t="n">
        <v>1.0</v>
      </c>
      <c r="K294" s="33" t="n">
        <f>107900</f>
        <v>107900.0</v>
      </c>
      <c r="L294" s="34" t="s">
        <v>48</v>
      </c>
      <c r="M294" s="33" t="n">
        <f>115300</f>
        <v>115300.0</v>
      </c>
      <c r="N294" s="34" t="s">
        <v>49</v>
      </c>
      <c r="O294" s="33" t="n">
        <f>106700</f>
        <v>106700.0</v>
      </c>
      <c r="P294" s="34" t="s">
        <v>115</v>
      </c>
      <c r="Q294" s="33" t="n">
        <f>113200</f>
        <v>113200.0</v>
      </c>
      <c r="R294" s="34" t="s">
        <v>50</v>
      </c>
      <c r="S294" s="35" t="n">
        <f>111072.22</f>
        <v>111072.22</v>
      </c>
      <c r="T294" s="32" t="n">
        <f>28149</f>
        <v>28149.0</v>
      </c>
      <c r="U294" s="32" t="n">
        <f>4730</f>
        <v>4730.0</v>
      </c>
      <c r="V294" s="32" t="n">
        <f>3133977881</f>
        <v>3.133977881E9</v>
      </c>
      <c r="W294" s="32" t="n">
        <f>527521981</f>
        <v>5.27521981E8</v>
      </c>
      <c r="X294" s="36" t="n">
        <f>18</f>
        <v>18.0</v>
      </c>
    </row>
    <row r="295">
      <c r="A295" s="27" t="s">
        <v>42</v>
      </c>
      <c r="B295" s="27" t="s">
        <v>934</v>
      </c>
      <c r="C295" s="27" t="s">
        <v>935</v>
      </c>
      <c r="D295" s="27" t="s">
        <v>936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158600</f>
        <v>158600.0</v>
      </c>
      <c r="L295" s="34" t="s">
        <v>48</v>
      </c>
      <c r="M295" s="33" t="n">
        <f>176000</f>
        <v>176000.0</v>
      </c>
      <c r="N295" s="34" t="s">
        <v>49</v>
      </c>
      <c r="O295" s="33" t="n">
        <f>155100</f>
        <v>155100.0</v>
      </c>
      <c r="P295" s="34" t="s">
        <v>549</v>
      </c>
      <c r="Q295" s="33" t="n">
        <f>159500</f>
        <v>159500.0</v>
      </c>
      <c r="R295" s="34" t="s">
        <v>50</v>
      </c>
      <c r="S295" s="35" t="n">
        <f>164272.22</f>
        <v>164272.22</v>
      </c>
      <c r="T295" s="32" t="n">
        <f>334576</f>
        <v>334576.0</v>
      </c>
      <c r="U295" s="32" t="n">
        <f>77729</f>
        <v>77729.0</v>
      </c>
      <c r="V295" s="32" t="n">
        <f>54967197355</f>
        <v>5.4967197355E10</v>
      </c>
      <c r="W295" s="32" t="n">
        <f>12747511755</f>
        <v>1.2747511755E10</v>
      </c>
      <c r="X295" s="36" t="n">
        <f>18</f>
        <v>18.0</v>
      </c>
    </row>
    <row r="296">
      <c r="A296" s="27" t="s">
        <v>42</v>
      </c>
      <c r="B296" s="27" t="s">
        <v>937</v>
      </c>
      <c r="C296" s="27" t="s">
        <v>938</v>
      </c>
      <c r="D296" s="27" t="s">
        <v>939</v>
      </c>
      <c r="E296" s="28" t="s">
        <v>46</v>
      </c>
      <c r="F296" s="29" t="s">
        <v>46</v>
      </c>
      <c r="G296" s="30" t="s">
        <v>46</v>
      </c>
      <c r="H296" s="31"/>
      <c r="I296" s="31" t="s">
        <v>628</v>
      </c>
      <c r="J296" s="32" t="n">
        <v>1.0</v>
      </c>
      <c r="K296" s="33" t="n">
        <f>69000</f>
        <v>69000.0</v>
      </c>
      <c r="L296" s="34" t="s">
        <v>48</v>
      </c>
      <c r="M296" s="33" t="n">
        <f>94800</f>
        <v>94800.0</v>
      </c>
      <c r="N296" s="34" t="s">
        <v>175</v>
      </c>
      <c r="O296" s="33" t="n">
        <f>68200</f>
        <v>68200.0</v>
      </c>
      <c r="P296" s="34" t="s">
        <v>48</v>
      </c>
      <c r="Q296" s="33" t="n">
        <f>91000</f>
        <v>91000.0</v>
      </c>
      <c r="R296" s="34" t="s">
        <v>50</v>
      </c>
      <c r="S296" s="35" t="n">
        <f>80622.22</f>
        <v>80622.22</v>
      </c>
      <c r="T296" s="32" t="n">
        <f>51081</f>
        <v>51081.0</v>
      </c>
      <c r="U296" s="32" t="n">
        <f>2619</f>
        <v>2619.0</v>
      </c>
      <c r="V296" s="32" t="n">
        <f>4259126618</f>
        <v>4.259126618E9</v>
      </c>
      <c r="W296" s="32" t="n">
        <f>210531318</f>
        <v>2.10531318E8</v>
      </c>
      <c r="X296" s="36" t="n">
        <f>18</f>
        <v>18.0</v>
      </c>
    </row>
    <row r="297">
      <c r="A297" s="27" t="s">
        <v>42</v>
      </c>
      <c r="B297" s="27" t="s">
        <v>940</v>
      </c>
      <c r="C297" s="27" t="s">
        <v>941</v>
      </c>
      <c r="D297" s="27" t="s">
        <v>942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163700</f>
        <v>163700.0</v>
      </c>
      <c r="L297" s="34" t="s">
        <v>48</v>
      </c>
      <c r="M297" s="33" t="n">
        <f>170000</f>
        <v>170000.0</v>
      </c>
      <c r="N297" s="34" t="s">
        <v>49</v>
      </c>
      <c r="O297" s="33" t="n">
        <f>158800</f>
        <v>158800.0</v>
      </c>
      <c r="P297" s="34" t="s">
        <v>50</v>
      </c>
      <c r="Q297" s="33" t="n">
        <f>160700</f>
        <v>160700.0</v>
      </c>
      <c r="R297" s="34" t="s">
        <v>50</v>
      </c>
      <c r="S297" s="35" t="n">
        <f>164433.33</f>
        <v>164433.33</v>
      </c>
      <c r="T297" s="32" t="n">
        <f>148428</f>
        <v>148428.0</v>
      </c>
      <c r="U297" s="32" t="n">
        <f>42074</f>
        <v>42074.0</v>
      </c>
      <c r="V297" s="32" t="n">
        <f>24390566033</f>
        <v>2.4390566033E10</v>
      </c>
      <c r="W297" s="32" t="n">
        <f>6899289633</f>
        <v>6.899289633E9</v>
      </c>
      <c r="X297" s="36" t="n">
        <f>18</f>
        <v>18.0</v>
      </c>
    </row>
    <row r="298">
      <c r="A298" s="27" t="s">
        <v>42</v>
      </c>
      <c r="B298" s="27" t="s">
        <v>943</v>
      </c>
      <c r="C298" s="27" t="s">
        <v>944</v>
      </c>
      <c r="D298" s="27" t="s">
        <v>945</v>
      </c>
      <c r="E298" s="28" t="s">
        <v>46</v>
      </c>
      <c r="F298" s="29" t="s">
        <v>46</v>
      </c>
      <c r="G298" s="30" t="s">
        <v>46</v>
      </c>
      <c r="H298" s="31"/>
      <c r="I298" s="31" t="s">
        <v>628</v>
      </c>
      <c r="J298" s="32" t="n">
        <v>1.0</v>
      </c>
      <c r="K298" s="33" t="n">
        <f>47950</f>
        <v>47950.0</v>
      </c>
      <c r="L298" s="34" t="s">
        <v>48</v>
      </c>
      <c r="M298" s="33" t="n">
        <f>54500</f>
        <v>54500.0</v>
      </c>
      <c r="N298" s="34" t="s">
        <v>49</v>
      </c>
      <c r="O298" s="33" t="n">
        <f>47300</f>
        <v>47300.0</v>
      </c>
      <c r="P298" s="34" t="s">
        <v>115</v>
      </c>
      <c r="Q298" s="33" t="n">
        <f>53300</f>
        <v>53300.0</v>
      </c>
      <c r="R298" s="34" t="s">
        <v>50</v>
      </c>
      <c r="S298" s="35" t="n">
        <f>51127.78</f>
        <v>51127.78</v>
      </c>
      <c r="T298" s="32" t="n">
        <f>158835</f>
        <v>158835.0</v>
      </c>
      <c r="U298" s="32" t="n">
        <f>20871</f>
        <v>20871.0</v>
      </c>
      <c r="V298" s="32" t="n">
        <f>8106687863</f>
        <v>8.106687863E9</v>
      </c>
      <c r="W298" s="32" t="n">
        <f>1060052013</f>
        <v>1.060052013E9</v>
      </c>
      <c r="X298" s="36" t="n">
        <f>18</f>
        <v>18.0</v>
      </c>
    </row>
    <row r="299">
      <c r="A299" s="27" t="s">
        <v>42</v>
      </c>
      <c r="B299" s="27" t="s">
        <v>946</v>
      </c>
      <c r="C299" s="27" t="s">
        <v>947</v>
      </c>
      <c r="D299" s="27" t="s">
        <v>948</v>
      </c>
      <c r="E299" s="28" t="s">
        <v>46</v>
      </c>
      <c r="F299" s="29" t="s">
        <v>46</v>
      </c>
      <c r="G299" s="30" t="s">
        <v>46</v>
      </c>
      <c r="H299" s="31"/>
      <c r="I299" s="31" t="s">
        <v>628</v>
      </c>
      <c r="J299" s="32" t="n">
        <v>1.0</v>
      </c>
      <c r="K299" s="33" t="n">
        <f>113500</f>
        <v>113500.0</v>
      </c>
      <c r="L299" s="34" t="s">
        <v>48</v>
      </c>
      <c r="M299" s="33" t="n">
        <f>124400</f>
        <v>124400.0</v>
      </c>
      <c r="N299" s="34" t="s">
        <v>94</v>
      </c>
      <c r="O299" s="33" t="n">
        <f>112600</f>
        <v>112600.0</v>
      </c>
      <c r="P299" s="34" t="s">
        <v>98</v>
      </c>
      <c r="Q299" s="33" t="n">
        <f>121000</f>
        <v>121000.0</v>
      </c>
      <c r="R299" s="34" t="s">
        <v>50</v>
      </c>
      <c r="S299" s="35" t="n">
        <f>118583.33</f>
        <v>118583.33</v>
      </c>
      <c r="T299" s="32" t="n">
        <f>13052</f>
        <v>13052.0</v>
      </c>
      <c r="U299" s="32" t="n">
        <f>878</f>
        <v>878.0</v>
      </c>
      <c r="V299" s="32" t="n">
        <f>1553884798</f>
        <v>1.553884798E9</v>
      </c>
      <c r="W299" s="32" t="n">
        <f>103899498</f>
        <v>1.03899498E8</v>
      </c>
      <c r="X299" s="36" t="n">
        <f>18</f>
        <v>18.0</v>
      </c>
    </row>
    <row r="300">
      <c r="A300" s="27" t="s">
        <v>42</v>
      </c>
      <c r="B300" s="27" t="s">
        <v>949</v>
      </c>
      <c r="C300" s="27" t="s">
        <v>950</v>
      </c>
      <c r="D300" s="27" t="s">
        <v>951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522000</f>
        <v>522000.0</v>
      </c>
      <c r="L300" s="34" t="s">
        <v>48</v>
      </c>
      <c r="M300" s="33" t="n">
        <f>538000</f>
        <v>538000.0</v>
      </c>
      <c r="N300" s="34" t="s">
        <v>94</v>
      </c>
      <c r="O300" s="33" t="n">
        <f>504000</f>
        <v>504000.0</v>
      </c>
      <c r="P300" s="34" t="s">
        <v>119</v>
      </c>
      <c r="Q300" s="33" t="n">
        <f>519000</f>
        <v>519000.0</v>
      </c>
      <c r="R300" s="34" t="s">
        <v>50</v>
      </c>
      <c r="S300" s="35" t="n">
        <f>517500</f>
        <v>517500.0</v>
      </c>
      <c r="T300" s="32" t="n">
        <f>52760</f>
        <v>52760.0</v>
      </c>
      <c r="U300" s="32" t="n">
        <f>12740</f>
        <v>12740.0</v>
      </c>
      <c r="V300" s="32" t="n">
        <f>27281425794</f>
        <v>2.7281425794E10</v>
      </c>
      <c r="W300" s="32" t="n">
        <f>6579901794</f>
        <v>6.579901794E9</v>
      </c>
      <c r="X300" s="36" t="n">
        <f>18</f>
        <v>18.0</v>
      </c>
    </row>
    <row r="301">
      <c r="A301" s="27" t="s">
        <v>42</v>
      </c>
      <c r="B301" s="27" t="s">
        <v>952</v>
      </c>
      <c r="C301" s="27" t="s">
        <v>953</v>
      </c>
      <c r="D301" s="27" t="s">
        <v>954</v>
      </c>
      <c r="E301" s="28" t="s">
        <v>46</v>
      </c>
      <c r="F301" s="29" t="s">
        <v>46</v>
      </c>
      <c r="G301" s="30" t="s">
        <v>46</v>
      </c>
      <c r="H301" s="31"/>
      <c r="I301" s="31" t="s">
        <v>628</v>
      </c>
      <c r="J301" s="32" t="n">
        <v>1.0</v>
      </c>
      <c r="K301" s="33" t="n">
        <f>70700</f>
        <v>70700.0</v>
      </c>
      <c r="L301" s="34" t="s">
        <v>48</v>
      </c>
      <c r="M301" s="33" t="n">
        <f>81300</f>
        <v>81300.0</v>
      </c>
      <c r="N301" s="34" t="s">
        <v>94</v>
      </c>
      <c r="O301" s="33" t="n">
        <f>70500</f>
        <v>70500.0</v>
      </c>
      <c r="P301" s="34" t="s">
        <v>48</v>
      </c>
      <c r="Q301" s="33" t="n">
        <f>79100</f>
        <v>79100.0</v>
      </c>
      <c r="R301" s="34" t="s">
        <v>50</v>
      </c>
      <c r="S301" s="35" t="n">
        <f>75572.22</f>
        <v>75572.22</v>
      </c>
      <c r="T301" s="32" t="n">
        <f>31883</f>
        <v>31883.0</v>
      </c>
      <c r="U301" s="32" t="n">
        <f>2850</f>
        <v>2850.0</v>
      </c>
      <c r="V301" s="32" t="n">
        <f>2427523651</f>
        <v>2.427523651E9</v>
      </c>
      <c r="W301" s="32" t="n">
        <f>212045151</f>
        <v>2.12045151E8</v>
      </c>
      <c r="X301" s="36" t="n">
        <f>18</f>
        <v>18.0</v>
      </c>
    </row>
    <row r="302">
      <c r="A302" s="27" t="s">
        <v>42</v>
      </c>
      <c r="B302" s="27" t="s">
        <v>955</v>
      </c>
      <c r="C302" s="27" t="s">
        <v>956</v>
      </c>
      <c r="D302" s="27" t="s">
        <v>957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41000</f>
        <v>41000.0</v>
      </c>
      <c r="L302" s="34" t="s">
        <v>48</v>
      </c>
      <c r="M302" s="33" t="n">
        <f>46900</f>
        <v>46900.0</v>
      </c>
      <c r="N302" s="34" t="s">
        <v>70</v>
      </c>
      <c r="O302" s="33" t="n">
        <f>40350</f>
        <v>40350.0</v>
      </c>
      <c r="P302" s="34" t="s">
        <v>98</v>
      </c>
      <c r="Q302" s="33" t="n">
        <f>44700</f>
        <v>44700.0</v>
      </c>
      <c r="R302" s="34" t="s">
        <v>50</v>
      </c>
      <c r="S302" s="35" t="n">
        <f>43897.22</f>
        <v>43897.22</v>
      </c>
      <c r="T302" s="32" t="n">
        <f>199305</f>
        <v>199305.0</v>
      </c>
      <c r="U302" s="32" t="n">
        <f>18376</f>
        <v>18376.0</v>
      </c>
      <c r="V302" s="32" t="n">
        <f>8789427301</f>
        <v>8.789427301E9</v>
      </c>
      <c r="W302" s="32" t="n">
        <f>810237301</f>
        <v>8.10237301E8</v>
      </c>
      <c r="X302" s="36" t="n">
        <f>18</f>
        <v>18.0</v>
      </c>
    </row>
    <row r="303">
      <c r="A303" s="27" t="s">
        <v>42</v>
      </c>
      <c r="B303" s="27" t="s">
        <v>958</v>
      </c>
      <c r="C303" s="27" t="s">
        <v>959</v>
      </c>
      <c r="D303" s="27" t="s">
        <v>960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116900</f>
        <v>116900.0</v>
      </c>
      <c r="L303" s="34" t="s">
        <v>48</v>
      </c>
      <c r="M303" s="33" t="n">
        <f>137300</f>
        <v>137300.0</v>
      </c>
      <c r="N303" s="34" t="s">
        <v>175</v>
      </c>
      <c r="O303" s="33" t="n">
        <f>116400</f>
        <v>116400.0</v>
      </c>
      <c r="P303" s="34" t="s">
        <v>48</v>
      </c>
      <c r="Q303" s="33" t="n">
        <f>134600</f>
        <v>134600.0</v>
      </c>
      <c r="R303" s="34" t="s">
        <v>50</v>
      </c>
      <c r="S303" s="35" t="n">
        <f>127405.56</f>
        <v>127405.56</v>
      </c>
      <c r="T303" s="32" t="n">
        <f>30549</f>
        <v>30549.0</v>
      </c>
      <c r="U303" s="32" t="n">
        <f>5188</f>
        <v>5188.0</v>
      </c>
      <c r="V303" s="32" t="n">
        <f>3905234081</f>
        <v>3.905234081E9</v>
      </c>
      <c r="W303" s="32" t="n">
        <f>659705381</f>
        <v>6.59705381E8</v>
      </c>
      <c r="X303" s="36" t="n">
        <f>18</f>
        <v>18.0</v>
      </c>
    </row>
    <row r="304">
      <c r="A304" s="27" t="s">
        <v>42</v>
      </c>
      <c r="B304" s="27" t="s">
        <v>961</v>
      </c>
      <c r="C304" s="27" t="s">
        <v>962</v>
      </c>
      <c r="D304" s="27" t="s">
        <v>963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413500</f>
        <v>413500.0</v>
      </c>
      <c r="L304" s="34" t="s">
        <v>48</v>
      </c>
      <c r="M304" s="33" t="n">
        <f>433000</f>
        <v>433000.0</v>
      </c>
      <c r="N304" s="34" t="s">
        <v>94</v>
      </c>
      <c r="O304" s="33" t="n">
        <f>408500</f>
        <v>408500.0</v>
      </c>
      <c r="P304" s="34" t="s">
        <v>99</v>
      </c>
      <c r="Q304" s="33" t="n">
        <f>420000</f>
        <v>420000.0</v>
      </c>
      <c r="R304" s="34" t="s">
        <v>50</v>
      </c>
      <c r="S304" s="35" t="n">
        <f>418750</f>
        <v>418750.0</v>
      </c>
      <c r="T304" s="32" t="n">
        <f>32309</f>
        <v>32309.0</v>
      </c>
      <c r="U304" s="32" t="n">
        <f>4783</f>
        <v>4783.0</v>
      </c>
      <c r="V304" s="32" t="n">
        <f>13528851557</f>
        <v>1.3528851557E10</v>
      </c>
      <c r="W304" s="32" t="n">
        <f>1994659557</f>
        <v>1.994659557E9</v>
      </c>
      <c r="X304" s="36" t="n">
        <f>18</f>
        <v>18.0</v>
      </c>
    </row>
    <row r="305">
      <c r="A305" s="27" t="s">
        <v>42</v>
      </c>
      <c r="B305" s="27" t="s">
        <v>964</v>
      </c>
      <c r="C305" s="27" t="s">
        <v>965</v>
      </c>
      <c r="D305" s="27" t="s">
        <v>966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153800</f>
        <v>153800.0</v>
      </c>
      <c r="L305" s="34" t="s">
        <v>48</v>
      </c>
      <c r="M305" s="33" t="n">
        <f>160400</f>
        <v>160400.0</v>
      </c>
      <c r="N305" s="34" t="s">
        <v>70</v>
      </c>
      <c r="O305" s="33" t="n">
        <f>151000</f>
        <v>151000.0</v>
      </c>
      <c r="P305" s="34" t="s">
        <v>115</v>
      </c>
      <c r="Q305" s="33" t="n">
        <f>154200</f>
        <v>154200.0</v>
      </c>
      <c r="R305" s="34" t="s">
        <v>50</v>
      </c>
      <c r="S305" s="35" t="n">
        <f>154166.67</f>
        <v>154166.67</v>
      </c>
      <c r="T305" s="32" t="n">
        <f>59416</f>
        <v>59416.0</v>
      </c>
      <c r="U305" s="32" t="n">
        <f>7604</f>
        <v>7604.0</v>
      </c>
      <c r="V305" s="32" t="n">
        <f>9155831703</f>
        <v>9.155831703E9</v>
      </c>
      <c r="W305" s="32" t="n">
        <f>1172773503</f>
        <v>1.172773503E9</v>
      </c>
      <c r="X305" s="36" t="n">
        <f>18</f>
        <v>18.0</v>
      </c>
    </row>
    <row r="306">
      <c r="A306" s="27" t="s">
        <v>42</v>
      </c>
      <c r="B306" s="27" t="s">
        <v>967</v>
      </c>
      <c r="C306" s="27" t="s">
        <v>968</v>
      </c>
      <c r="D306" s="27" t="s">
        <v>969</v>
      </c>
      <c r="E306" s="28" t="s">
        <v>46</v>
      </c>
      <c r="F306" s="29" t="s">
        <v>46</v>
      </c>
      <c r="G306" s="30" t="s">
        <v>46</v>
      </c>
      <c r="H306" s="31"/>
      <c r="I306" s="31" t="s">
        <v>628</v>
      </c>
      <c r="J306" s="32" t="n">
        <v>1.0</v>
      </c>
      <c r="K306" s="33" t="n">
        <f>105000</f>
        <v>105000.0</v>
      </c>
      <c r="L306" s="34" t="s">
        <v>48</v>
      </c>
      <c r="M306" s="33" t="n">
        <f>114700</f>
        <v>114700.0</v>
      </c>
      <c r="N306" s="34" t="s">
        <v>70</v>
      </c>
      <c r="O306" s="33" t="n">
        <f>103100</f>
        <v>103100.0</v>
      </c>
      <c r="P306" s="34" t="s">
        <v>115</v>
      </c>
      <c r="Q306" s="33" t="n">
        <f>107500</f>
        <v>107500.0</v>
      </c>
      <c r="R306" s="34" t="s">
        <v>50</v>
      </c>
      <c r="S306" s="35" t="n">
        <f>108800</f>
        <v>108800.0</v>
      </c>
      <c r="T306" s="32" t="n">
        <f>33024</f>
        <v>33024.0</v>
      </c>
      <c r="U306" s="32" t="n">
        <f>2330</f>
        <v>2330.0</v>
      </c>
      <c r="V306" s="32" t="n">
        <f>3619088606</f>
        <v>3.619088606E9</v>
      </c>
      <c r="W306" s="32" t="n">
        <f>254731406</f>
        <v>2.54731406E8</v>
      </c>
      <c r="X306" s="36" t="n">
        <f>18</f>
        <v>18.0</v>
      </c>
    </row>
    <row r="307">
      <c r="A307" s="27" t="s">
        <v>42</v>
      </c>
      <c r="B307" s="27" t="s">
        <v>970</v>
      </c>
      <c r="C307" s="27" t="s">
        <v>971</v>
      </c>
      <c r="D307" s="27" t="s">
        <v>972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99800</f>
        <v>99800.0</v>
      </c>
      <c r="L307" s="34" t="s">
        <v>48</v>
      </c>
      <c r="M307" s="33" t="n">
        <f>115900</f>
        <v>115900.0</v>
      </c>
      <c r="N307" s="34" t="s">
        <v>303</v>
      </c>
      <c r="O307" s="33" t="n">
        <f>99700</f>
        <v>99700.0</v>
      </c>
      <c r="P307" s="34" t="s">
        <v>48</v>
      </c>
      <c r="Q307" s="33" t="n">
        <f>107000</f>
        <v>107000.0</v>
      </c>
      <c r="R307" s="34" t="s">
        <v>50</v>
      </c>
      <c r="S307" s="35" t="n">
        <f>108666.67</f>
        <v>108666.67</v>
      </c>
      <c r="T307" s="32" t="n">
        <f>94792</f>
        <v>94792.0</v>
      </c>
      <c r="U307" s="32" t="n">
        <f>8915</f>
        <v>8915.0</v>
      </c>
      <c r="V307" s="32" t="n">
        <f>10399890194</f>
        <v>1.0399890194E10</v>
      </c>
      <c r="W307" s="32" t="n">
        <f>969408594</f>
        <v>9.69408594E8</v>
      </c>
      <c r="X307" s="36" t="n">
        <f>18</f>
        <v>18.0</v>
      </c>
    </row>
    <row r="308">
      <c r="A308" s="27" t="s">
        <v>42</v>
      </c>
      <c r="B308" s="27" t="s">
        <v>973</v>
      </c>
      <c r="C308" s="27" t="s">
        <v>974</v>
      </c>
      <c r="D308" s="27" t="s">
        <v>975</v>
      </c>
      <c r="E308" s="28" t="s">
        <v>46</v>
      </c>
      <c r="F308" s="29" t="s">
        <v>46</v>
      </c>
      <c r="G308" s="30" t="s">
        <v>46</v>
      </c>
      <c r="H308" s="31"/>
      <c r="I308" s="31" t="s">
        <v>628</v>
      </c>
      <c r="J308" s="32" t="n">
        <v>1.0</v>
      </c>
      <c r="K308" s="33" t="n">
        <f>129800</f>
        <v>129800.0</v>
      </c>
      <c r="L308" s="34" t="s">
        <v>48</v>
      </c>
      <c r="M308" s="33" t="n">
        <f>135400</f>
        <v>135400.0</v>
      </c>
      <c r="N308" s="34" t="s">
        <v>49</v>
      </c>
      <c r="O308" s="33" t="n">
        <f>128500</f>
        <v>128500.0</v>
      </c>
      <c r="P308" s="34" t="s">
        <v>48</v>
      </c>
      <c r="Q308" s="33" t="n">
        <f>131200</f>
        <v>131200.0</v>
      </c>
      <c r="R308" s="34" t="s">
        <v>50</v>
      </c>
      <c r="S308" s="35" t="n">
        <f>131200</f>
        <v>131200.0</v>
      </c>
      <c r="T308" s="32" t="n">
        <f>56969</f>
        <v>56969.0</v>
      </c>
      <c r="U308" s="32" t="n">
        <f>11807</f>
        <v>11807.0</v>
      </c>
      <c r="V308" s="32" t="n">
        <f>7477138166</f>
        <v>7.477138166E9</v>
      </c>
      <c r="W308" s="32" t="n">
        <f>1547018066</f>
        <v>1.547018066E9</v>
      </c>
      <c r="X308" s="36" t="n">
        <f>18</f>
        <v>18.0</v>
      </c>
    </row>
    <row r="309">
      <c r="A309" s="27" t="s">
        <v>42</v>
      </c>
      <c r="B309" s="27" t="s">
        <v>976</v>
      </c>
      <c r="C309" s="27" t="s">
        <v>977</v>
      </c>
      <c r="D309" s="27" t="s">
        <v>978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631000</f>
        <v>631000.0</v>
      </c>
      <c r="L309" s="34" t="s">
        <v>48</v>
      </c>
      <c r="M309" s="33" t="n">
        <f>684000</f>
        <v>684000.0</v>
      </c>
      <c r="N309" s="34" t="s">
        <v>175</v>
      </c>
      <c r="O309" s="33" t="n">
        <f>613000</f>
        <v>613000.0</v>
      </c>
      <c r="P309" s="34" t="s">
        <v>182</v>
      </c>
      <c r="Q309" s="33" t="n">
        <f>651000</f>
        <v>651000.0</v>
      </c>
      <c r="R309" s="34" t="s">
        <v>50</v>
      </c>
      <c r="S309" s="35" t="n">
        <f>638500</f>
        <v>638500.0</v>
      </c>
      <c r="T309" s="32" t="n">
        <f>128995</f>
        <v>128995.0</v>
      </c>
      <c r="U309" s="32" t="n">
        <f>28252</f>
        <v>28252.0</v>
      </c>
      <c r="V309" s="32" t="n">
        <f>82715380499</f>
        <v>8.2715380499E10</v>
      </c>
      <c r="W309" s="32" t="n">
        <f>18050870499</f>
        <v>1.8050870499E10</v>
      </c>
      <c r="X309" s="36" t="n">
        <f>18</f>
        <v>18.0</v>
      </c>
    </row>
    <row r="310">
      <c r="A310" s="27" t="s">
        <v>42</v>
      </c>
      <c r="B310" s="27" t="s">
        <v>979</v>
      </c>
      <c r="C310" s="27" t="s">
        <v>980</v>
      </c>
      <c r="D310" s="27" t="s">
        <v>981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635000</f>
        <v>635000.0</v>
      </c>
      <c r="L310" s="34" t="s">
        <v>48</v>
      </c>
      <c r="M310" s="33" t="n">
        <f>685000</f>
        <v>685000.0</v>
      </c>
      <c r="N310" s="34" t="s">
        <v>94</v>
      </c>
      <c r="O310" s="33" t="n">
        <f>621000</f>
        <v>621000.0</v>
      </c>
      <c r="P310" s="34" t="s">
        <v>115</v>
      </c>
      <c r="Q310" s="33" t="n">
        <f>649000</f>
        <v>649000.0</v>
      </c>
      <c r="R310" s="34" t="s">
        <v>50</v>
      </c>
      <c r="S310" s="35" t="n">
        <f>646555.56</f>
        <v>646555.56</v>
      </c>
      <c r="T310" s="32" t="n">
        <f>104240</f>
        <v>104240.0</v>
      </c>
      <c r="U310" s="32" t="n">
        <f>22615</f>
        <v>22615.0</v>
      </c>
      <c r="V310" s="32" t="n">
        <f>67449853324</f>
        <v>6.7449853324E10</v>
      </c>
      <c r="W310" s="32" t="n">
        <f>14575211324</f>
        <v>1.4575211324E10</v>
      </c>
      <c r="X310" s="36" t="n">
        <f>18</f>
        <v>18.0</v>
      </c>
    </row>
    <row r="311">
      <c r="A311" s="27" t="s">
        <v>42</v>
      </c>
      <c r="B311" s="27" t="s">
        <v>982</v>
      </c>
      <c r="C311" s="27" t="s">
        <v>983</v>
      </c>
      <c r="D311" s="27" t="s">
        <v>984</v>
      </c>
      <c r="E311" s="28" t="s">
        <v>985</v>
      </c>
      <c r="F311" s="29" t="s">
        <v>986</v>
      </c>
      <c r="G311" s="30" t="s">
        <v>46</v>
      </c>
      <c r="H311" s="31"/>
      <c r="I311" s="31" t="s">
        <v>47</v>
      </c>
      <c r="J311" s="32" t="n">
        <v>1.0</v>
      </c>
      <c r="K311" s="33" t="n">
        <f>197600</f>
        <v>197600.0</v>
      </c>
      <c r="L311" s="34" t="s">
        <v>48</v>
      </c>
      <c r="M311" s="33" t="n">
        <f>225600</f>
        <v>225600.0</v>
      </c>
      <c r="N311" s="34" t="s">
        <v>49</v>
      </c>
      <c r="O311" s="33" t="n">
        <f>195300</f>
        <v>195300.0</v>
      </c>
      <c r="P311" s="34" t="s">
        <v>48</v>
      </c>
      <c r="Q311" s="33" t="n">
        <f>222900</f>
        <v>222900.0</v>
      </c>
      <c r="R311" s="34" t="s">
        <v>94</v>
      </c>
      <c r="S311" s="35" t="n">
        <f>213950</f>
        <v>213950.0</v>
      </c>
      <c r="T311" s="32" t="n">
        <f>428912</f>
        <v>428912.0</v>
      </c>
      <c r="U311" s="32" t="n">
        <f>106446</f>
        <v>106446.0</v>
      </c>
      <c r="V311" s="32" t="n">
        <f>92501391698</f>
        <v>9.2501391698E10</v>
      </c>
      <c r="W311" s="32" t="n">
        <f>23067778698</f>
        <v>2.3067778698E10</v>
      </c>
      <c r="X311" s="36" t="n">
        <f>16</f>
        <v>16.0</v>
      </c>
    </row>
    <row r="312">
      <c r="A312" s="27" t="s">
        <v>42</v>
      </c>
      <c r="B312" s="27" t="s">
        <v>982</v>
      </c>
      <c r="C312" s="27" t="s">
        <v>983</v>
      </c>
      <c r="D312" s="27" t="s">
        <v>984</v>
      </c>
      <c r="E312" s="28" t="s">
        <v>985</v>
      </c>
      <c r="F312" s="29" t="s">
        <v>986</v>
      </c>
      <c r="G312" s="30" t="s">
        <v>46</v>
      </c>
      <c r="H312" s="31"/>
      <c r="I312" s="31" t="s">
        <v>47</v>
      </c>
      <c r="J312" s="32" t="n">
        <v>1.0</v>
      </c>
      <c r="K312" s="33" t="n">
        <f>108700</f>
        <v>108700.0</v>
      </c>
      <c r="L312" s="34" t="s">
        <v>175</v>
      </c>
      <c r="M312" s="33" t="n">
        <f>109500</f>
        <v>109500.0</v>
      </c>
      <c r="N312" s="34" t="s">
        <v>175</v>
      </c>
      <c r="O312" s="33" t="n">
        <f>103400</f>
        <v>103400.0</v>
      </c>
      <c r="P312" s="34" t="s">
        <v>50</v>
      </c>
      <c r="Q312" s="33" t="n">
        <f>105300</f>
        <v>105300.0</v>
      </c>
      <c r="R312" s="34" t="s">
        <v>50</v>
      </c>
      <c r="S312" s="35" t="n">
        <f>107250</f>
        <v>107250.0</v>
      </c>
      <c r="T312" s="32" t="n">
        <f>150324</f>
        <v>150324.0</v>
      </c>
      <c r="U312" s="32" t="n">
        <f>31796</f>
        <v>31796.0</v>
      </c>
      <c r="V312" s="32" t="n">
        <f>16044015924</f>
        <v>1.6044015924E10</v>
      </c>
      <c r="W312" s="32" t="n">
        <f>3431066324</f>
        <v>3.431066324E9</v>
      </c>
      <c r="X312" s="36" t="n">
        <f>2</f>
        <v>2.0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175000</f>
        <v>175000.0</v>
      </c>
      <c r="L313" s="34" t="s">
        <v>48</v>
      </c>
      <c r="M313" s="33" t="n">
        <f>197800</f>
        <v>197800.0</v>
      </c>
      <c r="N313" s="34" t="s">
        <v>70</v>
      </c>
      <c r="O313" s="33" t="n">
        <f>173000</f>
        <v>173000.0</v>
      </c>
      <c r="P313" s="34" t="s">
        <v>115</v>
      </c>
      <c r="Q313" s="33" t="n">
        <f>181300</f>
        <v>181300.0</v>
      </c>
      <c r="R313" s="34" t="s">
        <v>50</v>
      </c>
      <c r="S313" s="35" t="n">
        <f>183444.44</f>
        <v>183444.44</v>
      </c>
      <c r="T313" s="32" t="n">
        <f>238634</f>
        <v>238634.0</v>
      </c>
      <c r="U313" s="32" t="n">
        <f>61435</f>
        <v>61435.0</v>
      </c>
      <c r="V313" s="32" t="n">
        <f>43884888853</f>
        <v>4.3884888853E10</v>
      </c>
      <c r="W313" s="32" t="n">
        <f>11261257853</f>
        <v>1.1261257853E10</v>
      </c>
      <c r="X313" s="36" t="n">
        <f>18</f>
        <v>18.0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368000</f>
        <v>368000.0</v>
      </c>
      <c r="L314" s="34" t="s">
        <v>48</v>
      </c>
      <c r="M314" s="33" t="n">
        <f>405500</f>
        <v>405500.0</v>
      </c>
      <c r="N314" s="34" t="s">
        <v>49</v>
      </c>
      <c r="O314" s="33" t="n">
        <f>360500</f>
        <v>360500.0</v>
      </c>
      <c r="P314" s="34" t="s">
        <v>115</v>
      </c>
      <c r="Q314" s="33" t="n">
        <f>385500</f>
        <v>385500.0</v>
      </c>
      <c r="R314" s="34" t="s">
        <v>50</v>
      </c>
      <c r="S314" s="35" t="n">
        <f>381805.56</f>
        <v>381805.56</v>
      </c>
      <c r="T314" s="32" t="n">
        <f>79057</f>
        <v>79057.0</v>
      </c>
      <c r="U314" s="32" t="n">
        <f>22950</f>
        <v>22950.0</v>
      </c>
      <c r="V314" s="32" t="n">
        <f>30119109312</f>
        <v>3.0119109312E10</v>
      </c>
      <c r="W314" s="32" t="n">
        <f>8680413312</f>
        <v>8.680413312E9</v>
      </c>
      <c r="X314" s="36" t="n">
        <f>18</f>
        <v>18.0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131900</f>
        <v>131900.0</v>
      </c>
      <c r="L315" s="34" t="s">
        <v>48</v>
      </c>
      <c r="M315" s="33" t="n">
        <f>147200</f>
        <v>147200.0</v>
      </c>
      <c r="N315" s="34" t="s">
        <v>175</v>
      </c>
      <c r="O315" s="33" t="n">
        <f>126800</f>
        <v>126800.0</v>
      </c>
      <c r="P315" s="34" t="s">
        <v>115</v>
      </c>
      <c r="Q315" s="33" t="n">
        <f>144600</f>
        <v>144600.0</v>
      </c>
      <c r="R315" s="34" t="s">
        <v>50</v>
      </c>
      <c r="S315" s="35" t="n">
        <f>136761.11</f>
        <v>136761.11</v>
      </c>
      <c r="T315" s="32" t="n">
        <f>106550</f>
        <v>106550.0</v>
      </c>
      <c r="U315" s="32" t="n">
        <f>20512</f>
        <v>20512.0</v>
      </c>
      <c r="V315" s="32" t="n">
        <f>14615073368</f>
        <v>1.4615073368E10</v>
      </c>
      <c r="W315" s="32" t="n">
        <f>2805455068</f>
        <v>2.805455068E9</v>
      </c>
      <c r="X315" s="36" t="n">
        <f>18</f>
        <v>18.0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166500</f>
        <v>166500.0</v>
      </c>
      <c r="L316" s="34" t="s">
        <v>48</v>
      </c>
      <c r="M316" s="33" t="n">
        <f>190500</f>
        <v>190500.0</v>
      </c>
      <c r="N316" s="34" t="s">
        <v>175</v>
      </c>
      <c r="O316" s="33" t="n">
        <f>163300</f>
        <v>163300.0</v>
      </c>
      <c r="P316" s="34" t="s">
        <v>98</v>
      </c>
      <c r="Q316" s="33" t="n">
        <f>181300</f>
        <v>181300.0</v>
      </c>
      <c r="R316" s="34" t="s">
        <v>50</v>
      </c>
      <c r="S316" s="35" t="n">
        <f>175850</f>
        <v>175850.0</v>
      </c>
      <c r="T316" s="32" t="n">
        <f>76706</f>
        <v>76706.0</v>
      </c>
      <c r="U316" s="32" t="n">
        <f>18159</f>
        <v>18159.0</v>
      </c>
      <c r="V316" s="32" t="n">
        <f>13527371326</f>
        <v>1.3527371326E10</v>
      </c>
      <c r="W316" s="32" t="n">
        <f>3194385626</f>
        <v>3.194385626E9</v>
      </c>
      <c r="X316" s="36" t="n">
        <f>18</f>
        <v>18.0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109500</f>
        <v>109500.0</v>
      </c>
      <c r="L317" s="34" t="s">
        <v>48</v>
      </c>
      <c r="M317" s="33" t="n">
        <f>120200</f>
        <v>120200.0</v>
      </c>
      <c r="N317" s="34" t="s">
        <v>70</v>
      </c>
      <c r="O317" s="33" t="n">
        <f>105700</f>
        <v>105700.0</v>
      </c>
      <c r="P317" s="34" t="s">
        <v>115</v>
      </c>
      <c r="Q317" s="33" t="n">
        <f>117100</f>
        <v>117100.0</v>
      </c>
      <c r="R317" s="34" t="s">
        <v>50</v>
      </c>
      <c r="S317" s="35" t="n">
        <f>112355.56</f>
        <v>112355.56</v>
      </c>
      <c r="T317" s="32" t="n">
        <f>102387</f>
        <v>102387.0</v>
      </c>
      <c r="U317" s="32" t="n">
        <f>28692</f>
        <v>28692.0</v>
      </c>
      <c r="V317" s="32" t="n">
        <f>11523033040</f>
        <v>1.152303304E10</v>
      </c>
      <c r="W317" s="32" t="n">
        <f>3211734840</f>
        <v>3.21173484E9</v>
      </c>
      <c r="X317" s="36" t="n">
        <f>18</f>
        <v>18.0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142000</f>
        <v>142000.0</v>
      </c>
      <c r="L318" s="34" t="s">
        <v>48</v>
      </c>
      <c r="M318" s="33" t="n">
        <f>152400</f>
        <v>152400.0</v>
      </c>
      <c r="N318" s="34" t="s">
        <v>70</v>
      </c>
      <c r="O318" s="33" t="n">
        <f>136100</f>
        <v>136100.0</v>
      </c>
      <c r="P318" s="34" t="s">
        <v>115</v>
      </c>
      <c r="Q318" s="33" t="n">
        <f>146200</f>
        <v>146200.0</v>
      </c>
      <c r="R318" s="34" t="s">
        <v>50</v>
      </c>
      <c r="S318" s="35" t="n">
        <f>144377.78</f>
        <v>144377.78</v>
      </c>
      <c r="T318" s="32" t="n">
        <f>245438</f>
        <v>245438.0</v>
      </c>
      <c r="U318" s="32" t="n">
        <f>59914</f>
        <v>59914.0</v>
      </c>
      <c r="V318" s="32" t="n">
        <f>35605535553</f>
        <v>3.5605535553E10</v>
      </c>
      <c r="W318" s="32" t="n">
        <f>8709928453</f>
        <v>8.709928453E9</v>
      </c>
      <c r="X318" s="36" t="n">
        <f>18</f>
        <v>18.0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139000</f>
        <v>139000.0</v>
      </c>
      <c r="L319" s="34" t="s">
        <v>48</v>
      </c>
      <c r="M319" s="33" t="n">
        <f>154500</f>
        <v>154500.0</v>
      </c>
      <c r="N319" s="34" t="s">
        <v>175</v>
      </c>
      <c r="O319" s="33" t="n">
        <f>135500</f>
        <v>135500.0</v>
      </c>
      <c r="P319" s="34" t="s">
        <v>98</v>
      </c>
      <c r="Q319" s="33" t="n">
        <f>151200</f>
        <v>151200.0</v>
      </c>
      <c r="R319" s="34" t="s">
        <v>50</v>
      </c>
      <c r="S319" s="35" t="n">
        <f>144077.78</f>
        <v>144077.78</v>
      </c>
      <c r="T319" s="32" t="n">
        <f>88020</f>
        <v>88020.0</v>
      </c>
      <c r="U319" s="32" t="n">
        <f>14549</f>
        <v>14549.0</v>
      </c>
      <c r="V319" s="32" t="n">
        <f>12780001357</f>
        <v>1.2780001357E10</v>
      </c>
      <c r="W319" s="32" t="n">
        <f>2102677357</f>
        <v>2.102677357E9</v>
      </c>
      <c r="X319" s="36" t="n">
        <f>18</f>
        <v>18.0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34650</f>
        <v>34650.0</v>
      </c>
      <c r="L320" s="34" t="s">
        <v>48</v>
      </c>
      <c r="M320" s="33" t="n">
        <f>44000</f>
        <v>44000.0</v>
      </c>
      <c r="N320" s="34" t="s">
        <v>94</v>
      </c>
      <c r="O320" s="33" t="n">
        <f>34300</f>
        <v>34300.0</v>
      </c>
      <c r="P320" s="34" t="s">
        <v>48</v>
      </c>
      <c r="Q320" s="33" t="n">
        <f>43200</f>
        <v>43200.0</v>
      </c>
      <c r="R320" s="34" t="s">
        <v>50</v>
      </c>
      <c r="S320" s="35" t="n">
        <f>39508.33</f>
        <v>39508.33</v>
      </c>
      <c r="T320" s="32" t="n">
        <f>1552007</f>
        <v>1552007.0</v>
      </c>
      <c r="U320" s="32" t="n">
        <f>329924</f>
        <v>329924.0</v>
      </c>
      <c r="V320" s="32" t="n">
        <f>61047612137</f>
        <v>6.1047612137E10</v>
      </c>
      <c r="W320" s="32" t="n">
        <f>13045573637</f>
        <v>1.3045573637E10</v>
      </c>
      <c r="X320" s="36" t="n">
        <f>18</f>
        <v>18.0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429000</f>
        <v>429000.0</v>
      </c>
      <c r="L321" s="34" t="s">
        <v>48</v>
      </c>
      <c r="M321" s="33" t="n">
        <f>489500</f>
        <v>489500.0</v>
      </c>
      <c r="N321" s="34" t="s">
        <v>49</v>
      </c>
      <c r="O321" s="33" t="n">
        <f>422500</f>
        <v>422500.0</v>
      </c>
      <c r="P321" s="34" t="s">
        <v>48</v>
      </c>
      <c r="Q321" s="33" t="n">
        <f>468000</f>
        <v>468000.0</v>
      </c>
      <c r="R321" s="34" t="s">
        <v>50</v>
      </c>
      <c r="S321" s="35" t="n">
        <f>461222.22</f>
        <v>461222.22</v>
      </c>
      <c r="T321" s="32" t="n">
        <f>56125</f>
        <v>56125.0</v>
      </c>
      <c r="U321" s="32" t="n">
        <f>13417</f>
        <v>13417.0</v>
      </c>
      <c r="V321" s="32" t="n">
        <f>25743613675</f>
        <v>2.5743613675E10</v>
      </c>
      <c r="W321" s="32" t="n">
        <f>6150816675</f>
        <v>6.150816675E9</v>
      </c>
      <c r="X321" s="36" t="n">
        <f>18</f>
        <v>18.0</v>
      </c>
    </row>
    <row r="322">
      <c r="A322" s="27" t="s">
        <v>42</v>
      </c>
      <c r="B322" s="27" t="s">
        <v>1014</v>
      </c>
      <c r="C322" s="27" t="s">
        <v>1015</v>
      </c>
      <c r="D322" s="27" t="s">
        <v>1016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136900</f>
        <v>136900.0</v>
      </c>
      <c r="L322" s="34" t="s">
        <v>48</v>
      </c>
      <c r="M322" s="33" t="n">
        <f>158900</f>
        <v>158900.0</v>
      </c>
      <c r="N322" s="34" t="s">
        <v>175</v>
      </c>
      <c r="O322" s="33" t="n">
        <f>133600</f>
        <v>133600.0</v>
      </c>
      <c r="P322" s="34" t="s">
        <v>115</v>
      </c>
      <c r="Q322" s="33" t="n">
        <f>155400</f>
        <v>155400.0</v>
      </c>
      <c r="R322" s="34" t="s">
        <v>50</v>
      </c>
      <c r="S322" s="35" t="n">
        <f>143677.78</f>
        <v>143677.78</v>
      </c>
      <c r="T322" s="32" t="n">
        <f>67888</f>
        <v>67888.0</v>
      </c>
      <c r="U322" s="32" t="n">
        <f>14340</f>
        <v>14340.0</v>
      </c>
      <c r="V322" s="32" t="n">
        <f>9855863664</f>
        <v>9.855863664E9</v>
      </c>
      <c r="W322" s="32" t="n">
        <f>2054497064</f>
        <v>2.054497064E9</v>
      </c>
      <c r="X322" s="36" t="n">
        <f>18</f>
        <v>18.0</v>
      </c>
    </row>
    <row r="323">
      <c r="A323" s="27" t="s">
        <v>42</v>
      </c>
      <c r="B323" s="27" t="s">
        <v>1017</v>
      </c>
      <c r="C323" s="27" t="s">
        <v>1018</v>
      </c>
      <c r="D323" s="27" t="s">
        <v>1019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312000</f>
        <v>312000.0</v>
      </c>
      <c r="L323" s="34" t="s">
        <v>48</v>
      </c>
      <c r="M323" s="33" t="n">
        <f>325500</f>
        <v>325500.0</v>
      </c>
      <c r="N323" s="34" t="s">
        <v>49</v>
      </c>
      <c r="O323" s="33" t="n">
        <f>303500</f>
        <v>303500.0</v>
      </c>
      <c r="P323" s="34" t="s">
        <v>115</v>
      </c>
      <c r="Q323" s="33" t="n">
        <f>312000</f>
        <v>312000.0</v>
      </c>
      <c r="R323" s="34" t="s">
        <v>50</v>
      </c>
      <c r="S323" s="35" t="n">
        <f>312638.89</f>
        <v>312638.89</v>
      </c>
      <c r="T323" s="32" t="n">
        <f>66988</f>
        <v>66988.0</v>
      </c>
      <c r="U323" s="32" t="n">
        <f>15378</f>
        <v>15378.0</v>
      </c>
      <c r="V323" s="32" t="n">
        <f>20942957349</f>
        <v>2.0942957349E10</v>
      </c>
      <c r="W323" s="32" t="n">
        <f>4808491849</f>
        <v>4.808491849E9</v>
      </c>
      <c r="X323" s="36" t="n">
        <f>18</f>
        <v>18.0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158900</f>
        <v>158900.0</v>
      </c>
      <c r="L324" s="34" t="s">
        <v>48</v>
      </c>
      <c r="M324" s="33" t="n">
        <f>182600</f>
        <v>182600.0</v>
      </c>
      <c r="N324" s="34" t="s">
        <v>70</v>
      </c>
      <c r="O324" s="33" t="n">
        <f>157000</f>
        <v>157000.0</v>
      </c>
      <c r="P324" s="34" t="s">
        <v>98</v>
      </c>
      <c r="Q324" s="33" t="n">
        <f>168500</f>
        <v>168500.0</v>
      </c>
      <c r="R324" s="34" t="s">
        <v>50</v>
      </c>
      <c r="S324" s="35" t="n">
        <f>169177.78</f>
        <v>169177.78</v>
      </c>
      <c r="T324" s="32" t="n">
        <f>55189</f>
        <v>55189.0</v>
      </c>
      <c r="U324" s="32" t="n">
        <f>10610</f>
        <v>10610.0</v>
      </c>
      <c r="V324" s="32" t="n">
        <f>9387467997</f>
        <v>9.387467997E9</v>
      </c>
      <c r="W324" s="32" t="n">
        <f>1795665797</f>
        <v>1.795665797E9</v>
      </c>
      <c r="X324" s="36" t="n">
        <f>18</f>
        <v>18.0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670000</f>
        <v>670000.0</v>
      </c>
      <c r="L325" s="34" t="s">
        <v>48</v>
      </c>
      <c r="M325" s="33" t="n">
        <f>730000</f>
        <v>730000.0</v>
      </c>
      <c r="N325" s="34" t="s">
        <v>70</v>
      </c>
      <c r="O325" s="33" t="n">
        <f>653000</f>
        <v>653000.0</v>
      </c>
      <c r="P325" s="34" t="s">
        <v>98</v>
      </c>
      <c r="Q325" s="33" t="n">
        <f>704000</f>
        <v>704000.0</v>
      </c>
      <c r="R325" s="34" t="s">
        <v>50</v>
      </c>
      <c r="S325" s="35" t="n">
        <f>687333.33</f>
        <v>687333.33</v>
      </c>
      <c r="T325" s="32" t="n">
        <f>41665</f>
        <v>41665.0</v>
      </c>
      <c r="U325" s="32" t="n">
        <f>11232</f>
        <v>11232.0</v>
      </c>
      <c r="V325" s="32" t="n">
        <f>28694232708</f>
        <v>2.8694232708E10</v>
      </c>
      <c r="W325" s="32" t="n">
        <f>7690629708</f>
        <v>7.690629708E9</v>
      </c>
      <c r="X325" s="36" t="n">
        <f>18</f>
        <v>18.0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79900</f>
        <v>79900.0</v>
      </c>
      <c r="L326" s="34" t="s">
        <v>48</v>
      </c>
      <c r="M326" s="33" t="n">
        <f>91700</f>
        <v>91700.0</v>
      </c>
      <c r="N326" s="34" t="s">
        <v>70</v>
      </c>
      <c r="O326" s="33" t="n">
        <f>79500</f>
        <v>79500.0</v>
      </c>
      <c r="P326" s="34" t="s">
        <v>115</v>
      </c>
      <c r="Q326" s="33" t="n">
        <f>87600</f>
        <v>87600.0</v>
      </c>
      <c r="R326" s="34" t="s">
        <v>50</v>
      </c>
      <c r="S326" s="35" t="n">
        <f>85816.67</f>
        <v>85816.67</v>
      </c>
      <c r="T326" s="32" t="n">
        <f>137279</f>
        <v>137279.0</v>
      </c>
      <c r="U326" s="32" t="n">
        <f>24884</f>
        <v>24884.0</v>
      </c>
      <c r="V326" s="32" t="n">
        <f>11755418064</f>
        <v>1.1755418064E10</v>
      </c>
      <c r="W326" s="32" t="n">
        <f>2141968864</f>
        <v>2.141968864E9</v>
      </c>
      <c r="X326" s="36" t="n">
        <f>18</f>
        <v>18.0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672000</f>
        <v>672000.0</v>
      </c>
      <c r="L327" s="34" t="s">
        <v>48</v>
      </c>
      <c r="M327" s="33" t="n">
        <f>760000</f>
        <v>760000.0</v>
      </c>
      <c r="N327" s="34" t="s">
        <v>94</v>
      </c>
      <c r="O327" s="33" t="n">
        <f>658000</f>
        <v>658000.0</v>
      </c>
      <c r="P327" s="34" t="s">
        <v>115</v>
      </c>
      <c r="Q327" s="33" t="n">
        <f>729000</f>
        <v>729000.0</v>
      </c>
      <c r="R327" s="34" t="s">
        <v>50</v>
      </c>
      <c r="S327" s="35" t="n">
        <f>690500</f>
        <v>690500.0</v>
      </c>
      <c r="T327" s="32" t="n">
        <f>37765</f>
        <v>37765.0</v>
      </c>
      <c r="U327" s="32" t="n">
        <f>9495</f>
        <v>9495.0</v>
      </c>
      <c r="V327" s="32" t="n">
        <f>26334318806</f>
        <v>2.6334318806E10</v>
      </c>
      <c r="W327" s="32" t="n">
        <f>6569980806</f>
        <v>6.569980806E9</v>
      </c>
      <c r="X327" s="36" t="n">
        <f>18</f>
        <v>18.0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128300</f>
        <v>128300.0</v>
      </c>
      <c r="L328" s="34" t="s">
        <v>48</v>
      </c>
      <c r="M328" s="33" t="n">
        <f>152300</f>
        <v>152300.0</v>
      </c>
      <c r="N328" s="34" t="s">
        <v>175</v>
      </c>
      <c r="O328" s="33" t="n">
        <f>127900</f>
        <v>127900.0</v>
      </c>
      <c r="P328" s="34" t="s">
        <v>48</v>
      </c>
      <c r="Q328" s="33" t="n">
        <f>148600</f>
        <v>148600.0</v>
      </c>
      <c r="R328" s="34" t="s">
        <v>50</v>
      </c>
      <c r="S328" s="35" t="n">
        <f>142272.22</f>
        <v>142272.22</v>
      </c>
      <c r="T328" s="32" t="n">
        <f>45151</f>
        <v>45151.0</v>
      </c>
      <c r="U328" s="32" t="n">
        <f>6732</f>
        <v>6732.0</v>
      </c>
      <c r="V328" s="32" t="n">
        <f>6431375711</f>
        <v>6.431375711E9</v>
      </c>
      <c r="W328" s="32" t="n">
        <f>959283711</f>
        <v>9.59283711E8</v>
      </c>
      <c r="X328" s="36" t="n">
        <f>18</f>
        <v>18.0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628</v>
      </c>
      <c r="J329" s="32" t="n">
        <v>1.0</v>
      </c>
      <c r="K329" s="33" t="n">
        <f>199800</f>
        <v>199800.0</v>
      </c>
      <c r="L329" s="34" t="s">
        <v>48</v>
      </c>
      <c r="M329" s="33" t="n">
        <f>218000</f>
        <v>218000.0</v>
      </c>
      <c r="N329" s="34" t="s">
        <v>49</v>
      </c>
      <c r="O329" s="33" t="n">
        <f>196000</f>
        <v>196000.0</v>
      </c>
      <c r="P329" s="34" t="s">
        <v>549</v>
      </c>
      <c r="Q329" s="33" t="n">
        <f>215600</f>
        <v>215600.0</v>
      </c>
      <c r="R329" s="34" t="s">
        <v>50</v>
      </c>
      <c r="S329" s="35" t="n">
        <f>208544.44</f>
        <v>208544.44</v>
      </c>
      <c r="T329" s="32" t="n">
        <f>17225</f>
        <v>17225.0</v>
      </c>
      <c r="U329" s="32" t="n">
        <f>2957</f>
        <v>2957.0</v>
      </c>
      <c r="V329" s="32" t="n">
        <f>3601544347</f>
        <v>3.601544347E9</v>
      </c>
      <c r="W329" s="32" t="n">
        <f>616262147</f>
        <v>6.16262147E8</v>
      </c>
      <c r="X329" s="36" t="n">
        <f>18</f>
        <v>18.0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281000</f>
        <v>281000.0</v>
      </c>
      <c r="L330" s="34" t="s">
        <v>48</v>
      </c>
      <c r="M330" s="33" t="n">
        <f>299300</f>
        <v>299300.0</v>
      </c>
      <c r="N330" s="34" t="s">
        <v>49</v>
      </c>
      <c r="O330" s="33" t="n">
        <f>271500</f>
        <v>271500.0</v>
      </c>
      <c r="P330" s="34" t="s">
        <v>549</v>
      </c>
      <c r="Q330" s="33" t="n">
        <f>279600</f>
        <v>279600.0</v>
      </c>
      <c r="R330" s="34" t="s">
        <v>50</v>
      </c>
      <c r="S330" s="35" t="n">
        <f>287061.11</f>
        <v>287061.11</v>
      </c>
      <c r="T330" s="32" t="n">
        <f>155123</f>
        <v>155123.0</v>
      </c>
      <c r="U330" s="32" t="n">
        <f>32635</f>
        <v>32635.0</v>
      </c>
      <c r="V330" s="32" t="n">
        <f>44494182063</f>
        <v>4.4494182063E10</v>
      </c>
      <c r="W330" s="32" t="n">
        <f>9359668263</f>
        <v>9.359668263E9</v>
      </c>
      <c r="X330" s="36" t="n">
        <f>18</f>
        <v>18.0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52500</f>
        <v>52500.0</v>
      </c>
      <c r="L331" s="34" t="s">
        <v>48</v>
      </c>
      <c r="M331" s="33" t="n">
        <f>67700</f>
        <v>67700.0</v>
      </c>
      <c r="N331" s="34" t="s">
        <v>175</v>
      </c>
      <c r="O331" s="33" t="n">
        <f>52300</f>
        <v>52300.0</v>
      </c>
      <c r="P331" s="34" t="s">
        <v>48</v>
      </c>
      <c r="Q331" s="33" t="n">
        <f>65700</f>
        <v>65700.0</v>
      </c>
      <c r="R331" s="34" t="s">
        <v>50</v>
      </c>
      <c r="S331" s="35" t="n">
        <f>59683.33</f>
        <v>59683.33</v>
      </c>
      <c r="T331" s="32" t="n">
        <f>841361</f>
        <v>841361.0</v>
      </c>
      <c r="U331" s="32" t="n">
        <f>208566</f>
        <v>208566.0</v>
      </c>
      <c r="V331" s="32" t="n">
        <f>50099723300</f>
        <v>5.00997233E10</v>
      </c>
      <c r="W331" s="32" t="n">
        <f>12353242100</f>
        <v>1.23532421E10</v>
      </c>
      <c r="X331" s="36" t="n">
        <f>18</f>
        <v>18.0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100200</f>
        <v>100200.0</v>
      </c>
      <c r="L332" s="34" t="s">
        <v>48</v>
      </c>
      <c r="M332" s="33" t="n">
        <f>105600</f>
        <v>105600.0</v>
      </c>
      <c r="N332" s="34" t="s">
        <v>50</v>
      </c>
      <c r="O332" s="33" t="n">
        <f>97600</f>
        <v>97600.0</v>
      </c>
      <c r="P332" s="34" t="s">
        <v>60</v>
      </c>
      <c r="Q332" s="33" t="n">
        <f>104000</f>
        <v>104000.0</v>
      </c>
      <c r="R332" s="34" t="s">
        <v>50</v>
      </c>
      <c r="S332" s="35" t="n">
        <f>100483.33</f>
        <v>100483.33</v>
      </c>
      <c r="T332" s="32" t="n">
        <f>184754</f>
        <v>184754.0</v>
      </c>
      <c r="U332" s="32" t="n">
        <f>47115</f>
        <v>47115.0</v>
      </c>
      <c r="V332" s="32" t="n">
        <f>18539267070</f>
        <v>1.853926707E10</v>
      </c>
      <c r="W332" s="32" t="n">
        <f>4719121270</f>
        <v>4.71912127E9</v>
      </c>
      <c r="X332" s="36" t="n">
        <f>18</f>
        <v>18.0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127500</f>
        <v>127500.0</v>
      </c>
      <c r="L333" s="34" t="s">
        <v>48</v>
      </c>
      <c r="M333" s="33" t="n">
        <f>146400</f>
        <v>146400.0</v>
      </c>
      <c r="N333" s="34" t="s">
        <v>49</v>
      </c>
      <c r="O333" s="33" t="n">
        <f>126200</f>
        <v>126200.0</v>
      </c>
      <c r="P333" s="34" t="s">
        <v>48</v>
      </c>
      <c r="Q333" s="33" t="n">
        <f>137200</f>
        <v>137200.0</v>
      </c>
      <c r="R333" s="34" t="s">
        <v>50</v>
      </c>
      <c r="S333" s="35" t="n">
        <f>136527.78</f>
        <v>136527.78</v>
      </c>
      <c r="T333" s="32" t="n">
        <f>125150</f>
        <v>125150.0</v>
      </c>
      <c r="U333" s="32" t="n">
        <f>29928</f>
        <v>29928.0</v>
      </c>
      <c r="V333" s="32" t="n">
        <f>17066858298</f>
        <v>1.7066858298E10</v>
      </c>
      <c r="W333" s="32" t="n">
        <f>4092485598</f>
        <v>4.092485598E9</v>
      </c>
      <c r="X333" s="36" t="n">
        <f>18</f>
        <v>18.0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117000</f>
        <v>117000.0</v>
      </c>
      <c r="L334" s="34" t="s">
        <v>48</v>
      </c>
      <c r="M334" s="33" t="n">
        <f>119500</f>
        <v>119500.0</v>
      </c>
      <c r="N334" s="34" t="s">
        <v>49</v>
      </c>
      <c r="O334" s="33" t="n">
        <f>116000</f>
        <v>116000.0</v>
      </c>
      <c r="P334" s="34" t="s">
        <v>115</v>
      </c>
      <c r="Q334" s="33" t="n">
        <f>118000</f>
        <v>118000.0</v>
      </c>
      <c r="R334" s="34" t="s">
        <v>50</v>
      </c>
      <c r="S334" s="35" t="n">
        <f>117766.67</f>
        <v>117766.67</v>
      </c>
      <c r="T334" s="32" t="n">
        <f>10351</f>
        <v>10351.0</v>
      </c>
      <c r="U334" s="32" t="n">
        <f>474</f>
        <v>474.0</v>
      </c>
      <c r="V334" s="32" t="n">
        <f>1219405720</f>
        <v>1.21940572E9</v>
      </c>
      <c r="W334" s="32" t="n">
        <f>55759220</f>
        <v>5.575922E7</v>
      </c>
      <c r="X334" s="36" t="n">
        <f>18</f>
        <v>18.0</v>
      </c>
    </row>
    <row r="335">
      <c r="A335" s="27" t="s">
        <v>42</v>
      </c>
      <c r="B335" s="27" t="s">
        <v>1053</v>
      </c>
      <c r="C335" s="27" t="s">
        <v>1054</v>
      </c>
      <c r="D335" s="27" t="s">
        <v>1055</v>
      </c>
      <c r="E335" s="28" t="s">
        <v>46</v>
      </c>
      <c r="F335" s="29" t="s">
        <v>46</v>
      </c>
      <c r="G335" s="30" t="s">
        <v>46</v>
      </c>
      <c r="H335" s="31"/>
      <c r="I335" s="31" t="s">
        <v>628</v>
      </c>
      <c r="J335" s="32" t="n">
        <v>1.0</v>
      </c>
      <c r="K335" s="33" t="n">
        <f>62800</f>
        <v>62800.0</v>
      </c>
      <c r="L335" s="34" t="s">
        <v>48</v>
      </c>
      <c r="M335" s="33" t="n">
        <f>66500</f>
        <v>66500.0</v>
      </c>
      <c r="N335" s="34" t="s">
        <v>175</v>
      </c>
      <c r="O335" s="33" t="n">
        <f>62800</f>
        <v>62800.0</v>
      </c>
      <c r="P335" s="34" t="s">
        <v>48</v>
      </c>
      <c r="Q335" s="33" t="n">
        <f>66100</f>
        <v>66100.0</v>
      </c>
      <c r="R335" s="34" t="s">
        <v>50</v>
      </c>
      <c r="S335" s="35" t="n">
        <f>64661.11</f>
        <v>64661.11</v>
      </c>
      <c r="T335" s="32" t="n">
        <f>2741</f>
        <v>2741.0</v>
      </c>
      <c r="U335" s="32" t="n">
        <f>9</f>
        <v>9.0</v>
      </c>
      <c r="V335" s="32" t="n">
        <f>176800300</f>
        <v>1.768003E8</v>
      </c>
      <c r="W335" s="32" t="n">
        <f>582200</f>
        <v>582200.0</v>
      </c>
      <c r="X335" s="36" t="n">
        <f>18</f>
        <v>18.0</v>
      </c>
    </row>
    <row r="336">
      <c r="A336" s="27" t="s">
        <v>42</v>
      </c>
      <c r="B336" s="27" t="s">
        <v>1056</v>
      </c>
      <c r="C336" s="27" t="s">
        <v>1057</v>
      </c>
      <c r="D336" s="27" t="s">
        <v>1058</v>
      </c>
      <c r="E336" s="28" t="s">
        <v>46</v>
      </c>
      <c r="F336" s="29" t="s">
        <v>46</v>
      </c>
      <c r="G336" s="30" t="s">
        <v>46</v>
      </c>
      <c r="H336" s="31"/>
      <c r="I336" s="31" t="s">
        <v>628</v>
      </c>
      <c r="J336" s="32" t="n">
        <v>1.0</v>
      </c>
      <c r="K336" s="33" t="n">
        <f>104000</f>
        <v>104000.0</v>
      </c>
      <c r="L336" s="34" t="s">
        <v>48</v>
      </c>
      <c r="M336" s="33" t="n">
        <f>105000</f>
        <v>105000.0</v>
      </c>
      <c r="N336" s="34" t="s">
        <v>93</v>
      </c>
      <c r="O336" s="33" t="n">
        <f>102800</f>
        <v>102800.0</v>
      </c>
      <c r="P336" s="34" t="s">
        <v>98</v>
      </c>
      <c r="Q336" s="33" t="n">
        <f>103800</f>
        <v>103800.0</v>
      </c>
      <c r="R336" s="34" t="s">
        <v>50</v>
      </c>
      <c r="S336" s="35" t="n">
        <f>103961.11</f>
        <v>103961.11</v>
      </c>
      <c r="T336" s="32" t="n">
        <f>17334</f>
        <v>17334.0</v>
      </c>
      <c r="U336" s="32" t="n">
        <f>728</f>
        <v>728.0</v>
      </c>
      <c r="V336" s="32" t="n">
        <f>1798599350</f>
        <v>1.79859935E9</v>
      </c>
      <c r="W336" s="32" t="n">
        <f>75468550</f>
        <v>7.546855E7</v>
      </c>
      <c r="X336" s="36" t="n">
        <f>18</f>
        <v>18.0</v>
      </c>
    </row>
    <row r="337">
      <c r="A337" s="27" t="s">
        <v>42</v>
      </c>
      <c r="B337" s="27" t="s">
        <v>1059</v>
      </c>
      <c r="C337" s="27" t="s">
        <v>1060</v>
      </c>
      <c r="D337" s="27" t="s">
        <v>1061</v>
      </c>
      <c r="E337" s="28" t="s">
        <v>46</v>
      </c>
      <c r="F337" s="29" t="s">
        <v>46</v>
      </c>
      <c r="G337" s="30" t="s">
        <v>46</v>
      </c>
      <c r="H337" s="31"/>
      <c r="I337" s="31" t="s">
        <v>628</v>
      </c>
      <c r="J337" s="32" t="n">
        <v>1.0</v>
      </c>
      <c r="K337" s="33" t="n">
        <f>129500</f>
        <v>129500.0</v>
      </c>
      <c r="L337" s="34" t="s">
        <v>48</v>
      </c>
      <c r="M337" s="33" t="n">
        <f>136100</f>
        <v>136100.0</v>
      </c>
      <c r="N337" s="34" t="s">
        <v>49</v>
      </c>
      <c r="O337" s="33" t="n">
        <f>129400</f>
        <v>129400.0</v>
      </c>
      <c r="P337" s="34" t="s">
        <v>48</v>
      </c>
      <c r="Q337" s="33" t="n">
        <f>132100</f>
        <v>132100.0</v>
      </c>
      <c r="R337" s="34" t="s">
        <v>50</v>
      </c>
      <c r="S337" s="35" t="n">
        <f>133150</f>
        <v>133150.0</v>
      </c>
      <c r="T337" s="32" t="n">
        <f>5549</f>
        <v>5549.0</v>
      </c>
      <c r="U337" s="32" t="n">
        <f>11</f>
        <v>11.0</v>
      </c>
      <c r="V337" s="32" t="n">
        <f>737214000</f>
        <v>7.37214E8</v>
      </c>
      <c r="W337" s="32" t="n">
        <f>1489600</f>
        <v>1489600.0</v>
      </c>
      <c r="X337" s="36" t="n">
        <f>18</f>
        <v>18.0</v>
      </c>
    </row>
    <row r="338">
      <c r="A338" s="27" t="s">
        <v>42</v>
      </c>
      <c r="B338" s="27" t="s">
        <v>1062</v>
      </c>
      <c r="C338" s="27" t="s">
        <v>1063</v>
      </c>
      <c r="D338" s="27" t="s">
        <v>1064</v>
      </c>
      <c r="E338" s="28" t="s">
        <v>46</v>
      </c>
      <c r="F338" s="29" t="s">
        <v>46</v>
      </c>
      <c r="G338" s="30" t="s">
        <v>46</v>
      </c>
      <c r="H338" s="31"/>
      <c r="I338" s="31" t="s">
        <v>628</v>
      </c>
      <c r="J338" s="32" t="n">
        <v>1.0</v>
      </c>
      <c r="K338" s="33" t="n">
        <f>93700</f>
        <v>93700.0</v>
      </c>
      <c r="L338" s="34" t="s">
        <v>48</v>
      </c>
      <c r="M338" s="33" t="n">
        <f>98000</f>
        <v>98000.0</v>
      </c>
      <c r="N338" s="34" t="s">
        <v>74</v>
      </c>
      <c r="O338" s="33" t="n">
        <f>93500</f>
        <v>93500.0</v>
      </c>
      <c r="P338" s="34" t="s">
        <v>48</v>
      </c>
      <c r="Q338" s="33" t="n">
        <f>97300</f>
        <v>97300.0</v>
      </c>
      <c r="R338" s="34" t="s">
        <v>50</v>
      </c>
      <c r="S338" s="35" t="n">
        <f>95633.33</f>
        <v>95633.33</v>
      </c>
      <c r="T338" s="32" t="n">
        <f>7439</f>
        <v>7439.0</v>
      </c>
      <c r="U338" s="32" t="n">
        <f>3</f>
        <v>3.0</v>
      </c>
      <c r="V338" s="32" t="n">
        <f>714637500</f>
        <v>7.146375E8</v>
      </c>
      <c r="W338" s="32" t="n">
        <f>289700</f>
        <v>289700.0</v>
      </c>
      <c r="X338" s="36" t="n">
        <f>18</f>
        <v>18.0</v>
      </c>
    </row>
    <row r="339">
      <c r="A339" s="27" t="s">
        <v>42</v>
      </c>
      <c r="B339" s="27" t="s">
        <v>1065</v>
      </c>
      <c r="C339" s="27" t="s">
        <v>1066</v>
      </c>
      <c r="D339" s="27" t="s">
        <v>1067</v>
      </c>
      <c r="E339" s="28" t="s">
        <v>46</v>
      </c>
      <c r="F339" s="29" t="s">
        <v>46</v>
      </c>
      <c r="G339" s="30" t="s">
        <v>46</v>
      </c>
      <c r="H339" s="31"/>
      <c r="I339" s="31" t="s">
        <v>628</v>
      </c>
      <c r="J339" s="32" t="n">
        <v>1.0</v>
      </c>
      <c r="K339" s="33" t="n">
        <f>88400</f>
        <v>88400.0</v>
      </c>
      <c r="L339" s="34" t="s">
        <v>48</v>
      </c>
      <c r="M339" s="33" t="n">
        <f>90300</f>
        <v>90300.0</v>
      </c>
      <c r="N339" s="34" t="s">
        <v>94</v>
      </c>
      <c r="O339" s="33" t="n">
        <f>88300</f>
        <v>88300.0</v>
      </c>
      <c r="P339" s="34" t="s">
        <v>48</v>
      </c>
      <c r="Q339" s="33" t="n">
        <f>89400</f>
        <v>89400.0</v>
      </c>
      <c r="R339" s="34" t="s">
        <v>50</v>
      </c>
      <c r="S339" s="35" t="n">
        <f>89161.11</f>
        <v>89161.11</v>
      </c>
      <c r="T339" s="32" t="n">
        <f>45698</f>
        <v>45698.0</v>
      </c>
      <c r="U339" s="32" t="n">
        <f>675</f>
        <v>675.0</v>
      </c>
      <c r="V339" s="32" t="n">
        <f>4082193607</f>
        <v>4.082193607E9</v>
      </c>
      <c r="W339" s="32" t="n">
        <f>60290407</f>
        <v>6.0290407E7</v>
      </c>
      <c r="X339" s="36" t="n">
        <f>18</f>
        <v>18.0</v>
      </c>
    </row>
    <row r="340">
      <c r="A340" s="27" t="s">
        <v>42</v>
      </c>
      <c r="B340" s="27" t="s">
        <v>1068</v>
      </c>
      <c r="C340" s="27" t="s">
        <v>1069</v>
      </c>
      <c r="D340" s="27" t="s">
        <v>1070</v>
      </c>
      <c r="E340" s="28" t="s">
        <v>46</v>
      </c>
      <c r="F340" s="29" t="s">
        <v>46</v>
      </c>
      <c r="G340" s="30" t="s">
        <v>46</v>
      </c>
      <c r="H340" s="31"/>
      <c r="I340" s="31" t="s">
        <v>628</v>
      </c>
      <c r="J340" s="32" t="n">
        <v>1.0</v>
      </c>
      <c r="K340" s="33" t="n">
        <f>93000</f>
        <v>93000.0</v>
      </c>
      <c r="L340" s="34" t="s">
        <v>48</v>
      </c>
      <c r="M340" s="33" t="n">
        <f>96800</f>
        <v>96800.0</v>
      </c>
      <c r="N340" s="34" t="s">
        <v>303</v>
      </c>
      <c r="O340" s="33" t="n">
        <f>92700</f>
        <v>92700.0</v>
      </c>
      <c r="P340" s="34" t="s">
        <v>48</v>
      </c>
      <c r="Q340" s="33" t="n">
        <f>95100</f>
        <v>95100.0</v>
      </c>
      <c r="R340" s="34" t="s">
        <v>50</v>
      </c>
      <c r="S340" s="35" t="n">
        <f>94922.22</f>
        <v>94922.22</v>
      </c>
      <c r="T340" s="32" t="n">
        <f>12743</f>
        <v>12743.0</v>
      </c>
      <c r="U340" s="32" t="n">
        <f>219</f>
        <v>219.0</v>
      </c>
      <c r="V340" s="32" t="n">
        <f>1213866208</f>
        <v>1.213866208E9</v>
      </c>
      <c r="W340" s="32" t="n">
        <f>20915408</f>
        <v>2.0915408E7</v>
      </c>
      <c r="X340" s="36" t="n">
        <f>18</f>
        <v>18.0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