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<sst xmlns="http://schemas.openxmlformats.org/spreadsheetml/2006/main" count="4114" uniqueCount="1087">
  <si>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</si>
  <si>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</si>
  <si>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</si>
  <si>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</si>
  <si>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</si>
  <si>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</si>
  <si>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</si>
  <si>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</si>
  <si>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</si>
  <si>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</si>
  <si>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</si>
  <si>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</si>
  <si>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</si>
  <si>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</si>
  <si>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</si>
  <si>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</si>
  <si>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</si>
  <si>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</si>
  <si>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</si>
  <si>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</si>
  <si>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</si>
  <si>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</si>
  <si>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</si>
  <si>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</si>
  <si>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</si>
  <si>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</si>
  <si>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</si>
  <si>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</si>
  <si>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</si>
  <si>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</si>
  <si>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</si>
  <si>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</si>
  <si>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</si>
  <si>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</si>
  <si>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</si>
  <si>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</si>
  <si>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</si>
  <si>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</si>
  <si>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</si>
  <si>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</si>
  <si>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</si>
  <si>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</si>
  <si>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2021/03</t>
  </si>
  <si>
    <t>1305</t>
  </si>
  <si>
    <t>ダイワ上場投信－トピックス　受益証券</t>
  </si>
  <si>
    <t>Daiwa ETF-TOPIX</t>
  </si>
  <si>
    <t/>
  </si>
  <si>
    <t>貸借</t>
  </si>
  <si>
    <t>1</t>
  </si>
  <si>
    <t>19</t>
  </si>
  <si>
    <t>5</t>
  </si>
  <si>
    <t>31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</si>
  <si>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</si>
  <si>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</si>
  <si>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</si>
  <si>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</si>
  <si>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</si>
  <si>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</si>
  <si>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</si>
  <si>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</si>
  <si>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</si>
  <si>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3</t>
  </si>
  <si>
    <t>25</t>
  </si>
  <si>
    <t>1311</t>
  </si>
  <si>
    <t>ＮＥＸＴ　ＦＵＮＤＳ　ＴＯＰＩＸ　Ｃｏｒｅ　３０連動型上場投信　受益証券</t>
  </si>
  <si>
    <t>NEXT FUNDS TOPIX Core 30 Exchange Traded Fund</t>
  </si>
  <si>
    <t>22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</si>
  <si>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</si>
  <si>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</si>
  <si>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</si>
  <si>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>30</t>
  </si>
  <si>
    <t>1313</t>
  </si>
  <si>
    <t>サムスンＫＯＤＥＸ２００証券上場指数投資信託[株式]　受益証券</t>
  </si>
  <si>
    <t>SAMSUNG KODEX200 SECURITIES EXCHANGE TRADED FUND [STOCK]</t>
  </si>
  <si>
    <t>10</t>
  </si>
  <si>
    <t>9</t>
  </si>
  <si>
    <t>1319</t>
  </si>
  <si>
    <t>ＮＥＸＴ　ＦＵＮＤＳ　日経３００株価指数連動型上場投信　受益証券</t>
  </si>
  <si>
    <t>NEXT FUNDS Nikkei 300 Index Exchange Traded Fund</t>
  </si>
  <si>
    <t>1320</t>
  </si>
  <si>
    <t>ダイワ上場投信－日経２２５　受益証券</t>
  </si>
  <si>
    <t>Daiwa ETF-Nikkei 225</t>
  </si>
  <si>
    <t>18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</si>
  <si>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</si>
  <si>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</si>
  <si>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</si>
  <si>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</si>
  <si>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</si>
  <si>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</si>
  <si>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8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</si>
  <si>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</si>
  <si>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</si>
  <si>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</si>
  <si>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23</t>
  </si>
  <si>
    <t>1324</t>
  </si>
  <si>
    <t>ＮＥＸＴ　ＦＵＮＤＳ　ロシア株式指数・ＲＴＳ連動型上場投信　受益証券</t>
  </si>
  <si>
    <t>NEXT FUNDS Russia RTS Linked Exchange Traded Fund</t>
  </si>
  <si>
    <t>16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</si>
  <si>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</si>
  <si>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</si>
  <si>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</si>
  <si>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</si>
  <si>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</si>
  <si>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</si>
  <si>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1327</t>
  </si>
  <si>
    <t>イージーＥＴＦ　Ｓ＆Ｐ　ＧＳＣＩ　商品指数　キャップド・コモディティ　３５／２０　クラスＡ米ドル建受益証券</t>
  </si>
  <si>
    <t>S&amp;P GSCI Energy &amp; Metals Capped Component 35/20 THEAM Easy UCITS ETF Class A USD Unit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</si>
  <si>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</si>
  <si>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</si>
  <si>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</si>
  <si>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</si>
  <si>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</si>
  <si>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</si>
  <si>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</si>
  <si>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</si>
  <si>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</si>
  <si>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</si>
  <si>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</si>
  <si>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</si>
  <si>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1344</t>
  </si>
  <si>
    <t>ＭＡＸＩＳ　トピックス・コア３０上場投信　受益証券</t>
  </si>
  <si>
    <t>MAXIS TOPIX Core30 ETF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</si>
  <si>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</si>
  <si>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</si>
  <si>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</si>
  <si>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</si>
  <si>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</si>
  <si>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</si>
  <si>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</si>
  <si>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</si>
  <si>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</si>
  <si>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</si>
  <si>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</si>
  <si>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</si>
  <si>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</si>
  <si>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</si>
  <si>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</si>
  <si>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</si>
  <si>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</si>
  <si>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</si>
  <si>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</si>
  <si>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</si>
  <si>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</si>
  <si>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</si>
  <si>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</si>
  <si>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</si>
  <si>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</si>
  <si>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</si>
  <si>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</si>
  <si>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29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</si>
  <si>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</si>
  <si>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</si>
  <si>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</si>
  <si>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</si>
  <si>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</si>
  <si>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</si>
  <si>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</si>
  <si>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</si>
  <si>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</si>
  <si>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</si>
  <si>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</si>
  <si>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</si>
  <si>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</si>
  <si>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</si>
  <si>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</si>
  <si>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</si>
  <si>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</si>
  <si>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</si>
  <si>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</si>
  <si>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</si>
  <si>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</si>
  <si>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15</t>
  </si>
  <si>
    <t>1387</t>
  </si>
  <si>
    <t>ＵＢＳ　ＥＴＦ　ユーロ圏株（ＭＳＣＩ　ＥＭＵ）　受益証券</t>
  </si>
  <si>
    <t>UBS ETF MSCI EMU UCITS ETF-JDR</t>
  </si>
  <si>
    <t>26</t>
  </si>
  <si>
    <t>1388</t>
  </si>
  <si>
    <t>ＵＢＳ　ＥＴＦ　ユーロ圏小型株（ＭＳＣＩ　ＥＭＵ小型株）　受益証券</t>
  </si>
  <si>
    <t>UBS ETF MSCI EMU Small Cap UCITS ETF-JDR</t>
  </si>
  <si>
    <t>2</t>
  </si>
  <si>
    <t>1389</t>
  </si>
  <si>
    <t>ＵＢＳ　ＥＴＦ　英国大型株１００（ＦＴＳＥ　１００）　受益証券</t>
  </si>
  <si>
    <t>UBS ETF FTSE 100 UCITS ETF-JDR</t>
  </si>
  <si>
    <t>4</t>
  </si>
  <si>
    <t>1390</t>
  </si>
  <si>
    <t>ＵＢＳ　ＥＴＦ　ＭＳＣＩアジア太平洋株（除く日本）　受益証券</t>
  </si>
  <si>
    <t>UBS ETF MSCI Pacific (ex Japan) UCITS ETF-JDR</t>
  </si>
  <si>
    <t>12</t>
  </si>
  <si>
    <t>1391</t>
  </si>
  <si>
    <t>ＵＢＳ　ＥＴＦ　スイス株（ＭＳＣＩスイス２０／３５）　受益証券</t>
  </si>
  <si>
    <t>UBS ETF MSCI Switzerland 20/35 UCITS ETF-JDR</t>
  </si>
  <si>
    <t>24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</si>
  <si>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</si>
  <si>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</si>
  <si>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</si>
  <si>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</si>
  <si>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</si>
  <si>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</si>
  <si>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</si>
  <si>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</si>
  <si>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</si>
  <si>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</si>
  <si>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</si>
  <si>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</si>
  <si>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</si>
  <si>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</si>
  <si>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</si>
  <si>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</si>
  <si>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</si>
  <si>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</si>
  <si>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</si>
  <si>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</si>
  <si>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</si>
  <si>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</si>
  <si>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</si>
  <si>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</si>
  <si>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</si>
  <si>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</si>
  <si>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</si>
  <si>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</si>
  <si>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</si>
  <si>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</si>
  <si>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1460</t>
  </si>
  <si>
    <t>ＭＡＸＩＳ　ＪＡＰＡＮ　クオリティ１５０上場投信　受益証券</t>
  </si>
  <si>
    <t>MAXIS JAPAN Quality 150 Index ETF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</si>
  <si>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</si>
  <si>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</si>
  <si>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</si>
  <si>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</si>
  <si>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</si>
  <si>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</si>
  <si>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</si>
  <si>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</si>
  <si>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</si>
  <si>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</si>
  <si>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</si>
  <si>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</si>
  <si>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</si>
  <si>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</si>
  <si>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</si>
  <si>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</si>
  <si>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</si>
  <si>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</si>
  <si>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1470</t>
  </si>
  <si>
    <t>ＮＥＸＴ　ＦＵＮＤＳ　ＪＰＸ日経４００レバレッジ・インデックス連動型上場投信　受益証券</t>
  </si>
  <si>
    <t>NEXT FUNDS JPX-Nikkei 400 Leveraged Index Exchange Traded Fund</t>
  </si>
  <si>
    <t>1471</t>
  </si>
  <si>
    <t>ＮＥＸＴ　ＦＵＮＤＳ　ＪＰＸ日経４００インバース・インデックス連動型上場投信　受益証券</t>
  </si>
  <si>
    <t>NEXT FUNDS JPX-Nikkei 400 Inverse Index Exchange Traded Fund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</si>
  <si>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</si>
  <si>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</si>
  <si>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</si>
  <si>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</si>
  <si>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</si>
  <si>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</si>
  <si>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</si>
  <si>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</si>
  <si>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</si>
  <si>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</si>
  <si>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</si>
  <si>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</si>
  <si>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</si>
  <si>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</si>
  <si>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</si>
  <si>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</si>
  <si>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</si>
  <si>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</si>
  <si>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</si>
  <si>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</si>
  <si>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</si>
  <si>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</si>
  <si>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</si>
  <si>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</si>
  <si>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</si>
  <si>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</si>
  <si>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</si>
  <si>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</si>
  <si>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</si>
  <si>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</si>
  <si>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</si>
  <si>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</si>
  <si>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</si>
  <si>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</si>
  <si>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</si>
  <si>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</si>
  <si>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</si>
  <si>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</si>
  <si>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</si>
  <si>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</si>
  <si>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</si>
  <si>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</si>
  <si>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</si>
  <si>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</si>
  <si>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</si>
  <si>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</si>
  <si>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</si>
  <si>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</si>
  <si>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</si>
  <si>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</si>
  <si>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</si>
  <si>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</si>
  <si>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</si>
  <si>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</si>
  <si>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</si>
  <si>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</si>
  <si>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</si>
  <si>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</si>
  <si>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</si>
  <si>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</si>
  <si>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</si>
  <si>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</si>
  <si>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</si>
  <si>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</si>
  <si>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</si>
  <si>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</si>
  <si>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</si>
  <si>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</si>
  <si>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</si>
  <si>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</si>
  <si>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</si>
  <si>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</si>
  <si>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</si>
  <si>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</si>
  <si>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</si>
  <si>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</si>
  <si>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</si>
  <si>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</si>
  <si>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</si>
  <si>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</si>
  <si>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</si>
  <si>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</si>
  <si>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</si>
  <si>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</si>
  <si>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</si>
  <si>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</si>
  <si>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</si>
  <si>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</si>
  <si>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</si>
  <si>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</si>
  <si>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</si>
  <si>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</si>
  <si>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</si>
  <si>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</si>
  <si>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ＮＡＳＤＡＱ－１００連動型上場投信　受益証券</t>
  </si>
  <si>
    <t>NEXT FUNDS NASDAQ-100 Exchange Traded Fund</t>
  </si>
  <si>
    <t>1546</t>
  </si>
  <si>
    <t>ＮＥＸＴ　ＦＵＮＤＳ　ダウ・ジョーンズ工業株３０種平均株価連動型上場投信　受益証券</t>
  </si>
  <si>
    <t>NEXT FUNDS Dow Jones Industrial Average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</si>
  <si>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</si>
  <si>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</si>
  <si>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</si>
  <si>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</si>
  <si>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</si>
  <si>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</si>
  <si>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</si>
  <si>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</si>
  <si>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</si>
  <si>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</si>
  <si>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</si>
  <si>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</si>
  <si>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</si>
  <si>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</si>
  <si>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</si>
  <si>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</si>
  <si>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</si>
  <si>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</si>
  <si>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11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</si>
  <si>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</si>
  <si>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</si>
  <si>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</si>
  <si>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</si>
  <si>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</si>
  <si>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</si>
  <si>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</si>
  <si>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</si>
  <si>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</si>
  <si>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</si>
  <si>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</si>
  <si>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</si>
  <si>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</si>
  <si>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　受益証券</t>
  </si>
  <si>
    <t>Listed Index Fund Emerging Bond</t>
  </si>
  <si>
    <t>1567</t>
  </si>
  <si>
    <t>ＭＡＸＩＳトピックスリスクコントロール（５％）上場投信　受益証券</t>
  </si>
  <si>
    <t>MAXIS TOPIX Risk Control (5%) ETF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</si>
  <si>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</si>
  <si>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</si>
  <si>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</si>
  <si>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</si>
  <si>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</si>
  <si>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</si>
  <si>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</si>
  <si>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</si>
  <si>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</si>
  <si>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</si>
  <si>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</si>
  <si>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</si>
  <si>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</si>
  <si>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</si>
  <si>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</si>
  <si>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</si>
  <si>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</si>
  <si>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</si>
  <si>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1574</t>
  </si>
  <si>
    <t>ＭＡＸＩＳトピックスリスクコントロール（１０％）上場投信　受益証券</t>
  </si>
  <si>
    <t>MAXIS TOPIX Risk Control (10%) ETF</t>
  </si>
  <si>
    <t>17</t>
  </si>
  <si>
    <t>1575</t>
  </si>
  <si>
    <t>ＣｈｉｎａＡＭＣ　ＣＳＩ　３００　Ｉｎｄｅｘ　ＥＴＦ－ＪＤＲ　受益証券</t>
  </si>
  <si>
    <t>ChinaAMC CSI 300 Index ETF-JDR</t>
  </si>
  <si>
    <t>1576</t>
  </si>
  <si>
    <t>南方　ＦＴＳＥ　中国Ａ株５０　ＥＴＦ　受益証券</t>
  </si>
  <si>
    <t>CSOP FTSE CHINA A50 ETF</t>
  </si>
  <si>
    <t>確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</si>
  <si>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</si>
  <si>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</si>
  <si>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</si>
  <si>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</si>
  <si>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</si>
  <si>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</si>
  <si>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</si>
  <si>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</si>
  <si>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</si>
  <si>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 xml:space="preserve">新株落ち  </t>
  </si>
  <si>
    <t xml:space="preserve">ex-subscription right  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</si>
  <si>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</si>
  <si>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</si>
  <si>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</si>
  <si>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</si>
  <si>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</si>
  <si>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</si>
  <si>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</si>
  <si>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</si>
  <si>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</si>
  <si>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</si>
  <si>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</si>
  <si>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</si>
  <si>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</si>
  <si>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</si>
  <si>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</si>
  <si>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</si>
  <si>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</si>
  <si>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</si>
  <si>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</si>
  <si>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</si>
  <si>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</si>
  <si>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</si>
  <si>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</si>
  <si>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</si>
  <si>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</si>
  <si>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</si>
  <si>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</si>
  <si>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</si>
  <si>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</si>
  <si>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</si>
  <si>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1598</t>
  </si>
  <si>
    <t>ＮＥＸＴ　ＦＵＮＤＳ　Ｒ／Ｎファンダメンタル・インデックス上場投信　受益証券</t>
  </si>
  <si>
    <t>NEXT FUNDS Russell/Nomura Fundamental Index ETF</t>
  </si>
  <si>
    <t>1599</t>
  </si>
  <si>
    <t>ダイワ上場投信－ＪＰＸ日経４００　受益証券</t>
  </si>
  <si>
    <t>Daiwa ETF JPX-Nikkei 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</si>
  <si>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</si>
  <si>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</si>
  <si>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</si>
  <si>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</si>
  <si>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</si>
  <si>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</si>
  <si>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</si>
  <si>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</si>
  <si>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</si>
  <si>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</si>
  <si>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</si>
  <si>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</si>
  <si>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</si>
  <si>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</si>
  <si>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</si>
  <si>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</si>
  <si>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</si>
  <si>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</si>
  <si>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</si>
  <si>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</si>
  <si>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</si>
  <si>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</si>
  <si>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</si>
  <si>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</si>
  <si>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</si>
  <si>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</si>
  <si>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</si>
  <si>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</si>
  <si>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</si>
  <si>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</si>
  <si>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</si>
  <si>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</si>
  <si>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</si>
  <si>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</si>
  <si>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</si>
  <si>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</si>
  <si>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</si>
  <si>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</si>
  <si>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</si>
  <si>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</si>
  <si>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</si>
  <si>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</si>
  <si>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</si>
  <si>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</si>
  <si>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</si>
  <si>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</si>
  <si>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</si>
  <si>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</si>
  <si>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</si>
  <si>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</si>
  <si>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</si>
  <si>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</si>
  <si>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</si>
  <si>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</si>
  <si>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</si>
  <si>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</si>
  <si>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</si>
  <si>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</si>
  <si>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</si>
  <si>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</si>
  <si>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</si>
  <si>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</si>
  <si>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</si>
  <si>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</si>
  <si>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</si>
  <si>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</si>
  <si>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</si>
  <si>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</si>
  <si>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</si>
  <si>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</si>
  <si>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</si>
  <si>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</si>
  <si>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</si>
  <si>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</si>
  <si>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</si>
  <si>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</si>
  <si>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</si>
  <si>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</si>
  <si>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</si>
  <si>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</si>
  <si>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</si>
  <si>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</si>
  <si>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</si>
  <si>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</si>
  <si>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1670</t>
  </si>
  <si>
    <t>ＭＡＸＩＳ　Ｓ＆Ｐ三菱系企業群上場投信　受益証券</t>
  </si>
  <si>
    <t>MAXIS S&amp;P Mitsubishi Group ETF</t>
  </si>
  <si>
    <t>整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</si>
  <si>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</si>
  <si>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</si>
  <si>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</si>
  <si>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</si>
  <si>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</si>
  <si>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</si>
  <si>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</si>
  <si>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</si>
  <si>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</si>
  <si>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</si>
  <si>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</si>
  <si>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</si>
  <si>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</si>
  <si>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</si>
  <si>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</si>
  <si>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</si>
  <si>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</si>
  <si>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</si>
  <si>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</si>
  <si>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</si>
  <si>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</si>
  <si>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</si>
  <si>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</si>
  <si>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</si>
  <si>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</si>
  <si>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</si>
  <si>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</si>
  <si>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</si>
  <si>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</si>
  <si>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</si>
  <si>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</si>
  <si>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</si>
  <si>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</si>
  <si>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</si>
  <si>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</si>
  <si>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</si>
  <si>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</si>
  <si>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</si>
  <si>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</si>
  <si>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</si>
  <si>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</si>
  <si>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</si>
  <si>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</si>
  <si>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</si>
  <si>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</si>
  <si>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</si>
  <si>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</si>
  <si>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</si>
  <si>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</si>
  <si>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</si>
  <si>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</si>
  <si>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</si>
  <si>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</si>
  <si>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</si>
  <si>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</si>
  <si>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</si>
  <si>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</si>
  <si>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</si>
  <si>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</si>
  <si>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</si>
  <si>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</si>
  <si>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</si>
  <si>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</si>
  <si>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</si>
  <si>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</si>
  <si>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</si>
  <si>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</si>
  <si>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</si>
  <si>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</si>
  <si>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</si>
  <si>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</si>
  <si>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</si>
  <si>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</si>
  <si>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</si>
  <si>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</si>
  <si>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</si>
  <si>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</si>
  <si>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</si>
  <si>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</si>
  <si>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</si>
  <si>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</si>
  <si>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</si>
  <si>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</si>
  <si>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</si>
  <si>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</si>
  <si>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</si>
  <si>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</si>
  <si>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</si>
  <si>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</si>
  <si>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</si>
  <si>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</si>
  <si>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</si>
  <si>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</si>
  <si>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</si>
  <si>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</si>
  <si>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</si>
  <si>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</si>
  <si>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2035</t>
  </si>
  <si>
    <t>ＮＥＸＴ　ＮＯＴＥＳ　日経平均ＶＩ先物指数　ＥＴＮ　受益証券</t>
  </si>
  <si>
    <t>NEXT NOTES Nikkei 225 VI Futures Index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</si>
  <si>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</si>
  <si>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</si>
  <si>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</si>
  <si>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</si>
  <si>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</si>
  <si>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</si>
  <si>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</si>
  <si>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</si>
  <si>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</si>
  <si>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</si>
  <si>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</si>
  <si>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</si>
  <si>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</si>
  <si>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</si>
  <si>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</si>
  <si>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</si>
  <si>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</si>
  <si>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</si>
  <si>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</si>
  <si>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</si>
  <si>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</si>
  <si>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</si>
  <si>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</si>
  <si>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</si>
  <si>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</si>
  <si>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</si>
  <si>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</si>
  <si>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</si>
  <si>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</si>
  <si>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</si>
  <si>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</si>
  <si>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</si>
  <si>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</si>
  <si>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</si>
  <si>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</si>
  <si>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</si>
  <si>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</si>
  <si>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</si>
  <si>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</si>
  <si>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</si>
  <si>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</si>
  <si>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</si>
  <si>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</si>
  <si>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</si>
  <si>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</si>
  <si>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</si>
  <si>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</si>
  <si>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</si>
  <si>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</si>
  <si>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</si>
  <si>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</si>
  <si>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</si>
  <si>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</si>
  <si>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</si>
  <si>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</si>
  <si>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</si>
  <si>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</si>
  <si>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</si>
  <si>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</si>
  <si>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</si>
  <si>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</si>
  <si>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</si>
  <si>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</si>
  <si>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</si>
  <si>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</si>
  <si>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</si>
  <si>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</si>
  <si>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</si>
  <si>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</si>
  <si>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</si>
  <si>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</si>
  <si>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</si>
  <si>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</si>
  <si>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</si>
  <si>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</si>
  <si>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</si>
  <si>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</si>
  <si>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</si>
  <si>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</si>
  <si>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</si>
  <si>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</si>
  <si>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</si>
  <si>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</si>
  <si>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</si>
  <si>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</si>
  <si>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</si>
  <si>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</si>
  <si>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</si>
  <si>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</si>
  <si>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</si>
  <si>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</si>
  <si>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</si>
  <si>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</si>
  <si>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</si>
  <si>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</si>
  <si>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</si>
  <si>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</si>
  <si>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</si>
  <si>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</si>
  <si>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</si>
  <si>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</si>
  <si>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</si>
  <si>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</si>
  <si>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</si>
  <si>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</si>
  <si>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</si>
  <si>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</si>
  <si>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</si>
  <si>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</si>
  <si>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</si>
  <si>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</si>
  <si>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</si>
  <si>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</si>
  <si>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</si>
  <si>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</si>
  <si>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</si>
  <si>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</si>
  <si>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</si>
  <si>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</si>
  <si>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</si>
  <si>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</si>
  <si>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</si>
  <si>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</si>
  <si>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</si>
  <si>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</si>
  <si>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</si>
  <si>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</si>
  <si>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</si>
  <si>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</si>
  <si>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</si>
  <si>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</si>
  <si>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</si>
  <si>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</si>
  <si>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</si>
  <si>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</si>
  <si>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</si>
  <si>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ブルームバーグ・バークレイズ米国投資適格社債（１－１０年）インデックス（為替ヘッジあり）連動型上場投信　受益証券</t>
  </si>
  <si>
    <t>NEXT FUNDS Bloomberg Barclays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</si>
  <si>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</si>
  <si>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</si>
  <si>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</si>
  <si>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</si>
  <si>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</si>
  <si>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</si>
  <si>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</si>
  <si>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</si>
  <si>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</si>
  <si>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</si>
  <si>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</si>
  <si>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</si>
  <si>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</si>
  <si>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</si>
  <si>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</si>
  <si>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</si>
  <si>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</si>
  <si>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</si>
  <si>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</si>
  <si>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</si>
  <si>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</si>
  <si>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</si>
  <si>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</si>
  <si>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</si>
  <si>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</si>
  <si>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</si>
  <si>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</si>
  <si>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</si>
  <si>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</si>
  <si>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</si>
  <si>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</si>
  <si>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</si>
  <si>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</si>
  <si>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</si>
  <si>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</si>
  <si>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</si>
  <si>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</si>
  <si>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</si>
  <si>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</si>
  <si>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</si>
  <si>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</si>
  <si>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</si>
  <si>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</si>
  <si>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</si>
  <si>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</si>
  <si>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</si>
  <si>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</si>
  <si>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</si>
  <si>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</si>
  <si>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</si>
  <si>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</si>
  <si>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</si>
  <si>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</si>
  <si>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</si>
  <si>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</si>
  <si>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</si>
  <si>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</si>
  <si>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</si>
  <si>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</si>
  <si>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iFreeETF-Nikkei225(Quarterly Dividend Type)</t>
  </si>
  <si>
    <t>2625</t>
  </si>
  <si>
    <t>ｉＦｒｅｅＥＴＦ　ＴＯＰＩＸ（年４回決算型）　受益証券</t>
  </si>
  <si>
    <t>iFreeETF-TOPIX(Quarterly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</si>
  <si>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</si>
  <si>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</si>
  <si>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</si>
  <si>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</si>
  <si>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</si>
  <si>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</si>
  <si>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</si>
  <si>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</si>
  <si>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</si>
  <si>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</si>
  <si>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</si>
  <si>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</si>
  <si>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</si>
  <si>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</si>
  <si>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</si>
  <si>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</si>
  <si>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</si>
  <si>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</si>
  <si>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 xml:space="preserve">新規上場  </t>
  </si>
  <si>
    <t xml:space="preserve">New Listing  </t>
  </si>
  <si>
    <t xml:space="preserve">2021/03/31  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</si>
  <si>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</si>
  <si>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</si>
  <si>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</si>
  <si>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</si>
  <si>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</si>
  <si>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</si>
  <si>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</si>
  <si>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</si>
  <si>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</si>
  <si>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</si>
  <si>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　ＥＳＧ－日本株式　ＥＴＦ　受益証券</t>
  </si>
  <si>
    <t>Global X CleanTech ESG Japan ETF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</si>
  <si>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</si>
  <si>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</si>
  <si>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</si>
  <si>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</si>
  <si>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</si>
  <si>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</si>
  <si>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</si>
  <si>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</si>
  <si>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</si>
  <si>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</si>
  <si>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</si>
  <si>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</si>
  <si>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</si>
  <si>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</si>
  <si>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</si>
  <si>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</si>
  <si>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</si>
  <si>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</si>
  <si>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</si>
  <si>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</si>
  <si>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</si>
  <si>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</si>
  <si>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</si>
  <si>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</si>
  <si>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</si>
  <si>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</si>
  <si>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</si>
  <si>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</si>
  <si>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</si>
  <si>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</si>
  <si>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</si>
  <si>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</si>
  <si>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</si>
  <si>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</si>
  <si>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</si>
  <si>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</si>
  <si>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</si>
  <si>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</si>
  <si>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</si>
  <si>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</si>
  <si>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</si>
  <si>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</si>
  <si>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</si>
  <si>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</si>
  <si>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</si>
  <si>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</si>
  <si>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</si>
  <si>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</si>
  <si>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</si>
  <si>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</si>
  <si>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</si>
  <si>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3298</t>
  </si>
  <si>
    <t>インベスコ・オフィス・ジェイリート投資法人　投資証券</t>
  </si>
  <si>
    <t>Invesco Office J-REIT,Inc.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</si>
  <si>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</si>
  <si>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</si>
  <si>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</si>
  <si>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</si>
  <si>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</si>
  <si>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</si>
  <si>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</si>
  <si>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</si>
  <si>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</si>
  <si>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</si>
  <si>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</si>
  <si>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</si>
  <si>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</si>
  <si>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</si>
  <si>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</si>
  <si>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</si>
  <si>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</si>
  <si>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</si>
  <si>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</si>
  <si>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</si>
  <si>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</si>
  <si>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</si>
  <si>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</si>
  <si>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</si>
  <si>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</si>
  <si>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</si>
  <si>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</si>
  <si>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</si>
  <si>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</si>
  <si>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</si>
  <si>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</si>
  <si>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</si>
  <si>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</si>
  <si>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</si>
  <si>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</si>
  <si>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</si>
  <si>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</si>
  <si>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</si>
  <si>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</si>
  <si>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</si>
  <si>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</si>
  <si>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</si>
  <si>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</si>
  <si>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</si>
  <si>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</si>
  <si>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</si>
  <si>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</si>
  <si>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</si>
  <si>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</si>
  <si>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</si>
  <si>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</si>
  <si>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</si>
  <si>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</si>
  <si>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</si>
  <si>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</si>
  <si>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伊藤忠アドバンス・ロジスティクス投資法人　投資証券</t>
  </si>
  <si>
    <t>ITOCHU 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</si>
  <si>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</si>
  <si>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</si>
  <si>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</si>
  <si>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</si>
  <si>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</si>
  <si>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</si>
  <si>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</si>
  <si>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</si>
  <si>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</si>
  <si>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</si>
  <si>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</si>
  <si>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</si>
  <si>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</si>
  <si>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</si>
  <si>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</si>
  <si>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</si>
  <si>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プレミア投資法人　投資証券</t>
  </si>
  <si>
    <t>Premier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</si>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</sst>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44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1990</f>
        <v>1990.0</v>
      </c>
      <c r="L7" s="34" t="s">
        <v>48</v>
      </c>
      <c r="M7" s="33" t="n">
        <f>2120</f>
        <v>2120.0</v>
      </c>
      <c r="N7" s="34" t="s">
        <v>49</v>
      </c>
      <c r="O7" s="33" t="n">
        <f>1957</f>
        <v>1957.0</v>
      </c>
      <c r="P7" s="34" t="s">
        <v>50</v>
      </c>
      <c r="Q7" s="33" t="n">
        <f>2076</f>
        <v>2076.0</v>
      </c>
      <c r="R7" s="34" t="s">
        <v>51</v>
      </c>
      <c r="S7" s="35" t="n">
        <f>2050.35</f>
        <v>2050.35</v>
      </c>
      <c r="T7" s="32" t="n">
        <f>37118430</f>
        <v>3.711843E7</v>
      </c>
      <c r="U7" s="32" t="n">
        <f>27724460</f>
        <v>2.772446E7</v>
      </c>
      <c r="V7" s="32" t="n">
        <f>76823227790</f>
        <v>7.682322779E10</v>
      </c>
      <c r="W7" s="32" t="n">
        <f>57538454210</f>
        <v>5.753845421E10</v>
      </c>
      <c r="X7" s="36" t="n">
        <f>23</f>
        <v>23.0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1967</f>
        <v>1967.0</v>
      </c>
      <c r="L8" s="34" t="s">
        <v>48</v>
      </c>
      <c r="M8" s="33" t="n">
        <f>2096</f>
        <v>2096.0</v>
      </c>
      <c r="N8" s="34" t="s">
        <v>49</v>
      </c>
      <c r="O8" s="33" t="n">
        <f>1935</f>
        <v>1935.0</v>
      </c>
      <c r="P8" s="34" t="s">
        <v>50</v>
      </c>
      <c r="Q8" s="33" t="n">
        <f>2052</f>
        <v>2052.0</v>
      </c>
      <c r="R8" s="34" t="s">
        <v>51</v>
      </c>
      <c r="S8" s="35" t="n">
        <f>2027.83</f>
        <v>2027.83</v>
      </c>
      <c r="T8" s="32" t="n">
        <f>87540920</f>
        <v>8.754092E7</v>
      </c>
      <c r="U8" s="32" t="n">
        <f>23399920</f>
        <v>2.339992E7</v>
      </c>
      <c r="V8" s="32" t="n">
        <f>177543394056</f>
        <v>1.77543394056E11</v>
      </c>
      <c r="W8" s="32" t="n">
        <f>47654156796</f>
        <v>4.7654156796E10</v>
      </c>
      <c r="X8" s="36" t="n">
        <f>23</f>
        <v>23.0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1948</f>
        <v>1948.0</v>
      </c>
      <c r="L9" s="34" t="s">
        <v>48</v>
      </c>
      <c r="M9" s="33" t="n">
        <f>2073</f>
        <v>2073.0</v>
      </c>
      <c r="N9" s="34" t="s">
        <v>49</v>
      </c>
      <c r="O9" s="33" t="n">
        <f>1914</f>
        <v>1914.0</v>
      </c>
      <c r="P9" s="34" t="s">
        <v>50</v>
      </c>
      <c r="Q9" s="33" t="n">
        <f>2031</f>
        <v>2031.0</v>
      </c>
      <c r="R9" s="34" t="s">
        <v>51</v>
      </c>
      <c r="S9" s="35" t="n">
        <f>2007.35</f>
        <v>2007.35</v>
      </c>
      <c r="T9" s="32" t="n">
        <f>28058000</f>
        <v>2.8058E7</v>
      </c>
      <c r="U9" s="32" t="n">
        <f>15595000</f>
        <v>1.5595E7</v>
      </c>
      <c r="V9" s="32" t="n">
        <f>56222472070</f>
        <v>5.622247207E10</v>
      </c>
      <c r="W9" s="32" t="n">
        <f>31572505070</f>
        <v>3.157250507E10</v>
      </c>
      <c r="X9" s="36" t="n">
        <f>23</f>
        <v>23.0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46550</f>
        <v>46550.0</v>
      </c>
      <c r="L10" s="34" t="s">
        <v>48</v>
      </c>
      <c r="M10" s="33" t="n">
        <f>48650</f>
        <v>48650.0</v>
      </c>
      <c r="N10" s="34" t="s">
        <v>61</v>
      </c>
      <c r="O10" s="33" t="n">
        <f>43750</f>
        <v>43750.0</v>
      </c>
      <c r="P10" s="34" t="s">
        <v>62</v>
      </c>
      <c r="Q10" s="33" t="n">
        <f>44950</f>
        <v>44950.0</v>
      </c>
      <c r="R10" s="34" t="s">
        <v>51</v>
      </c>
      <c r="S10" s="35" t="n">
        <f>45519.57</f>
        <v>45519.57</v>
      </c>
      <c r="T10" s="32" t="n">
        <f>17117</f>
        <v>17117.0</v>
      </c>
      <c r="U10" s="32" t="str">
        <f>"－"</f>
        <v>－</v>
      </c>
      <c r="V10" s="32" t="n">
        <f>784891450</f>
        <v>7.8489145E8</v>
      </c>
      <c r="W10" s="32" t="str">
        <f>"－"</f>
        <v>－</v>
      </c>
      <c r="X10" s="36" t="n">
        <f>23</f>
        <v>23.0</v>
      </c>
    </row>
    <row r="11">
      <c r="A11" s="27" t="s">
        <v>42</v>
      </c>
      <c r="B11" s="27" t="s">
        <v>63</v>
      </c>
      <c r="C11" s="27" t="s">
        <v>64</v>
      </c>
      <c r="D11" s="27" t="s">
        <v>65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886</f>
        <v>886.0</v>
      </c>
      <c r="L11" s="34" t="s">
        <v>48</v>
      </c>
      <c r="M11" s="33" t="n">
        <f>950</f>
        <v>950.0</v>
      </c>
      <c r="N11" s="34" t="s">
        <v>66</v>
      </c>
      <c r="O11" s="33" t="n">
        <f>863</f>
        <v>863.0</v>
      </c>
      <c r="P11" s="34" t="s">
        <v>50</v>
      </c>
      <c r="Q11" s="33" t="n">
        <f>915</f>
        <v>915.0</v>
      </c>
      <c r="R11" s="34" t="s">
        <v>51</v>
      </c>
      <c r="S11" s="35" t="n">
        <f>902.52</f>
        <v>902.52</v>
      </c>
      <c r="T11" s="32" t="n">
        <f>506250</f>
        <v>506250.0</v>
      </c>
      <c r="U11" s="32" t="n">
        <f>30</f>
        <v>30.0</v>
      </c>
      <c r="V11" s="32" t="n">
        <f>458513640</f>
        <v>4.5851364E8</v>
      </c>
      <c r="W11" s="32" t="n">
        <f>27420</f>
        <v>27420.0</v>
      </c>
      <c r="X11" s="36" t="n">
        <f>23</f>
        <v>23.0</v>
      </c>
    </row>
    <row r="12">
      <c r="A12" s="27" t="s">
        <v>42</v>
      </c>
      <c r="B12" s="27" t="s">
        <v>67</v>
      </c>
      <c r="C12" s="27" t="s">
        <v>68</v>
      </c>
      <c r="D12" s="27" t="s">
        <v>69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21030</f>
        <v>21030.0</v>
      </c>
      <c r="L12" s="34" t="s">
        <v>48</v>
      </c>
      <c r="M12" s="33" t="n">
        <f>23220</f>
        <v>23220.0</v>
      </c>
      <c r="N12" s="34" t="s">
        <v>70</v>
      </c>
      <c r="O12" s="33" t="n">
        <f>20940</f>
        <v>20940.0</v>
      </c>
      <c r="P12" s="34" t="s">
        <v>50</v>
      </c>
      <c r="Q12" s="33" t="n">
        <f>22350</f>
        <v>22350.0</v>
      </c>
      <c r="R12" s="34" t="s">
        <v>51</v>
      </c>
      <c r="S12" s="35" t="n">
        <f>22129.13</f>
        <v>22129.13</v>
      </c>
      <c r="T12" s="32" t="n">
        <f>3760</f>
        <v>3760.0</v>
      </c>
      <c r="U12" s="32" t="str">
        <f>"－"</f>
        <v>－</v>
      </c>
      <c r="V12" s="32" t="n">
        <f>84104390</f>
        <v>8.410439E7</v>
      </c>
      <c r="W12" s="32" t="str">
        <f>"－"</f>
        <v>－</v>
      </c>
      <c r="X12" s="36" t="n">
        <f>23</f>
        <v>23.0</v>
      </c>
    </row>
    <row r="13">
      <c r="A13" s="27" t="s">
        <v>42</v>
      </c>
      <c r="B13" s="27" t="s">
        <v>71</v>
      </c>
      <c r="C13" s="27" t="s">
        <v>72</v>
      </c>
      <c r="D13" s="27" t="s">
        <v>73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4150</f>
        <v>4150.0</v>
      </c>
      <c r="L13" s="34" t="s">
        <v>48</v>
      </c>
      <c r="M13" s="33" t="n">
        <f>4175</f>
        <v>4175.0</v>
      </c>
      <c r="N13" s="34" t="s">
        <v>74</v>
      </c>
      <c r="O13" s="33" t="n">
        <f>3875</f>
        <v>3875.0</v>
      </c>
      <c r="P13" s="34" t="s">
        <v>75</v>
      </c>
      <c r="Q13" s="33" t="n">
        <f>4100</f>
        <v>4100.0</v>
      </c>
      <c r="R13" s="34" t="s">
        <v>51</v>
      </c>
      <c r="S13" s="35" t="n">
        <f>4020.22</f>
        <v>4020.22</v>
      </c>
      <c r="T13" s="32" t="n">
        <f>5420</f>
        <v>5420.0</v>
      </c>
      <c r="U13" s="32" t="str">
        <f>"－"</f>
        <v>－</v>
      </c>
      <c r="V13" s="32" t="n">
        <f>21754250</f>
        <v>2.175425E7</v>
      </c>
      <c r="W13" s="32" t="str">
        <f>"－"</f>
        <v>－</v>
      </c>
      <c r="X13" s="36" t="n">
        <f>23</f>
        <v>23.0</v>
      </c>
    </row>
    <row r="14">
      <c r="A14" s="27" t="s">
        <v>42</v>
      </c>
      <c r="B14" s="27" t="s">
        <v>76</v>
      </c>
      <c r="C14" s="27" t="s">
        <v>77</v>
      </c>
      <c r="D14" s="27" t="s">
        <v>78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363</f>
        <v>363.0</v>
      </c>
      <c r="L14" s="34" t="s">
        <v>48</v>
      </c>
      <c r="M14" s="33" t="n">
        <f>390</f>
        <v>390.0</v>
      </c>
      <c r="N14" s="34" t="s">
        <v>49</v>
      </c>
      <c r="O14" s="33" t="n">
        <f>359</f>
        <v>359.0</v>
      </c>
      <c r="P14" s="34" t="s">
        <v>50</v>
      </c>
      <c r="Q14" s="33" t="n">
        <f>384</f>
        <v>384.0</v>
      </c>
      <c r="R14" s="34" t="s">
        <v>51</v>
      </c>
      <c r="S14" s="35" t="n">
        <f>374.35</f>
        <v>374.35</v>
      </c>
      <c r="T14" s="32" t="n">
        <f>240000</f>
        <v>240000.0</v>
      </c>
      <c r="U14" s="32" t="str">
        <f>"－"</f>
        <v>－</v>
      </c>
      <c r="V14" s="32" t="n">
        <f>90083000</f>
        <v>9.0083E7</v>
      </c>
      <c r="W14" s="32" t="str">
        <f>"－"</f>
        <v>－</v>
      </c>
      <c r="X14" s="36" t="n">
        <f>23</f>
        <v>23.0</v>
      </c>
    </row>
    <row r="15">
      <c r="A15" s="27" t="s">
        <v>42</v>
      </c>
      <c r="B15" s="27" t="s">
        <v>79</v>
      </c>
      <c r="C15" s="27" t="s">
        <v>80</v>
      </c>
      <c r="D15" s="27" t="s">
        <v>81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30450</f>
        <v>30450.0</v>
      </c>
      <c r="L15" s="34" t="s">
        <v>48</v>
      </c>
      <c r="M15" s="33" t="n">
        <f>31400</f>
        <v>31400.0</v>
      </c>
      <c r="N15" s="34" t="s">
        <v>82</v>
      </c>
      <c r="O15" s="33" t="n">
        <f>29130</f>
        <v>29130.0</v>
      </c>
      <c r="P15" s="34" t="s">
        <v>50</v>
      </c>
      <c r="Q15" s="33" t="n">
        <f>30300</f>
        <v>30300.0</v>
      </c>
      <c r="R15" s="34" t="s">
        <v>51</v>
      </c>
      <c r="S15" s="35" t="n">
        <f>30190.87</f>
        <v>30190.87</v>
      </c>
      <c r="T15" s="32" t="n">
        <f>3080620</f>
        <v>3080620.0</v>
      </c>
      <c r="U15" s="32" t="n">
        <f>1106785</f>
        <v>1106785.0</v>
      </c>
      <c r="V15" s="32" t="n">
        <f>92077648488</f>
        <v>9.2077648488E10</v>
      </c>
      <c r="W15" s="32" t="n">
        <f>32792350678</f>
        <v>3.2792350678E10</v>
      </c>
      <c r="X15" s="36" t="n">
        <f>23</f>
        <v>23.0</v>
      </c>
    </row>
    <row r="16">
      <c r="A16" s="27" t="s">
        <v>42</v>
      </c>
      <c r="B16" s="27" t="s">
        <v>83</v>
      </c>
      <c r="C16" s="27" t="s">
        <v>84</v>
      </c>
      <c r="D16" s="27" t="s">
        <v>85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30450</f>
        <v>30450.0</v>
      </c>
      <c r="L16" s="34" t="s">
        <v>48</v>
      </c>
      <c r="M16" s="33" t="n">
        <f>31450</f>
        <v>31450.0</v>
      </c>
      <c r="N16" s="34" t="s">
        <v>82</v>
      </c>
      <c r="O16" s="33" t="n">
        <f>29190</f>
        <v>29190.0</v>
      </c>
      <c r="P16" s="34" t="s">
        <v>50</v>
      </c>
      <c r="Q16" s="33" t="n">
        <f>30300</f>
        <v>30300.0</v>
      </c>
      <c r="R16" s="34" t="s">
        <v>51</v>
      </c>
      <c r="S16" s="35" t="n">
        <f>30236.52</f>
        <v>30236.52</v>
      </c>
      <c r="T16" s="32" t="n">
        <f>10693808</f>
        <v>1.0693808E7</v>
      </c>
      <c r="U16" s="32" t="n">
        <f>1804882</f>
        <v>1804882.0</v>
      </c>
      <c r="V16" s="32" t="n">
        <f>320870679060</f>
        <v>3.2087067906E11</v>
      </c>
      <c r="W16" s="32" t="n">
        <f>53972575810</f>
        <v>5.397257581E10</v>
      </c>
      <c r="X16" s="36" t="n">
        <f>23</f>
        <v>23.0</v>
      </c>
    </row>
    <row r="17">
      <c r="A17" s="27" t="s">
        <v>42</v>
      </c>
      <c r="B17" s="27" t="s">
        <v>86</v>
      </c>
      <c r="C17" s="27" t="s">
        <v>87</v>
      </c>
      <c r="D17" s="27" t="s">
        <v>88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8570</f>
        <v>8570.0</v>
      </c>
      <c r="L17" s="34" t="s">
        <v>48</v>
      </c>
      <c r="M17" s="33" t="n">
        <f>9220</f>
        <v>9220.0</v>
      </c>
      <c r="N17" s="34" t="s">
        <v>89</v>
      </c>
      <c r="O17" s="33" t="n">
        <f>8000</f>
        <v>8000.0</v>
      </c>
      <c r="P17" s="34" t="s">
        <v>62</v>
      </c>
      <c r="Q17" s="33" t="n">
        <f>8180</f>
        <v>8180.0</v>
      </c>
      <c r="R17" s="34" t="s">
        <v>51</v>
      </c>
      <c r="S17" s="35" t="n">
        <f>8331.74</f>
        <v>8331.74</v>
      </c>
      <c r="T17" s="32" t="n">
        <f>56360</f>
        <v>56360.0</v>
      </c>
      <c r="U17" s="32" t="str">
        <f>"－"</f>
        <v>－</v>
      </c>
      <c r="V17" s="32" t="n">
        <f>472364200</f>
        <v>4.723642E8</v>
      </c>
      <c r="W17" s="32" t="str">
        <f>"－"</f>
        <v>－</v>
      </c>
      <c r="X17" s="36" t="n">
        <f>23</f>
        <v>23.0</v>
      </c>
    </row>
    <row r="18">
      <c r="A18" s="27" t="s">
        <v>42</v>
      </c>
      <c r="B18" s="27" t="s">
        <v>90</v>
      </c>
      <c r="C18" s="27" t="s">
        <v>91</v>
      </c>
      <c r="D18" s="27" t="s">
        <v>92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100.0</v>
      </c>
      <c r="K18" s="33" t="n">
        <f>406</f>
        <v>406.0</v>
      </c>
      <c r="L18" s="34" t="s">
        <v>48</v>
      </c>
      <c r="M18" s="33" t="n">
        <f>415</f>
        <v>415.0</v>
      </c>
      <c r="N18" s="34" t="s">
        <v>93</v>
      </c>
      <c r="O18" s="33" t="n">
        <f>395</f>
        <v>395.0</v>
      </c>
      <c r="P18" s="34" t="s">
        <v>89</v>
      </c>
      <c r="Q18" s="33" t="n">
        <f>410</f>
        <v>410.0</v>
      </c>
      <c r="R18" s="34" t="s">
        <v>51</v>
      </c>
      <c r="S18" s="35" t="n">
        <f>405.39</f>
        <v>405.39</v>
      </c>
      <c r="T18" s="32" t="n">
        <f>57400</f>
        <v>57400.0</v>
      </c>
      <c r="U18" s="32" t="n">
        <f>100</f>
        <v>100.0</v>
      </c>
      <c r="V18" s="32" t="n">
        <f>23280600</f>
        <v>2.32806E7</v>
      </c>
      <c r="W18" s="32" t="n">
        <f>40600</f>
        <v>40600.0</v>
      </c>
      <c r="X18" s="36" t="n">
        <f>23</f>
        <v>23.0</v>
      </c>
    </row>
    <row r="19">
      <c r="A19" s="27" t="s">
        <v>42</v>
      </c>
      <c r="B19" s="27" t="s">
        <v>94</v>
      </c>
      <c r="C19" s="27" t="s">
        <v>95</v>
      </c>
      <c r="D19" s="27" t="s">
        <v>96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n">
        <f>139</f>
        <v>139.0</v>
      </c>
      <c r="L19" s="34" t="s">
        <v>48</v>
      </c>
      <c r="M19" s="33" t="n">
        <f>152</f>
        <v>152.0</v>
      </c>
      <c r="N19" s="34" t="s">
        <v>97</v>
      </c>
      <c r="O19" s="33" t="n">
        <f>138</f>
        <v>138.0</v>
      </c>
      <c r="P19" s="34" t="s">
        <v>48</v>
      </c>
      <c r="Q19" s="33" t="n">
        <f>146</f>
        <v>146.0</v>
      </c>
      <c r="R19" s="34" t="s">
        <v>51</v>
      </c>
      <c r="S19" s="35" t="n">
        <f>145.48</f>
        <v>145.48</v>
      </c>
      <c r="T19" s="32" t="n">
        <f>620200</f>
        <v>620200.0</v>
      </c>
      <c r="U19" s="32" t="str">
        <f>"－"</f>
        <v>－</v>
      </c>
      <c r="V19" s="32" t="n">
        <f>89920700</f>
        <v>8.99207E7</v>
      </c>
      <c r="W19" s="32" t="str">
        <f>"－"</f>
        <v>－</v>
      </c>
      <c r="X19" s="36" t="n">
        <f>23</f>
        <v>23.0</v>
      </c>
    </row>
    <row r="20">
      <c r="A20" s="27" t="s">
        <v>42</v>
      </c>
      <c r="B20" s="27" t="s">
        <v>98</v>
      </c>
      <c r="C20" s="27" t="s">
        <v>99</v>
      </c>
      <c r="D20" s="27" t="s">
        <v>100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100.0</v>
      </c>
      <c r="K20" s="33" t="n">
        <f>166</f>
        <v>166.0</v>
      </c>
      <c r="L20" s="34" t="s">
        <v>48</v>
      </c>
      <c r="M20" s="33" t="n">
        <f>172</f>
        <v>172.0</v>
      </c>
      <c r="N20" s="34" t="s">
        <v>82</v>
      </c>
      <c r="O20" s="33" t="n">
        <f>158</f>
        <v>158.0</v>
      </c>
      <c r="P20" s="34" t="s">
        <v>75</v>
      </c>
      <c r="Q20" s="33" t="n">
        <f>164</f>
        <v>164.0</v>
      </c>
      <c r="R20" s="34" t="s">
        <v>51</v>
      </c>
      <c r="S20" s="35" t="n">
        <f>164</f>
        <v>164.0</v>
      </c>
      <c r="T20" s="32" t="n">
        <f>544200</f>
        <v>544200.0</v>
      </c>
      <c r="U20" s="32" t="n">
        <f>400</f>
        <v>400.0</v>
      </c>
      <c r="V20" s="32" t="n">
        <f>89086400</f>
        <v>8.90864E7</v>
      </c>
      <c r="W20" s="32" t="n">
        <f>65700</f>
        <v>65700.0</v>
      </c>
      <c r="X20" s="36" t="n">
        <f>23</f>
        <v>23.0</v>
      </c>
    </row>
    <row r="21">
      <c r="A21" s="27" t="s">
        <v>42</v>
      </c>
      <c r="B21" s="27" t="s">
        <v>101</v>
      </c>
      <c r="C21" s="27" t="s">
        <v>102</v>
      </c>
      <c r="D21" s="27" t="s">
        <v>103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17380</f>
        <v>17380.0</v>
      </c>
      <c r="L21" s="34" t="s">
        <v>48</v>
      </c>
      <c r="M21" s="33" t="n">
        <f>17920</f>
        <v>17920.0</v>
      </c>
      <c r="N21" s="34" t="s">
        <v>82</v>
      </c>
      <c r="O21" s="33" t="n">
        <f>17070</f>
        <v>17070.0</v>
      </c>
      <c r="P21" s="34" t="s">
        <v>50</v>
      </c>
      <c r="Q21" s="33" t="n">
        <f>17500</f>
        <v>17500.0</v>
      </c>
      <c r="R21" s="34" t="s">
        <v>51</v>
      </c>
      <c r="S21" s="35" t="n">
        <f>17554.78</f>
        <v>17554.78</v>
      </c>
      <c r="T21" s="32" t="n">
        <f>324182</f>
        <v>324182.0</v>
      </c>
      <c r="U21" s="32" t="str">
        <f>"－"</f>
        <v>－</v>
      </c>
      <c r="V21" s="32" t="n">
        <f>5671897570</f>
        <v>5.67189757E9</v>
      </c>
      <c r="W21" s="32" t="str">
        <f>"－"</f>
        <v>－</v>
      </c>
      <c r="X21" s="36" t="n">
        <f>23</f>
        <v>23.0</v>
      </c>
    </row>
    <row r="22">
      <c r="A22" s="27" t="s">
        <v>42</v>
      </c>
      <c r="B22" s="27" t="s">
        <v>104</v>
      </c>
      <c r="C22" s="27" t="s">
        <v>105</v>
      </c>
      <c r="D22" s="27" t="s">
        <v>106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1.0</v>
      </c>
      <c r="K22" s="33" t="n">
        <f>3385</f>
        <v>3385.0</v>
      </c>
      <c r="L22" s="34" t="s">
        <v>48</v>
      </c>
      <c r="M22" s="33" t="n">
        <f>3710</f>
        <v>3710.0</v>
      </c>
      <c r="N22" s="34" t="s">
        <v>62</v>
      </c>
      <c r="O22" s="33" t="n">
        <f>3335</f>
        <v>3335.0</v>
      </c>
      <c r="P22" s="34" t="s">
        <v>48</v>
      </c>
      <c r="Q22" s="33" t="n">
        <f>3520</f>
        <v>3520.0</v>
      </c>
      <c r="R22" s="34" t="s">
        <v>51</v>
      </c>
      <c r="S22" s="35" t="n">
        <f>3528.91</f>
        <v>3528.91</v>
      </c>
      <c r="T22" s="32" t="n">
        <f>7965</f>
        <v>7965.0</v>
      </c>
      <c r="U22" s="32" t="str">
        <f>"－"</f>
        <v>－</v>
      </c>
      <c r="V22" s="32" t="n">
        <f>28342050</f>
        <v>2.834205E7</v>
      </c>
      <c r="W22" s="32" t="str">
        <f>"－"</f>
        <v>－</v>
      </c>
      <c r="X22" s="36" t="n">
        <f>23</f>
        <v>23.0</v>
      </c>
    </row>
    <row r="23">
      <c r="A23" s="27" t="s">
        <v>42</v>
      </c>
      <c r="B23" s="27" t="s">
        <v>107</v>
      </c>
      <c r="C23" s="27" t="s">
        <v>108</v>
      </c>
      <c r="D23" s="27" t="s">
        <v>109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10.0</v>
      </c>
      <c r="K23" s="33" t="n">
        <f>4725</f>
        <v>4725.0</v>
      </c>
      <c r="L23" s="34" t="s">
        <v>48</v>
      </c>
      <c r="M23" s="33" t="n">
        <f>4870</f>
        <v>4870.0</v>
      </c>
      <c r="N23" s="34" t="s">
        <v>82</v>
      </c>
      <c r="O23" s="33" t="n">
        <f>4635</f>
        <v>4635.0</v>
      </c>
      <c r="P23" s="34" t="s">
        <v>50</v>
      </c>
      <c r="Q23" s="33" t="n">
        <f>4755</f>
        <v>4755.0</v>
      </c>
      <c r="R23" s="34" t="s">
        <v>51</v>
      </c>
      <c r="S23" s="35" t="n">
        <f>4766.96</f>
        <v>4766.96</v>
      </c>
      <c r="T23" s="32" t="n">
        <f>670340</f>
        <v>670340.0</v>
      </c>
      <c r="U23" s="32" t="n">
        <f>380</f>
        <v>380.0</v>
      </c>
      <c r="V23" s="32" t="n">
        <f>3184243600</f>
        <v>3.1842436E9</v>
      </c>
      <c r="W23" s="32" t="n">
        <f>1815450</f>
        <v>1815450.0</v>
      </c>
      <c r="X23" s="36" t="n">
        <f>23</f>
        <v>23.0</v>
      </c>
    </row>
    <row r="24">
      <c r="A24" s="27" t="s">
        <v>42</v>
      </c>
      <c r="B24" s="27" t="s">
        <v>110</v>
      </c>
      <c r="C24" s="27" t="s">
        <v>111</v>
      </c>
      <c r="D24" s="27" t="s">
        <v>112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30450</f>
        <v>30450.0</v>
      </c>
      <c r="L24" s="34" t="s">
        <v>48</v>
      </c>
      <c r="M24" s="33" t="n">
        <f>31400</f>
        <v>31400.0</v>
      </c>
      <c r="N24" s="34" t="s">
        <v>82</v>
      </c>
      <c r="O24" s="33" t="n">
        <f>29170</f>
        <v>29170.0</v>
      </c>
      <c r="P24" s="34" t="s">
        <v>50</v>
      </c>
      <c r="Q24" s="33" t="n">
        <f>30300</f>
        <v>30300.0</v>
      </c>
      <c r="R24" s="34" t="s">
        <v>51</v>
      </c>
      <c r="S24" s="35" t="n">
        <f>30221.74</f>
        <v>30221.74</v>
      </c>
      <c r="T24" s="32" t="n">
        <f>1066420</f>
        <v>1066420.0</v>
      </c>
      <c r="U24" s="32" t="n">
        <f>370321</f>
        <v>370321.0</v>
      </c>
      <c r="V24" s="32" t="n">
        <f>32237789743</f>
        <v>3.2237789743E10</v>
      </c>
      <c r="W24" s="32" t="n">
        <f>11280550573</f>
        <v>1.1280550573E10</v>
      </c>
      <c r="X24" s="36" t="n">
        <f>23</f>
        <v>23.0</v>
      </c>
    </row>
    <row r="25">
      <c r="A25" s="27" t="s">
        <v>42</v>
      </c>
      <c r="B25" s="27" t="s">
        <v>113</v>
      </c>
      <c r="C25" s="27" t="s">
        <v>114</v>
      </c>
      <c r="D25" s="27" t="s">
        <v>115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30500</f>
        <v>30500.0</v>
      </c>
      <c r="L25" s="34" t="s">
        <v>48</v>
      </c>
      <c r="M25" s="33" t="n">
        <f>31500</f>
        <v>31500.0</v>
      </c>
      <c r="N25" s="34" t="s">
        <v>82</v>
      </c>
      <c r="O25" s="33" t="n">
        <f>29240</f>
        <v>29240.0</v>
      </c>
      <c r="P25" s="34" t="s">
        <v>50</v>
      </c>
      <c r="Q25" s="33" t="n">
        <f>30350</f>
        <v>30350.0</v>
      </c>
      <c r="R25" s="34" t="s">
        <v>51</v>
      </c>
      <c r="S25" s="35" t="n">
        <f>30290</f>
        <v>30290.0</v>
      </c>
      <c r="T25" s="32" t="n">
        <f>1249400</f>
        <v>1249400.0</v>
      </c>
      <c r="U25" s="32" t="n">
        <f>122050</f>
        <v>122050.0</v>
      </c>
      <c r="V25" s="32" t="n">
        <f>37764184910</f>
        <v>3.776418491E10</v>
      </c>
      <c r="W25" s="32" t="n">
        <f>3710067910</f>
        <v>3.71006791E9</v>
      </c>
      <c r="X25" s="36" t="n">
        <f>23</f>
        <v>23.0</v>
      </c>
    </row>
    <row r="26">
      <c r="A26" s="27" t="s">
        <v>42</v>
      </c>
      <c r="B26" s="27" t="s">
        <v>116</v>
      </c>
      <c r="C26" s="27" t="s">
        <v>117</v>
      </c>
      <c r="D26" s="27" t="s">
        <v>118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10.0</v>
      </c>
      <c r="K26" s="33" t="n">
        <f>2086</f>
        <v>2086.0</v>
      </c>
      <c r="L26" s="34" t="s">
        <v>48</v>
      </c>
      <c r="M26" s="33" t="n">
        <f>2206</f>
        <v>2206.0</v>
      </c>
      <c r="N26" s="34" t="s">
        <v>51</v>
      </c>
      <c r="O26" s="33" t="n">
        <f>2009</f>
        <v>2009.0</v>
      </c>
      <c r="P26" s="34" t="s">
        <v>75</v>
      </c>
      <c r="Q26" s="33" t="n">
        <f>2169</f>
        <v>2169.0</v>
      </c>
      <c r="R26" s="34" t="s">
        <v>51</v>
      </c>
      <c r="S26" s="35" t="n">
        <f>2097.22</f>
        <v>2097.22</v>
      </c>
      <c r="T26" s="32" t="n">
        <f>8720470</f>
        <v>8720470.0</v>
      </c>
      <c r="U26" s="32" t="n">
        <f>471360</f>
        <v>471360.0</v>
      </c>
      <c r="V26" s="32" t="n">
        <f>18286862458</f>
        <v>1.8286862458E10</v>
      </c>
      <c r="W26" s="32" t="n">
        <f>970653768</f>
        <v>9.70653768E8</v>
      </c>
      <c r="X26" s="36" t="n">
        <f>23</f>
        <v>23.0</v>
      </c>
    </row>
    <row r="27">
      <c r="A27" s="27" t="s">
        <v>42</v>
      </c>
      <c r="B27" s="27" t="s">
        <v>119</v>
      </c>
      <c r="C27" s="27" t="s">
        <v>120</v>
      </c>
      <c r="D27" s="27" t="s">
        <v>121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825</f>
        <v>825.0</v>
      </c>
      <c r="L27" s="34" t="s">
        <v>48</v>
      </c>
      <c r="M27" s="33" t="n">
        <f>902</f>
        <v>902.0</v>
      </c>
      <c r="N27" s="34" t="s">
        <v>66</v>
      </c>
      <c r="O27" s="33" t="n">
        <f>808</f>
        <v>808.0</v>
      </c>
      <c r="P27" s="34" t="s">
        <v>50</v>
      </c>
      <c r="Q27" s="33" t="n">
        <f>882</f>
        <v>882.0</v>
      </c>
      <c r="R27" s="34" t="s">
        <v>51</v>
      </c>
      <c r="S27" s="35" t="n">
        <f>854.96</f>
        <v>854.96</v>
      </c>
      <c r="T27" s="32" t="n">
        <f>41860</f>
        <v>41860.0</v>
      </c>
      <c r="U27" s="32" t="str">
        <f>"－"</f>
        <v>－</v>
      </c>
      <c r="V27" s="32" t="n">
        <f>36007790</f>
        <v>3.600779E7</v>
      </c>
      <c r="W27" s="32" t="str">
        <f>"－"</f>
        <v>－</v>
      </c>
      <c r="X27" s="36" t="n">
        <f>23</f>
        <v>23.0</v>
      </c>
    </row>
    <row r="28">
      <c r="A28" s="27" t="s">
        <v>42</v>
      </c>
      <c r="B28" s="27" t="s">
        <v>122</v>
      </c>
      <c r="C28" s="27" t="s">
        <v>123</v>
      </c>
      <c r="D28" s="27" t="s">
        <v>124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100.0</v>
      </c>
      <c r="K28" s="33" t="n">
        <f>1980</f>
        <v>1980.0</v>
      </c>
      <c r="L28" s="34" t="s">
        <v>48</v>
      </c>
      <c r="M28" s="33" t="n">
        <f>2075</f>
        <v>2075.0</v>
      </c>
      <c r="N28" s="34" t="s">
        <v>51</v>
      </c>
      <c r="O28" s="33" t="n">
        <f>1890</f>
        <v>1890.0</v>
      </c>
      <c r="P28" s="34" t="s">
        <v>75</v>
      </c>
      <c r="Q28" s="33" t="n">
        <f>2039</f>
        <v>2039.0</v>
      </c>
      <c r="R28" s="34" t="s">
        <v>51</v>
      </c>
      <c r="S28" s="35" t="n">
        <f>1974.09</f>
        <v>1974.09</v>
      </c>
      <c r="T28" s="32" t="n">
        <f>2181100</f>
        <v>2181100.0</v>
      </c>
      <c r="U28" s="32" t="n">
        <f>103700</f>
        <v>103700.0</v>
      </c>
      <c r="V28" s="32" t="n">
        <f>4295545498</f>
        <v>4.295545498E9</v>
      </c>
      <c r="W28" s="32" t="n">
        <f>198843698</f>
        <v>1.98843698E8</v>
      </c>
      <c r="X28" s="36" t="n">
        <f>23</f>
        <v>23.0</v>
      </c>
    </row>
    <row r="29">
      <c r="A29" s="27" t="s">
        <v>42</v>
      </c>
      <c r="B29" s="27" t="s">
        <v>125</v>
      </c>
      <c r="C29" s="27" t="s">
        <v>126</v>
      </c>
      <c r="D29" s="27" t="s">
        <v>127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30450</f>
        <v>30450.0</v>
      </c>
      <c r="L29" s="34" t="s">
        <v>48</v>
      </c>
      <c r="M29" s="33" t="n">
        <f>31450</f>
        <v>31450.0</v>
      </c>
      <c r="N29" s="34" t="s">
        <v>82</v>
      </c>
      <c r="O29" s="33" t="n">
        <f>29170</f>
        <v>29170.0</v>
      </c>
      <c r="P29" s="34" t="s">
        <v>50</v>
      </c>
      <c r="Q29" s="33" t="n">
        <f>30300</f>
        <v>30300.0</v>
      </c>
      <c r="R29" s="34" t="s">
        <v>51</v>
      </c>
      <c r="S29" s="35" t="n">
        <f>30217.39</f>
        <v>30217.39</v>
      </c>
      <c r="T29" s="32" t="n">
        <f>843474</f>
        <v>843474.0</v>
      </c>
      <c r="U29" s="32" t="n">
        <f>70833</f>
        <v>70833.0</v>
      </c>
      <c r="V29" s="32" t="n">
        <f>25461435950</f>
        <v>2.546143595E10</v>
      </c>
      <c r="W29" s="32" t="n">
        <f>2149043310</f>
        <v>2.14904331E9</v>
      </c>
      <c r="X29" s="36" t="n">
        <f>23</f>
        <v>23.0</v>
      </c>
    </row>
    <row r="30">
      <c r="A30" s="27" t="s">
        <v>42</v>
      </c>
      <c r="B30" s="27" t="s">
        <v>128</v>
      </c>
      <c r="C30" s="27" t="s">
        <v>129</v>
      </c>
      <c r="D30" s="27" t="s">
        <v>130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1952</f>
        <v>1952.0</v>
      </c>
      <c r="L30" s="34" t="s">
        <v>48</v>
      </c>
      <c r="M30" s="33" t="n">
        <f>2079</f>
        <v>2079.0</v>
      </c>
      <c r="N30" s="34" t="s">
        <v>49</v>
      </c>
      <c r="O30" s="33" t="n">
        <f>1920</f>
        <v>1920.0</v>
      </c>
      <c r="P30" s="34" t="s">
        <v>50</v>
      </c>
      <c r="Q30" s="33" t="n">
        <f>2038</f>
        <v>2038.0</v>
      </c>
      <c r="R30" s="34" t="s">
        <v>51</v>
      </c>
      <c r="S30" s="35" t="n">
        <f>2011.39</f>
        <v>2011.39</v>
      </c>
      <c r="T30" s="32" t="n">
        <f>17364710</f>
        <v>1.736471E7</v>
      </c>
      <c r="U30" s="32" t="n">
        <f>14221820</f>
        <v>1.422182E7</v>
      </c>
      <c r="V30" s="32" t="n">
        <f>35326013630</f>
        <v>3.532601363E10</v>
      </c>
      <c r="W30" s="32" t="n">
        <f>28952106180</f>
        <v>2.895210618E10</v>
      </c>
      <c r="X30" s="36" t="n">
        <f>23</f>
        <v>23.0</v>
      </c>
    </row>
    <row r="31">
      <c r="A31" s="27" t="s">
        <v>42</v>
      </c>
      <c r="B31" s="27" t="s">
        <v>131</v>
      </c>
      <c r="C31" s="27" t="s">
        <v>132</v>
      </c>
      <c r="D31" s="27" t="s">
        <v>133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13060</f>
        <v>13060.0</v>
      </c>
      <c r="L31" s="34" t="s">
        <v>48</v>
      </c>
      <c r="M31" s="33" t="n">
        <f>13320</f>
        <v>13320.0</v>
      </c>
      <c r="N31" s="34" t="s">
        <v>51</v>
      </c>
      <c r="O31" s="33" t="n">
        <f>12980</f>
        <v>12980.0</v>
      </c>
      <c r="P31" s="34" t="s">
        <v>82</v>
      </c>
      <c r="Q31" s="33" t="n">
        <f>13310</f>
        <v>13310.0</v>
      </c>
      <c r="R31" s="34" t="s">
        <v>51</v>
      </c>
      <c r="S31" s="35" t="n">
        <f>13152.61</f>
        <v>13152.61</v>
      </c>
      <c r="T31" s="32" t="n">
        <f>724</f>
        <v>724.0</v>
      </c>
      <c r="U31" s="32" t="str">
        <f>"－"</f>
        <v>－</v>
      </c>
      <c r="V31" s="32" t="n">
        <f>9498520</f>
        <v>9498520.0</v>
      </c>
      <c r="W31" s="32" t="str">
        <f>"－"</f>
        <v>－</v>
      </c>
      <c r="X31" s="36" t="n">
        <f>23</f>
        <v>23.0</v>
      </c>
    </row>
    <row r="32">
      <c r="A32" s="27" t="s">
        <v>42</v>
      </c>
      <c r="B32" s="27" t="s">
        <v>134</v>
      </c>
      <c r="C32" s="27" t="s">
        <v>135</v>
      </c>
      <c r="D32" s="27" t="s">
        <v>136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10.0</v>
      </c>
      <c r="K32" s="33" t="n">
        <f>1270</f>
        <v>1270.0</v>
      </c>
      <c r="L32" s="34" t="s">
        <v>48</v>
      </c>
      <c r="M32" s="33" t="n">
        <f>1315</f>
        <v>1315.0</v>
      </c>
      <c r="N32" s="34" t="s">
        <v>50</v>
      </c>
      <c r="O32" s="33" t="n">
        <f>1116</f>
        <v>1116.0</v>
      </c>
      <c r="P32" s="34" t="s">
        <v>49</v>
      </c>
      <c r="Q32" s="33" t="n">
        <f>1161</f>
        <v>1161.0</v>
      </c>
      <c r="R32" s="34" t="s">
        <v>51</v>
      </c>
      <c r="S32" s="35" t="n">
        <f>1195.39</f>
        <v>1195.39</v>
      </c>
      <c r="T32" s="32" t="n">
        <f>10271160</f>
        <v>1.027116E7</v>
      </c>
      <c r="U32" s="32" t="n">
        <f>211240</f>
        <v>211240.0</v>
      </c>
      <c r="V32" s="32" t="n">
        <f>12304055580</f>
        <v>1.230405558E10</v>
      </c>
      <c r="W32" s="32" t="n">
        <f>257479260</f>
        <v>2.5747926E8</v>
      </c>
      <c r="X32" s="36" t="n">
        <f>23</f>
        <v>23.0</v>
      </c>
    </row>
    <row r="33">
      <c r="A33" s="27" t="s">
        <v>42</v>
      </c>
      <c r="B33" s="27" t="s">
        <v>137</v>
      </c>
      <c r="C33" s="27" t="s">
        <v>138</v>
      </c>
      <c r="D33" s="27" t="s">
        <v>139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416</f>
        <v>416.0</v>
      </c>
      <c r="L33" s="34" t="s">
        <v>48</v>
      </c>
      <c r="M33" s="33" t="n">
        <f>453</f>
        <v>453.0</v>
      </c>
      <c r="N33" s="34" t="s">
        <v>50</v>
      </c>
      <c r="O33" s="33" t="n">
        <f>388</f>
        <v>388.0</v>
      </c>
      <c r="P33" s="34" t="s">
        <v>82</v>
      </c>
      <c r="Q33" s="33" t="n">
        <f>417</f>
        <v>417.0</v>
      </c>
      <c r="R33" s="34" t="s">
        <v>51</v>
      </c>
      <c r="S33" s="35" t="n">
        <f>420.39</f>
        <v>420.39</v>
      </c>
      <c r="T33" s="32" t="n">
        <f>1615302779</f>
        <v>1.615302779E9</v>
      </c>
      <c r="U33" s="32" t="n">
        <f>6168205</f>
        <v>6168205.0</v>
      </c>
      <c r="V33" s="32" t="n">
        <f>685362217658</f>
        <v>6.85362217658E11</v>
      </c>
      <c r="W33" s="32" t="n">
        <f>2636092870</f>
        <v>2.63609287E9</v>
      </c>
      <c r="X33" s="36" t="n">
        <f>23</f>
        <v>23.0</v>
      </c>
    </row>
    <row r="34">
      <c r="A34" s="27" t="s">
        <v>42</v>
      </c>
      <c r="B34" s="27" t="s">
        <v>140</v>
      </c>
      <c r="C34" s="27" t="s">
        <v>141</v>
      </c>
      <c r="D34" s="27" t="s">
        <v>142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30800</f>
        <v>30800.0</v>
      </c>
      <c r="L34" s="34" t="s">
        <v>48</v>
      </c>
      <c r="M34" s="33" t="n">
        <f>32850</f>
        <v>32850.0</v>
      </c>
      <c r="N34" s="34" t="s">
        <v>82</v>
      </c>
      <c r="O34" s="33" t="n">
        <f>28250</f>
        <v>28250.0</v>
      </c>
      <c r="P34" s="34" t="s">
        <v>50</v>
      </c>
      <c r="Q34" s="33" t="n">
        <f>30450</f>
        <v>30450.0</v>
      </c>
      <c r="R34" s="34" t="s">
        <v>51</v>
      </c>
      <c r="S34" s="35" t="n">
        <f>30348.7</f>
        <v>30348.7</v>
      </c>
      <c r="T34" s="32" t="n">
        <f>542485</f>
        <v>542485.0</v>
      </c>
      <c r="U34" s="32" t="n">
        <f>17</f>
        <v>17.0</v>
      </c>
      <c r="V34" s="32" t="n">
        <f>16316147440</f>
        <v>1.631614744E10</v>
      </c>
      <c r="W34" s="32" t="n">
        <f>525550</f>
        <v>525550.0</v>
      </c>
      <c r="X34" s="36" t="n">
        <f>23</f>
        <v>23.0</v>
      </c>
    </row>
    <row r="35">
      <c r="A35" s="27" t="s">
        <v>42</v>
      </c>
      <c r="B35" s="27" t="s">
        <v>143</v>
      </c>
      <c r="C35" s="27" t="s">
        <v>144</v>
      </c>
      <c r="D35" s="27" t="s">
        <v>145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10.0</v>
      </c>
      <c r="K35" s="33" t="n">
        <f>1013</f>
        <v>1013.0</v>
      </c>
      <c r="L35" s="34" t="s">
        <v>48</v>
      </c>
      <c r="M35" s="33" t="n">
        <f>1103</f>
        <v>1103.0</v>
      </c>
      <c r="N35" s="34" t="s">
        <v>50</v>
      </c>
      <c r="O35" s="33" t="n">
        <f>946</f>
        <v>946.0</v>
      </c>
      <c r="P35" s="34" t="s">
        <v>82</v>
      </c>
      <c r="Q35" s="33" t="n">
        <f>1013</f>
        <v>1013.0</v>
      </c>
      <c r="R35" s="34" t="s">
        <v>51</v>
      </c>
      <c r="S35" s="35" t="n">
        <f>1024.74</f>
        <v>1024.74</v>
      </c>
      <c r="T35" s="32" t="n">
        <f>250723510</f>
        <v>2.5072351E8</v>
      </c>
      <c r="U35" s="32" t="n">
        <f>20350</f>
        <v>20350.0</v>
      </c>
      <c r="V35" s="32" t="n">
        <f>257466320640</f>
        <v>2.5746632064E11</v>
      </c>
      <c r="W35" s="32" t="n">
        <f>21112410</f>
        <v>2.111241E7</v>
      </c>
      <c r="X35" s="36" t="n">
        <f>23</f>
        <v>23.0</v>
      </c>
    </row>
    <row r="36">
      <c r="A36" s="27" t="s">
        <v>42</v>
      </c>
      <c r="B36" s="27" t="s">
        <v>146</v>
      </c>
      <c r="C36" s="27" t="s">
        <v>147</v>
      </c>
      <c r="D36" s="27" t="s">
        <v>148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17410</f>
        <v>17410.0</v>
      </c>
      <c r="L36" s="34" t="s">
        <v>48</v>
      </c>
      <c r="M36" s="33" t="n">
        <f>18460</f>
        <v>18460.0</v>
      </c>
      <c r="N36" s="34" t="s">
        <v>149</v>
      </c>
      <c r="O36" s="33" t="n">
        <f>17120</f>
        <v>17120.0</v>
      </c>
      <c r="P36" s="34" t="s">
        <v>50</v>
      </c>
      <c r="Q36" s="33" t="n">
        <f>18140</f>
        <v>18140.0</v>
      </c>
      <c r="R36" s="34" t="s">
        <v>51</v>
      </c>
      <c r="S36" s="35" t="n">
        <f>17889.57</f>
        <v>17889.57</v>
      </c>
      <c r="T36" s="32" t="n">
        <f>41893</f>
        <v>41893.0</v>
      </c>
      <c r="U36" s="32" t="n">
        <f>28421</f>
        <v>28421.0</v>
      </c>
      <c r="V36" s="32" t="n">
        <f>751615748</f>
        <v>7.51615748E8</v>
      </c>
      <c r="W36" s="32" t="n">
        <f>511836458</f>
        <v>5.11836458E8</v>
      </c>
      <c r="X36" s="36" t="n">
        <f>23</f>
        <v>23.0</v>
      </c>
    </row>
    <row r="37">
      <c r="A37" s="27" t="s">
        <v>42</v>
      </c>
      <c r="B37" s="27" t="s">
        <v>150</v>
      </c>
      <c r="C37" s="27" t="s">
        <v>151</v>
      </c>
      <c r="D37" s="27" t="s">
        <v>152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25530</f>
        <v>25530.0</v>
      </c>
      <c r="L37" s="34" t="s">
        <v>48</v>
      </c>
      <c r="M37" s="33" t="n">
        <f>27160</f>
        <v>27160.0</v>
      </c>
      <c r="N37" s="34" t="s">
        <v>82</v>
      </c>
      <c r="O37" s="33" t="n">
        <f>23370</f>
        <v>23370.0</v>
      </c>
      <c r="P37" s="34" t="s">
        <v>50</v>
      </c>
      <c r="Q37" s="33" t="n">
        <f>25160</f>
        <v>25160.0</v>
      </c>
      <c r="R37" s="34" t="s">
        <v>51</v>
      </c>
      <c r="S37" s="35" t="n">
        <f>25121.74</f>
        <v>25121.74</v>
      </c>
      <c r="T37" s="32" t="n">
        <f>1311314</f>
        <v>1311314.0</v>
      </c>
      <c r="U37" s="32" t="str">
        <f>"－"</f>
        <v>－</v>
      </c>
      <c r="V37" s="32" t="n">
        <f>32747616030</f>
        <v>3.274761603E10</v>
      </c>
      <c r="W37" s="32" t="str">
        <f>"－"</f>
        <v>－</v>
      </c>
      <c r="X37" s="36" t="n">
        <f>23</f>
        <v>23.0</v>
      </c>
    </row>
    <row r="38">
      <c r="A38" s="27" t="s">
        <v>42</v>
      </c>
      <c r="B38" s="27" t="s">
        <v>153</v>
      </c>
      <c r="C38" s="27" t="s">
        <v>154</v>
      </c>
      <c r="D38" s="27" t="s">
        <v>155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1086</f>
        <v>1086.0</v>
      </c>
      <c r="L38" s="34" t="s">
        <v>48</v>
      </c>
      <c r="M38" s="33" t="n">
        <f>1182</f>
        <v>1182.0</v>
      </c>
      <c r="N38" s="34" t="s">
        <v>50</v>
      </c>
      <c r="O38" s="33" t="n">
        <f>1014</f>
        <v>1014.0</v>
      </c>
      <c r="P38" s="34" t="s">
        <v>82</v>
      </c>
      <c r="Q38" s="33" t="n">
        <f>1087</f>
        <v>1087.0</v>
      </c>
      <c r="R38" s="34" t="s">
        <v>51</v>
      </c>
      <c r="S38" s="35" t="n">
        <f>1097.52</f>
        <v>1097.52</v>
      </c>
      <c r="T38" s="32" t="n">
        <f>17884206</f>
        <v>1.7884206E7</v>
      </c>
      <c r="U38" s="32" t="n">
        <f>50</f>
        <v>50.0</v>
      </c>
      <c r="V38" s="32" t="n">
        <f>19766153796</f>
        <v>1.9766153796E10</v>
      </c>
      <c r="W38" s="32" t="n">
        <f>54600</f>
        <v>54600.0</v>
      </c>
      <c r="X38" s="36" t="n">
        <f>23</f>
        <v>23.0</v>
      </c>
    </row>
    <row r="39">
      <c r="A39" s="27" t="s">
        <v>42</v>
      </c>
      <c r="B39" s="27" t="s">
        <v>156</v>
      </c>
      <c r="C39" s="27" t="s">
        <v>157</v>
      </c>
      <c r="D39" s="27" t="s">
        <v>158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17390</f>
        <v>17390.0</v>
      </c>
      <c r="L39" s="34" t="s">
        <v>48</v>
      </c>
      <c r="M39" s="33" t="n">
        <f>19740</f>
        <v>19740.0</v>
      </c>
      <c r="N39" s="34" t="s">
        <v>49</v>
      </c>
      <c r="O39" s="33" t="n">
        <f>16800</f>
        <v>16800.0</v>
      </c>
      <c r="P39" s="34" t="s">
        <v>50</v>
      </c>
      <c r="Q39" s="33" t="n">
        <f>18860</f>
        <v>18860.0</v>
      </c>
      <c r="R39" s="34" t="s">
        <v>51</v>
      </c>
      <c r="S39" s="35" t="n">
        <f>18464.78</f>
        <v>18464.78</v>
      </c>
      <c r="T39" s="32" t="n">
        <f>625677</f>
        <v>625677.0</v>
      </c>
      <c r="U39" s="32" t="n">
        <f>1130</f>
        <v>1130.0</v>
      </c>
      <c r="V39" s="32" t="n">
        <f>11696527480</f>
        <v>1.169652748E10</v>
      </c>
      <c r="W39" s="32" t="n">
        <f>20531800</f>
        <v>2.05318E7</v>
      </c>
      <c r="X39" s="36" t="n">
        <f>23</f>
        <v>23.0</v>
      </c>
    </row>
    <row r="40">
      <c r="A40" s="27" t="s">
        <v>42</v>
      </c>
      <c r="B40" s="27" t="s">
        <v>159</v>
      </c>
      <c r="C40" s="27" t="s">
        <v>160</v>
      </c>
      <c r="D40" s="27" t="s">
        <v>161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1847</f>
        <v>1847.0</v>
      </c>
      <c r="L40" s="34" t="s">
        <v>48</v>
      </c>
      <c r="M40" s="33" t="n">
        <f>1908</f>
        <v>1908.0</v>
      </c>
      <c r="N40" s="34" t="s">
        <v>50</v>
      </c>
      <c r="O40" s="33" t="n">
        <f>1620</f>
        <v>1620.0</v>
      </c>
      <c r="P40" s="34" t="s">
        <v>49</v>
      </c>
      <c r="Q40" s="33" t="n">
        <f>1683</f>
        <v>1683.0</v>
      </c>
      <c r="R40" s="34" t="s">
        <v>51</v>
      </c>
      <c r="S40" s="35" t="n">
        <f>1734.04</f>
        <v>1734.04</v>
      </c>
      <c r="T40" s="32" t="n">
        <f>3300507</f>
        <v>3300507.0</v>
      </c>
      <c r="U40" s="32" t="n">
        <f>7500</f>
        <v>7500.0</v>
      </c>
      <c r="V40" s="32" t="n">
        <f>5709218235</f>
        <v>5.709218235E9</v>
      </c>
      <c r="W40" s="32" t="n">
        <f>13130800</f>
        <v>1.31308E7</v>
      </c>
      <c r="X40" s="36" t="n">
        <f>23</f>
        <v>23.0</v>
      </c>
    </row>
    <row r="41">
      <c r="A41" s="27" t="s">
        <v>42</v>
      </c>
      <c r="B41" s="27" t="s">
        <v>162</v>
      </c>
      <c r="C41" s="27" t="s">
        <v>163</v>
      </c>
      <c r="D41" s="27" t="s">
        <v>164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29590</f>
        <v>29590.0</v>
      </c>
      <c r="L41" s="34" t="s">
        <v>48</v>
      </c>
      <c r="M41" s="33" t="n">
        <f>30500</f>
        <v>30500.0</v>
      </c>
      <c r="N41" s="34" t="s">
        <v>82</v>
      </c>
      <c r="O41" s="33" t="n">
        <f>28340</f>
        <v>28340.0</v>
      </c>
      <c r="P41" s="34" t="s">
        <v>50</v>
      </c>
      <c r="Q41" s="33" t="n">
        <f>29440</f>
        <v>29440.0</v>
      </c>
      <c r="R41" s="34" t="s">
        <v>51</v>
      </c>
      <c r="S41" s="35" t="n">
        <f>29360.87</f>
        <v>29360.87</v>
      </c>
      <c r="T41" s="32" t="n">
        <f>471598</f>
        <v>471598.0</v>
      </c>
      <c r="U41" s="32" t="n">
        <f>332758</f>
        <v>332758.0</v>
      </c>
      <c r="V41" s="32" t="n">
        <f>14016880589</f>
        <v>1.4016880589E10</v>
      </c>
      <c r="W41" s="32" t="n">
        <f>9944675219</f>
        <v>9.944675219E9</v>
      </c>
      <c r="X41" s="36" t="n">
        <f>23</f>
        <v>23.0</v>
      </c>
    </row>
    <row r="42">
      <c r="A42" s="27" t="s">
        <v>42</v>
      </c>
      <c r="B42" s="27" t="s">
        <v>165</v>
      </c>
      <c r="C42" s="27" t="s">
        <v>166</v>
      </c>
      <c r="D42" s="27" t="s">
        <v>167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4695</f>
        <v>4695.0</v>
      </c>
      <c r="L42" s="34" t="s">
        <v>48</v>
      </c>
      <c r="M42" s="33" t="n">
        <f>5170</f>
        <v>5170.0</v>
      </c>
      <c r="N42" s="34" t="s">
        <v>51</v>
      </c>
      <c r="O42" s="33" t="n">
        <f>4695</f>
        <v>4695.0</v>
      </c>
      <c r="P42" s="34" t="s">
        <v>48</v>
      </c>
      <c r="Q42" s="33" t="n">
        <f>5090</f>
        <v>5090.0</v>
      </c>
      <c r="R42" s="34" t="s">
        <v>51</v>
      </c>
      <c r="S42" s="35" t="n">
        <f>4930.65</f>
        <v>4930.65</v>
      </c>
      <c r="T42" s="32" t="n">
        <f>5966</f>
        <v>5966.0</v>
      </c>
      <c r="U42" s="32" t="str">
        <f>"－"</f>
        <v>－</v>
      </c>
      <c r="V42" s="32" t="n">
        <f>29455925</f>
        <v>2.9455925E7</v>
      </c>
      <c r="W42" s="32" t="str">
        <f>"－"</f>
        <v>－</v>
      </c>
      <c r="X42" s="36" t="n">
        <f>23</f>
        <v>23.0</v>
      </c>
    </row>
    <row r="43">
      <c r="A43" s="27" t="s">
        <v>42</v>
      </c>
      <c r="B43" s="27" t="s">
        <v>168</v>
      </c>
      <c r="C43" s="27" t="s">
        <v>169</v>
      </c>
      <c r="D43" s="27" t="s">
        <v>170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8430</f>
        <v>8430.0</v>
      </c>
      <c r="L43" s="34" t="s">
        <v>48</v>
      </c>
      <c r="M43" s="33" t="n">
        <f>9060</f>
        <v>9060.0</v>
      </c>
      <c r="N43" s="34" t="s">
        <v>171</v>
      </c>
      <c r="O43" s="33" t="n">
        <f>8430</f>
        <v>8430.0</v>
      </c>
      <c r="P43" s="34" t="s">
        <v>48</v>
      </c>
      <c r="Q43" s="33" t="n">
        <f>9020</f>
        <v>9020.0</v>
      </c>
      <c r="R43" s="34" t="s">
        <v>51</v>
      </c>
      <c r="S43" s="35" t="n">
        <f>8792.61</f>
        <v>8792.61</v>
      </c>
      <c r="T43" s="32" t="n">
        <f>3108</f>
        <v>3108.0</v>
      </c>
      <c r="U43" s="32" t="str">
        <f>"－"</f>
        <v>－</v>
      </c>
      <c r="V43" s="32" t="n">
        <f>27426160</f>
        <v>2.742616E7</v>
      </c>
      <c r="W43" s="32" t="str">
        <f>"－"</f>
        <v>－</v>
      </c>
      <c r="X43" s="36" t="n">
        <f>23</f>
        <v>23.0</v>
      </c>
    </row>
    <row r="44">
      <c r="A44" s="27" t="s">
        <v>42</v>
      </c>
      <c r="B44" s="27" t="s">
        <v>172</v>
      </c>
      <c r="C44" s="27" t="s">
        <v>173</v>
      </c>
      <c r="D44" s="27" t="s">
        <v>174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17000</f>
        <v>17000.0</v>
      </c>
      <c r="L44" s="34" t="s">
        <v>50</v>
      </c>
      <c r="M44" s="33" t="n">
        <f>17900</f>
        <v>17900.0</v>
      </c>
      <c r="N44" s="34" t="s">
        <v>171</v>
      </c>
      <c r="O44" s="33" t="n">
        <f>16560</f>
        <v>16560.0</v>
      </c>
      <c r="P44" s="34" t="s">
        <v>50</v>
      </c>
      <c r="Q44" s="33" t="n">
        <f>17690</f>
        <v>17690.0</v>
      </c>
      <c r="R44" s="34" t="s">
        <v>175</v>
      </c>
      <c r="S44" s="35" t="n">
        <f>17306</f>
        <v>17306.0</v>
      </c>
      <c r="T44" s="32" t="n">
        <f>333</f>
        <v>333.0</v>
      </c>
      <c r="U44" s="32" t="n">
        <f>1</f>
        <v>1.0</v>
      </c>
      <c r="V44" s="32" t="n">
        <f>5689780</f>
        <v>5689780.0</v>
      </c>
      <c r="W44" s="32" t="n">
        <f>16420</f>
        <v>16420.0</v>
      </c>
      <c r="X44" s="36" t="n">
        <f>10</f>
        <v>10.0</v>
      </c>
    </row>
    <row r="45">
      <c r="A45" s="27" t="s">
        <v>42</v>
      </c>
      <c r="B45" s="27" t="s">
        <v>176</v>
      </c>
      <c r="C45" s="27" t="s">
        <v>177</v>
      </c>
      <c r="D45" s="27" t="s">
        <v>178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14980</f>
        <v>14980.0</v>
      </c>
      <c r="L45" s="34" t="s">
        <v>179</v>
      </c>
      <c r="M45" s="33" t="n">
        <f>15460</f>
        <v>15460.0</v>
      </c>
      <c r="N45" s="34" t="s">
        <v>82</v>
      </c>
      <c r="O45" s="33" t="n">
        <f>14430</f>
        <v>14430.0</v>
      </c>
      <c r="P45" s="34" t="s">
        <v>50</v>
      </c>
      <c r="Q45" s="33" t="n">
        <f>15140</f>
        <v>15140.0</v>
      </c>
      <c r="R45" s="34" t="s">
        <v>70</v>
      </c>
      <c r="S45" s="35" t="n">
        <f>14990.83</f>
        <v>14990.83</v>
      </c>
      <c r="T45" s="32" t="n">
        <f>168</f>
        <v>168.0</v>
      </c>
      <c r="U45" s="32" t="str">
        <f>"－"</f>
        <v>－</v>
      </c>
      <c r="V45" s="32" t="n">
        <f>2484070</f>
        <v>2484070.0</v>
      </c>
      <c r="W45" s="32" t="str">
        <f>"－"</f>
        <v>－</v>
      </c>
      <c r="X45" s="36" t="n">
        <f>12</f>
        <v>12.0</v>
      </c>
    </row>
    <row r="46">
      <c r="A46" s="27" t="s">
        <v>42</v>
      </c>
      <c r="B46" s="27" t="s">
        <v>180</v>
      </c>
      <c r="C46" s="27" t="s">
        <v>181</v>
      </c>
      <c r="D46" s="27" t="s">
        <v>182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9330</f>
        <v>9330.0</v>
      </c>
      <c r="L46" s="34" t="s">
        <v>48</v>
      </c>
      <c r="M46" s="33" t="n">
        <f>9940</f>
        <v>9940.0</v>
      </c>
      <c r="N46" s="34" t="s">
        <v>171</v>
      </c>
      <c r="O46" s="33" t="n">
        <f>9090</f>
        <v>9090.0</v>
      </c>
      <c r="P46" s="34" t="s">
        <v>183</v>
      </c>
      <c r="Q46" s="33" t="n">
        <f>9550</f>
        <v>9550.0</v>
      </c>
      <c r="R46" s="34" t="s">
        <v>51</v>
      </c>
      <c r="S46" s="35" t="n">
        <f>9426.96</f>
        <v>9426.96</v>
      </c>
      <c r="T46" s="32" t="n">
        <f>7023</f>
        <v>7023.0</v>
      </c>
      <c r="U46" s="32" t="str">
        <f>"－"</f>
        <v>－</v>
      </c>
      <c r="V46" s="32" t="n">
        <f>66354790</f>
        <v>6.635479E7</v>
      </c>
      <c r="W46" s="32" t="str">
        <f>"－"</f>
        <v>－</v>
      </c>
      <c r="X46" s="36" t="n">
        <f>23</f>
        <v>23.0</v>
      </c>
    </row>
    <row r="47">
      <c r="A47" s="27" t="s">
        <v>42</v>
      </c>
      <c r="B47" s="27" t="s">
        <v>184</v>
      </c>
      <c r="C47" s="27" t="s">
        <v>185</v>
      </c>
      <c r="D47" s="27" t="s">
        <v>186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4970</f>
        <v>4970.0</v>
      </c>
      <c r="L47" s="34" t="s">
        <v>48</v>
      </c>
      <c r="M47" s="33" t="n">
        <f>5380</f>
        <v>5380.0</v>
      </c>
      <c r="N47" s="34" t="s">
        <v>187</v>
      </c>
      <c r="O47" s="33" t="n">
        <f>4960</f>
        <v>4960.0</v>
      </c>
      <c r="P47" s="34" t="s">
        <v>48</v>
      </c>
      <c r="Q47" s="33" t="n">
        <f>5230</f>
        <v>5230.0</v>
      </c>
      <c r="R47" s="34" t="s">
        <v>51</v>
      </c>
      <c r="S47" s="35" t="n">
        <f>5151.09</f>
        <v>5151.09</v>
      </c>
      <c r="T47" s="32" t="n">
        <f>2464</f>
        <v>2464.0</v>
      </c>
      <c r="U47" s="32" t="str">
        <f>"－"</f>
        <v>－</v>
      </c>
      <c r="V47" s="32" t="n">
        <f>12799575</f>
        <v>1.2799575E7</v>
      </c>
      <c r="W47" s="32" t="str">
        <f>"－"</f>
        <v>－</v>
      </c>
      <c r="X47" s="36" t="n">
        <f>23</f>
        <v>23.0</v>
      </c>
    </row>
    <row r="48">
      <c r="A48" s="27" t="s">
        <v>42</v>
      </c>
      <c r="B48" s="27" t="s">
        <v>188</v>
      </c>
      <c r="C48" s="27" t="s">
        <v>189</v>
      </c>
      <c r="D48" s="27" t="s">
        <v>190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2420</f>
        <v>2420.0</v>
      </c>
      <c r="L48" s="34" t="s">
        <v>48</v>
      </c>
      <c r="M48" s="33" t="n">
        <f>2517</f>
        <v>2517.0</v>
      </c>
      <c r="N48" s="34" t="s">
        <v>191</v>
      </c>
      <c r="O48" s="33" t="n">
        <f>2373</f>
        <v>2373.0</v>
      </c>
      <c r="P48" s="34" t="s">
        <v>50</v>
      </c>
      <c r="Q48" s="33" t="n">
        <f>2498</f>
        <v>2498.0</v>
      </c>
      <c r="R48" s="34" t="s">
        <v>51</v>
      </c>
      <c r="S48" s="35" t="n">
        <f>2441.65</f>
        <v>2441.65</v>
      </c>
      <c r="T48" s="32" t="n">
        <f>3395</f>
        <v>3395.0</v>
      </c>
      <c r="U48" s="32" t="str">
        <f>"－"</f>
        <v>－</v>
      </c>
      <c r="V48" s="32" t="n">
        <f>8283002</f>
        <v>8283002.0</v>
      </c>
      <c r="W48" s="32" t="str">
        <f>"－"</f>
        <v>－</v>
      </c>
      <c r="X48" s="36" t="n">
        <f>23</f>
        <v>23.0</v>
      </c>
    </row>
    <row r="49">
      <c r="A49" s="27" t="s">
        <v>42</v>
      </c>
      <c r="B49" s="27" t="s">
        <v>192</v>
      </c>
      <c r="C49" s="27" t="s">
        <v>193</v>
      </c>
      <c r="D49" s="27" t="s">
        <v>194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2473</f>
        <v>2473.0</v>
      </c>
      <c r="L49" s="34" t="s">
        <v>48</v>
      </c>
      <c r="M49" s="33" t="n">
        <f>2640</f>
        <v>2640.0</v>
      </c>
      <c r="N49" s="34" t="s">
        <v>97</v>
      </c>
      <c r="O49" s="33" t="n">
        <f>2465</f>
        <v>2465.0</v>
      </c>
      <c r="P49" s="34" t="s">
        <v>183</v>
      </c>
      <c r="Q49" s="33" t="n">
        <f>2542</f>
        <v>2542.0</v>
      </c>
      <c r="R49" s="34" t="s">
        <v>51</v>
      </c>
      <c r="S49" s="35" t="n">
        <f>2550.87</f>
        <v>2550.87</v>
      </c>
      <c r="T49" s="32" t="n">
        <f>16366</f>
        <v>16366.0</v>
      </c>
      <c r="U49" s="32" t="str">
        <f>"－"</f>
        <v>－</v>
      </c>
      <c r="V49" s="32" t="n">
        <f>41410488</f>
        <v>4.1410488E7</v>
      </c>
      <c r="W49" s="32" t="str">
        <f>"－"</f>
        <v>－</v>
      </c>
      <c r="X49" s="36" t="n">
        <f>23</f>
        <v>23.0</v>
      </c>
    </row>
    <row r="50">
      <c r="A50" s="27" t="s">
        <v>42</v>
      </c>
      <c r="B50" s="27" t="s">
        <v>195</v>
      </c>
      <c r="C50" s="27" t="s">
        <v>196</v>
      </c>
      <c r="D50" s="27" t="s">
        <v>197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39900</f>
        <v>39900.0</v>
      </c>
      <c r="L50" s="34" t="s">
        <v>48</v>
      </c>
      <c r="M50" s="33" t="n">
        <f>44600</f>
        <v>44600.0</v>
      </c>
      <c r="N50" s="34" t="s">
        <v>149</v>
      </c>
      <c r="O50" s="33" t="n">
        <f>39850</f>
        <v>39850.0</v>
      </c>
      <c r="P50" s="34" t="s">
        <v>50</v>
      </c>
      <c r="Q50" s="33" t="n">
        <f>43250</f>
        <v>43250.0</v>
      </c>
      <c r="R50" s="34" t="s">
        <v>51</v>
      </c>
      <c r="S50" s="35" t="n">
        <f>41706.52</f>
        <v>41706.52</v>
      </c>
      <c r="T50" s="32" t="n">
        <f>891</f>
        <v>891.0</v>
      </c>
      <c r="U50" s="32" t="str">
        <f>"－"</f>
        <v>－</v>
      </c>
      <c r="V50" s="32" t="n">
        <f>37702000</f>
        <v>3.7702E7</v>
      </c>
      <c r="W50" s="32" t="str">
        <f>"－"</f>
        <v>－</v>
      </c>
      <c r="X50" s="36" t="n">
        <f>23</f>
        <v>23.0</v>
      </c>
    </row>
    <row r="51">
      <c r="A51" s="27" t="s">
        <v>42</v>
      </c>
      <c r="B51" s="27" t="s">
        <v>198</v>
      </c>
      <c r="C51" s="27" t="s">
        <v>199</v>
      </c>
      <c r="D51" s="27" t="s">
        <v>200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29840</f>
        <v>29840.0</v>
      </c>
      <c r="L51" s="34" t="s">
        <v>48</v>
      </c>
      <c r="M51" s="33" t="n">
        <f>31850</f>
        <v>31850.0</v>
      </c>
      <c r="N51" s="34" t="s">
        <v>82</v>
      </c>
      <c r="O51" s="33" t="n">
        <f>29600</f>
        <v>29600.0</v>
      </c>
      <c r="P51" s="34" t="s">
        <v>183</v>
      </c>
      <c r="Q51" s="33" t="n">
        <f>31000</f>
        <v>31000.0</v>
      </c>
      <c r="R51" s="34" t="s">
        <v>51</v>
      </c>
      <c r="S51" s="35" t="n">
        <f>30722.86</f>
        <v>30722.86</v>
      </c>
      <c r="T51" s="32" t="n">
        <f>125</f>
        <v>125.0</v>
      </c>
      <c r="U51" s="32" t="str">
        <f>"－"</f>
        <v>－</v>
      </c>
      <c r="V51" s="32" t="n">
        <f>3873280</f>
        <v>3873280.0</v>
      </c>
      <c r="W51" s="32" t="str">
        <f>"－"</f>
        <v>－</v>
      </c>
      <c r="X51" s="36" t="n">
        <f>14</f>
        <v>14.0</v>
      </c>
    </row>
    <row r="52">
      <c r="A52" s="27" t="s">
        <v>42</v>
      </c>
      <c r="B52" s="27" t="s">
        <v>201</v>
      </c>
      <c r="C52" s="27" t="s">
        <v>202</v>
      </c>
      <c r="D52" s="27" t="s">
        <v>203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29800</f>
        <v>29800.0</v>
      </c>
      <c r="L52" s="34" t="s">
        <v>48</v>
      </c>
      <c r="M52" s="33" t="n">
        <f>30400</f>
        <v>30400.0</v>
      </c>
      <c r="N52" s="34" t="s">
        <v>82</v>
      </c>
      <c r="O52" s="33" t="n">
        <f>28390</f>
        <v>28390.0</v>
      </c>
      <c r="P52" s="34" t="s">
        <v>50</v>
      </c>
      <c r="Q52" s="33" t="n">
        <f>29650</f>
        <v>29650.0</v>
      </c>
      <c r="R52" s="34" t="s">
        <v>51</v>
      </c>
      <c r="S52" s="35" t="n">
        <f>29554.55</f>
        <v>29554.55</v>
      </c>
      <c r="T52" s="32" t="n">
        <f>853533</f>
        <v>853533.0</v>
      </c>
      <c r="U52" s="32" t="n">
        <f>852021</f>
        <v>852021.0</v>
      </c>
      <c r="V52" s="32" t="n">
        <f>24732993517</f>
        <v>2.4732993517E10</v>
      </c>
      <c r="W52" s="32" t="n">
        <f>24688092757</f>
        <v>2.4688092757E10</v>
      </c>
      <c r="X52" s="36" t="n">
        <f>22</f>
        <v>22.0</v>
      </c>
    </row>
    <row r="53">
      <c r="A53" s="27" t="s">
        <v>42</v>
      </c>
      <c r="B53" s="27" t="s">
        <v>204</v>
      </c>
      <c r="C53" s="27" t="s">
        <v>205</v>
      </c>
      <c r="D53" s="27" t="s">
        <v>206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10.0</v>
      </c>
      <c r="K53" s="33" t="n">
        <f>2005</f>
        <v>2005.0</v>
      </c>
      <c r="L53" s="34" t="s">
        <v>48</v>
      </c>
      <c r="M53" s="33" t="n">
        <f>2084</f>
        <v>2084.0</v>
      </c>
      <c r="N53" s="34" t="s">
        <v>51</v>
      </c>
      <c r="O53" s="33" t="n">
        <f>1900</f>
        <v>1900.0</v>
      </c>
      <c r="P53" s="34" t="s">
        <v>75</v>
      </c>
      <c r="Q53" s="33" t="n">
        <f>2048</f>
        <v>2048.0</v>
      </c>
      <c r="R53" s="34" t="s">
        <v>51</v>
      </c>
      <c r="S53" s="35" t="n">
        <f>1988.64</f>
        <v>1988.64</v>
      </c>
      <c r="T53" s="32" t="n">
        <f>702630</f>
        <v>702630.0</v>
      </c>
      <c r="U53" s="32" t="n">
        <f>351300</f>
        <v>351300.0</v>
      </c>
      <c r="V53" s="32" t="n">
        <f>1400863620</f>
        <v>1.40086362E9</v>
      </c>
      <c r="W53" s="32" t="n">
        <f>697117130</f>
        <v>6.9711713E8</v>
      </c>
      <c r="X53" s="36" t="n">
        <f>22</f>
        <v>22.0</v>
      </c>
    </row>
    <row r="54">
      <c r="A54" s="27" t="s">
        <v>42</v>
      </c>
      <c r="B54" s="27" t="s">
        <v>207</v>
      </c>
      <c r="C54" s="27" t="s">
        <v>208</v>
      </c>
      <c r="D54" s="27" t="s">
        <v>209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10.0</v>
      </c>
      <c r="K54" s="33" t="n">
        <f>1523</f>
        <v>1523.0</v>
      </c>
      <c r="L54" s="34" t="s">
        <v>48</v>
      </c>
      <c r="M54" s="33" t="n">
        <f>1740</f>
        <v>1740.0</v>
      </c>
      <c r="N54" s="34" t="s">
        <v>93</v>
      </c>
      <c r="O54" s="33" t="n">
        <f>1523</f>
        <v>1523.0</v>
      </c>
      <c r="P54" s="34" t="s">
        <v>48</v>
      </c>
      <c r="Q54" s="33" t="n">
        <f>1646</f>
        <v>1646.0</v>
      </c>
      <c r="R54" s="34" t="s">
        <v>51</v>
      </c>
      <c r="S54" s="35" t="n">
        <f>1603.18</f>
        <v>1603.18</v>
      </c>
      <c r="T54" s="32" t="n">
        <f>61370</f>
        <v>61370.0</v>
      </c>
      <c r="U54" s="32" t="str">
        <f>"－"</f>
        <v>－</v>
      </c>
      <c r="V54" s="32" t="n">
        <f>98483500</f>
        <v>9.84835E7</v>
      </c>
      <c r="W54" s="32" t="str">
        <f>"－"</f>
        <v>－</v>
      </c>
      <c r="X54" s="36" t="n">
        <f>22</f>
        <v>22.0</v>
      </c>
    </row>
    <row r="55">
      <c r="A55" s="27" t="s">
        <v>42</v>
      </c>
      <c r="B55" s="27" t="s">
        <v>210</v>
      </c>
      <c r="C55" s="27" t="s">
        <v>211</v>
      </c>
      <c r="D55" s="27" t="s">
        <v>212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4345</f>
        <v>4345.0</v>
      </c>
      <c r="L55" s="34" t="s">
        <v>48</v>
      </c>
      <c r="M55" s="33" t="n">
        <f>4530</f>
        <v>4530.0</v>
      </c>
      <c r="N55" s="34" t="s">
        <v>50</v>
      </c>
      <c r="O55" s="33" t="n">
        <f>4200</f>
        <v>4200.0</v>
      </c>
      <c r="P55" s="34" t="s">
        <v>82</v>
      </c>
      <c r="Q55" s="33" t="n">
        <f>4340</f>
        <v>4340.0</v>
      </c>
      <c r="R55" s="34" t="s">
        <v>51</v>
      </c>
      <c r="S55" s="35" t="n">
        <f>4366.09</f>
        <v>4366.09</v>
      </c>
      <c r="T55" s="32" t="n">
        <f>942694</f>
        <v>942694.0</v>
      </c>
      <c r="U55" s="32" t="n">
        <f>15000</f>
        <v>15000.0</v>
      </c>
      <c r="V55" s="32" t="n">
        <f>4121775080</f>
        <v>4.12177508E9</v>
      </c>
      <c r="W55" s="32" t="n">
        <f>64277400</f>
        <v>6.42774E7</v>
      </c>
      <c r="X55" s="36" t="n">
        <f>23</f>
        <v>23.0</v>
      </c>
    </row>
    <row r="56">
      <c r="A56" s="27" t="s">
        <v>42</v>
      </c>
      <c r="B56" s="27" t="s">
        <v>213</v>
      </c>
      <c r="C56" s="27" t="s">
        <v>214</v>
      </c>
      <c r="D56" s="27" t="s">
        <v>215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5600</f>
        <v>5600.0</v>
      </c>
      <c r="L56" s="34" t="s">
        <v>48</v>
      </c>
      <c r="M56" s="33" t="n">
        <f>5690</f>
        <v>5690.0</v>
      </c>
      <c r="N56" s="34" t="s">
        <v>50</v>
      </c>
      <c r="O56" s="33" t="n">
        <f>5240</f>
        <v>5240.0</v>
      </c>
      <c r="P56" s="34" t="s">
        <v>49</v>
      </c>
      <c r="Q56" s="33" t="n">
        <f>5340</f>
        <v>5340.0</v>
      </c>
      <c r="R56" s="34" t="s">
        <v>51</v>
      </c>
      <c r="S56" s="35" t="n">
        <f>5423.91</f>
        <v>5423.91</v>
      </c>
      <c r="T56" s="32" t="n">
        <f>299123</f>
        <v>299123.0</v>
      </c>
      <c r="U56" s="32" t="n">
        <f>100000</f>
        <v>100000.0</v>
      </c>
      <c r="V56" s="32" t="n">
        <f>1603662810</f>
        <v>1.60366281E9</v>
      </c>
      <c r="W56" s="32" t="n">
        <f>529555450</f>
        <v>5.2955545E8</v>
      </c>
      <c r="X56" s="36" t="n">
        <f>23</f>
        <v>23.0</v>
      </c>
    </row>
    <row r="57">
      <c r="A57" s="27" t="s">
        <v>42</v>
      </c>
      <c r="B57" s="27" t="s">
        <v>216</v>
      </c>
      <c r="C57" s="27" t="s">
        <v>217</v>
      </c>
      <c r="D57" s="27" t="s">
        <v>218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19370</f>
        <v>19370.0</v>
      </c>
      <c r="L57" s="34" t="s">
        <v>48</v>
      </c>
      <c r="M57" s="33" t="n">
        <f>20600</f>
        <v>20600.0</v>
      </c>
      <c r="N57" s="34" t="s">
        <v>82</v>
      </c>
      <c r="O57" s="33" t="n">
        <f>17720</f>
        <v>17720.0</v>
      </c>
      <c r="P57" s="34" t="s">
        <v>50</v>
      </c>
      <c r="Q57" s="33" t="n">
        <f>19110</f>
        <v>19110.0</v>
      </c>
      <c r="R57" s="34" t="s">
        <v>51</v>
      </c>
      <c r="S57" s="35" t="n">
        <f>19049.13</f>
        <v>19049.13</v>
      </c>
      <c r="T57" s="32" t="n">
        <f>20289130</f>
        <v>2.028913E7</v>
      </c>
      <c r="U57" s="32" t="n">
        <f>300</f>
        <v>300.0</v>
      </c>
      <c r="V57" s="32" t="n">
        <f>386710070840</f>
        <v>3.8671007084E11</v>
      </c>
      <c r="W57" s="32" t="n">
        <f>5630960</f>
        <v>5630960.0</v>
      </c>
      <c r="X57" s="36" t="n">
        <f>23</f>
        <v>23.0</v>
      </c>
    </row>
    <row r="58">
      <c r="A58" s="27" t="s">
        <v>42</v>
      </c>
      <c r="B58" s="27" t="s">
        <v>219</v>
      </c>
      <c r="C58" s="27" t="s">
        <v>220</v>
      </c>
      <c r="D58" s="27" t="s">
        <v>221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1657</f>
        <v>1657.0</v>
      </c>
      <c r="L58" s="34" t="s">
        <v>48</v>
      </c>
      <c r="M58" s="33" t="n">
        <f>1803</f>
        <v>1803.0</v>
      </c>
      <c r="N58" s="34" t="s">
        <v>50</v>
      </c>
      <c r="O58" s="33" t="n">
        <f>1547</f>
        <v>1547.0</v>
      </c>
      <c r="P58" s="34" t="s">
        <v>82</v>
      </c>
      <c r="Q58" s="33" t="n">
        <f>1656</f>
        <v>1656.0</v>
      </c>
      <c r="R58" s="34" t="s">
        <v>51</v>
      </c>
      <c r="S58" s="35" t="n">
        <f>1675.09</f>
        <v>1675.09</v>
      </c>
      <c r="T58" s="32" t="n">
        <f>62452354</f>
        <v>6.2452354E7</v>
      </c>
      <c r="U58" s="32" t="str">
        <f>"－"</f>
        <v>－</v>
      </c>
      <c r="V58" s="32" t="n">
        <f>105320843604</f>
        <v>1.05320843604E11</v>
      </c>
      <c r="W58" s="32" t="str">
        <f>"－"</f>
        <v>－</v>
      </c>
      <c r="X58" s="36" t="n">
        <f>23</f>
        <v>23.0</v>
      </c>
    </row>
    <row r="59">
      <c r="A59" s="27" t="s">
        <v>42</v>
      </c>
      <c r="B59" s="27" t="s">
        <v>222</v>
      </c>
      <c r="C59" s="27" t="s">
        <v>223</v>
      </c>
      <c r="D59" s="27" t="s">
        <v>224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23570</f>
        <v>23570.0</v>
      </c>
      <c r="L59" s="34" t="s">
        <v>48</v>
      </c>
      <c r="M59" s="33" t="n">
        <f>23820</f>
        <v>23820.0</v>
      </c>
      <c r="N59" s="34" t="s">
        <v>191</v>
      </c>
      <c r="O59" s="33" t="n">
        <f>22730</f>
        <v>22730.0</v>
      </c>
      <c r="P59" s="34" t="s">
        <v>50</v>
      </c>
      <c r="Q59" s="33" t="n">
        <f>23790</f>
        <v>23790.0</v>
      </c>
      <c r="R59" s="34" t="s">
        <v>51</v>
      </c>
      <c r="S59" s="35" t="n">
        <f>23367.69</f>
        <v>23367.69</v>
      </c>
      <c r="T59" s="32" t="n">
        <f>77</f>
        <v>77.0</v>
      </c>
      <c r="U59" s="32" t="str">
        <f>"－"</f>
        <v>－</v>
      </c>
      <c r="V59" s="32" t="n">
        <f>1798200</f>
        <v>1798200.0</v>
      </c>
      <c r="W59" s="32" t="str">
        <f>"－"</f>
        <v>－</v>
      </c>
      <c r="X59" s="36" t="n">
        <f>13</f>
        <v>13.0</v>
      </c>
    </row>
    <row r="60">
      <c r="A60" s="27" t="s">
        <v>42</v>
      </c>
      <c r="B60" s="27" t="s">
        <v>225</v>
      </c>
      <c r="C60" s="27" t="s">
        <v>226</v>
      </c>
      <c r="D60" s="27" t="s">
        <v>227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14050</f>
        <v>14050.0</v>
      </c>
      <c r="L60" s="34" t="s">
        <v>48</v>
      </c>
      <c r="M60" s="33" t="n">
        <f>15750</f>
        <v>15750.0</v>
      </c>
      <c r="N60" s="34" t="s">
        <v>82</v>
      </c>
      <c r="O60" s="33" t="n">
        <f>13470</f>
        <v>13470.0</v>
      </c>
      <c r="P60" s="34" t="s">
        <v>50</v>
      </c>
      <c r="Q60" s="33" t="n">
        <f>15090</f>
        <v>15090.0</v>
      </c>
      <c r="R60" s="34" t="s">
        <v>51</v>
      </c>
      <c r="S60" s="35" t="n">
        <f>14736.96</f>
        <v>14736.96</v>
      </c>
      <c r="T60" s="32" t="n">
        <f>7410</f>
        <v>7410.0</v>
      </c>
      <c r="U60" s="32" t="str">
        <f>"－"</f>
        <v>－</v>
      </c>
      <c r="V60" s="32" t="n">
        <f>107650520</f>
        <v>1.0765052E8</v>
      </c>
      <c r="W60" s="32" t="str">
        <f>"－"</f>
        <v>－</v>
      </c>
      <c r="X60" s="36" t="n">
        <f>23</f>
        <v>23.0</v>
      </c>
    </row>
    <row r="61">
      <c r="A61" s="27" t="s">
        <v>42</v>
      </c>
      <c r="B61" s="27" t="s">
        <v>228</v>
      </c>
      <c r="C61" s="27" t="s">
        <v>229</v>
      </c>
      <c r="D61" s="27" t="s">
        <v>230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5450</f>
        <v>5450.0</v>
      </c>
      <c r="L61" s="34" t="s">
        <v>48</v>
      </c>
      <c r="M61" s="33" t="n">
        <f>5530</f>
        <v>5530.0</v>
      </c>
      <c r="N61" s="34" t="s">
        <v>50</v>
      </c>
      <c r="O61" s="33" t="n">
        <f>5100</f>
        <v>5100.0</v>
      </c>
      <c r="P61" s="34" t="s">
        <v>82</v>
      </c>
      <c r="Q61" s="33" t="n">
        <f>5150</f>
        <v>5150.0</v>
      </c>
      <c r="R61" s="34" t="s">
        <v>51</v>
      </c>
      <c r="S61" s="35" t="n">
        <f>5283.64</f>
        <v>5283.64</v>
      </c>
      <c r="T61" s="32" t="n">
        <f>2209</f>
        <v>2209.0</v>
      </c>
      <c r="U61" s="32" t="str">
        <f>"－"</f>
        <v>－</v>
      </c>
      <c r="V61" s="32" t="n">
        <f>11666250</f>
        <v>1.166625E7</v>
      </c>
      <c r="W61" s="32" t="str">
        <f>"－"</f>
        <v>－</v>
      </c>
      <c r="X61" s="36" t="n">
        <f>22</f>
        <v>22.0</v>
      </c>
    </row>
    <row r="62">
      <c r="A62" s="27" t="s">
        <v>42</v>
      </c>
      <c r="B62" s="27" t="s">
        <v>231</v>
      </c>
      <c r="C62" s="27" t="s">
        <v>232</v>
      </c>
      <c r="D62" s="27" t="s">
        <v>233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2395</f>
        <v>2395.0</v>
      </c>
      <c r="L62" s="34" t="s">
        <v>48</v>
      </c>
      <c r="M62" s="33" t="n">
        <f>2461</f>
        <v>2461.0</v>
      </c>
      <c r="N62" s="34" t="s">
        <v>50</v>
      </c>
      <c r="O62" s="33" t="n">
        <f>2101</f>
        <v>2101.0</v>
      </c>
      <c r="P62" s="34" t="s">
        <v>49</v>
      </c>
      <c r="Q62" s="33" t="n">
        <f>2179</f>
        <v>2179.0</v>
      </c>
      <c r="R62" s="34" t="s">
        <v>51</v>
      </c>
      <c r="S62" s="35" t="n">
        <f>2243.43</f>
        <v>2243.43</v>
      </c>
      <c r="T62" s="32" t="n">
        <f>37296</f>
        <v>37296.0</v>
      </c>
      <c r="U62" s="32" t="str">
        <f>"－"</f>
        <v>－</v>
      </c>
      <c r="V62" s="32" t="n">
        <f>84364249</f>
        <v>8.4364249E7</v>
      </c>
      <c r="W62" s="32" t="str">
        <f>"－"</f>
        <v>－</v>
      </c>
      <c r="X62" s="36" t="n">
        <f>23</f>
        <v>23.0</v>
      </c>
    </row>
    <row r="63">
      <c r="A63" s="27" t="s">
        <v>42</v>
      </c>
      <c r="B63" s="27" t="s">
        <v>234</v>
      </c>
      <c r="C63" s="27" t="s">
        <v>235</v>
      </c>
      <c r="D63" s="27" t="s">
        <v>236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10.0</v>
      </c>
      <c r="K63" s="33" t="n">
        <f>13250</f>
        <v>13250.0</v>
      </c>
      <c r="L63" s="34" t="s">
        <v>48</v>
      </c>
      <c r="M63" s="33" t="n">
        <f>14880</f>
        <v>14880.0</v>
      </c>
      <c r="N63" s="34" t="s">
        <v>149</v>
      </c>
      <c r="O63" s="33" t="n">
        <f>12670</f>
        <v>12670.0</v>
      </c>
      <c r="P63" s="34" t="s">
        <v>50</v>
      </c>
      <c r="Q63" s="33" t="n">
        <f>14300</f>
        <v>14300.0</v>
      </c>
      <c r="R63" s="34" t="s">
        <v>51</v>
      </c>
      <c r="S63" s="35" t="n">
        <f>13792.17</f>
        <v>13792.17</v>
      </c>
      <c r="T63" s="32" t="n">
        <f>14550</f>
        <v>14550.0</v>
      </c>
      <c r="U63" s="32" t="str">
        <f>"－"</f>
        <v>－</v>
      </c>
      <c r="V63" s="32" t="n">
        <f>201591900</f>
        <v>2.015919E8</v>
      </c>
      <c r="W63" s="32" t="str">
        <f>"－"</f>
        <v>－</v>
      </c>
      <c r="X63" s="36" t="n">
        <f>23</f>
        <v>23.0</v>
      </c>
    </row>
    <row r="64">
      <c r="A64" s="27" t="s">
        <v>42</v>
      </c>
      <c r="B64" s="27" t="s">
        <v>237</v>
      </c>
      <c r="C64" s="27" t="s">
        <v>238</v>
      </c>
      <c r="D64" s="27" t="s">
        <v>239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10.0</v>
      </c>
      <c r="K64" s="33" t="n">
        <f>5340</f>
        <v>5340.0</v>
      </c>
      <c r="L64" s="34" t="s">
        <v>48</v>
      </c>
      <c r="M64" s="33" t="n">
        <f>5390</f>
        <v>5390.0</v>
      </c>
      <c r="N64" s="34" t="s">
        <v>50</v>
      </c>
      <c r="O64" s="33" t="n">
        <f>4980</f>
        <v>4980.0</v>
      </c>
      <c r="P64" s="34" t="s">
        <v>82</v>
      </c>
      <c r="Q64" s="33" t="n">
        <f>5090</f>
        <v>5090.0</v>
      </c>
      <c r="R64" s="34" t="s">
        <v>51</v>
      </c>
      <c r="S64" s="35" t="n">
        <f>5156.32</f>
        <v>5156.32</v>
      </c>
      <c r="T64" s="32" t="n">
        <f>6650</f>
        <v>6650.0</v>
      </c>
      <c r="U64" s="32" t="str">
        <f>"－"</f>
        <v>－</v>
      </c>
      <c r="V64" s="32" t="n">
        <f>34225650</f>
        <v>3.422565E7</v>
      </c>
      <c r="W64" s="32" t="str">
        <f>"－"</f>
        <v>－</v>
      </c>
      <c r="X64" s="36" t="n">
        <f>19</f>
        <v>19.0</v>
      </c>
    </row>
    <row r="65">
      <c r="A65" s="27" t="s">
        <v>42</v>
      </c>
      <c r="B65" s="27" t="s">
        <v>240</v>
      </c>
      <c r="C65" s="27" t="s">
        <v>241</v>
      </c>
      <c r="D65" s="27" t="s">
        <v>242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10.0</v>
      </c>
      <c r="K65" s="33" t="n">
        <f>2350</f>
        <v>2350.0</v>
      </c>
      <c r="L65" s="34" t="s">
        <v>48</v>
      </c>
      <c r="M65" s="33" t="n">
        <f>2463</f>
        <v>2463.0</v>
      </c>
      <c r="N65" s="34" t="s">
        <v>187</v>
      </c>
      <c r="O65" s="33" t="n">
        <f>2103</f>
        <v>2103.0</v>
      </c>
      <c r="P65" s="34" t="s">
        <v>82</v>
      </c>
      <c r="Q65" s="33" t="n">
        <f>2170</f>
        <v>2170.0</v>
      </c>
      <c r="R65" s="34" t="s">
        <v>51</v>
      </c>
      <c r="S65" s="35" t="n">
        <f>2245.26</f>
        <v>2245.26</v>
      </c>
      <c r="T65" s="32" t="n">
        <f>105030</f>
        <v>105030.0</v>
      </c>
      <c r="U65" s="32" t="str">
        <f>"－"</f>
        <v>－</v>
      </c>
      <c r="V65" s="32" t="n">
        <f>234122470</f>
        <v>2.3412247E8</v>
      </c>
      <c r="W65" s="32" t="str">
        <f>"－"</f>
        <v>－</v>
      </c>
      <c r="X65" s="36" t="n">
        <f>23</f>
        <v>23.0</v>
      </c>
    </row>
    <row r="66">
      <c r="A66" s="27" t="s">
        <v>42</v>
      </c>
      <c r="B66" s="27" t="s">
        <v>243</v>
      </c>
      <c r="C66" s="27" t="s">
        <v>244</v>
      </c>
      <c r="D66" s="27" t="s">
        <v>245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24250</f>
        <v>24250.0</v>
      </c>
      <c r="L66" s="34" t="s">
        <v>48</v>
      </c>
      <c r="M66" s="33" t="n">
        <f>25190</f>
        <v>25190.0</v>
      </c>
      <c r="N66" s="34" t="s">
        <v>97</v>
      </c>
      <c r="O66" s="33" t="n">
        <f>22860</f>
        <v>22860.0</v>
      </c>
      <c r="P66" s="34" t="s">
        <v>89</v>
      </c>
      <c r="Q66" s="33" t="n">
        <f>25000</f>
        <v>25000.0</v>
      </c>
      <c r="R66" s="34" t="s">
        <v>51</v>
      </c>
      <c r="S66" s="35" t="n">
        <f>24382.61</f>
        <v>24382.61</v>
      </c>
      <c r="T66" s="32" t="n">
        <f>3055</f>
        <v>3055.0</v>
      </c>
      <c r="U66" s="32" t="str">
        <f>"－"</f>
        <v>－</v>
      </c>
      <c r="V66" s="32" t="n">
        <f>74581860</f>
        <v>7.458186E7</v>
      </c>
      <c r="W66" s="32" t="str">
        <f>"－"</f>
        <v>－</v>
      </c>
      <c r="X66" s="36" t="n">
        <f>23</f>
        <v>23.0</v>
      </c>
    </row>
    <row r="67">
      <c r="A67" s="27" t="s">
        <v>42</v>
      </c>
      <c r="B67" s="27" t="s">
        <v>246</v>
      </c>
      <c r="C67" s="27" t="s">
        <v>247</v>
      </c>
      <c r="D67" s="27" t="s">
        <v>248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3605</f>
        <v>3605.0</v>
      </c>
      <c r="L67" s="34" t="s">
        <v>48</v>
      </c>
      <c r="M67" s="33" t="n">
        <f>3605</f>
        <v>3605.0</v>
      </c>
      <c r="N67" s="34" t="s">
        <v>48</v>
      </c>
      <c r="O67" s="33" t="n">
        <f>3300</f>
        <v>3300.0</v>
      </c>
      <c r="P67" s="34" t="s">
        <v>82</v>
      </c>
      <c r="Q67" s="33" t="n">
        <f>3375</f>
        <v>3375.0</v>
      </c>
      <c r="R67" s="34" t="s">
        <v>51</v>
      </c>
      <c r="S67" s="35" t="n">
        <f>3408.91</f>
        <v>3408.91</v>
      </c>
      <c r="T67" s="32" t="n">
        <f>2246</f>
        <v>2246.0</v>
      </c>
      <c r="U67" s="32" t="str">
        <f>"－"</f>
        <v>－</v>
      </c>
      <c r="V67" s="32" t="n">
        <f>7741200</f>
        <v>7741200.0</v>
      </c>
      <c r="W67" s="32" t="str">
        <f>"－"</f>
        <v>－</v>
      </c>
      <c r="X67" s="36" t="n">
        <f>23</f>
        <v>23.0</v>
      </c>
    </row>
    <row r="68">
      <c r="A68" s="27" t="s">
        <v>42</v>
      </c>
      <c r="B68" s="27" t="s">
        <v>249</v>
      </c>
      <c r="C68" s="27" t="s">
        <v>250</v>
      </c>
      <c r="D68" s="27" t="s">
        <v>251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966</f>
        <v>966.0</v>
      </c>
      <c r="L68" s="34" t="s">
        <v>48</v>
      </c>
      <c r="M68" s="33" t="n">
        <f>983</f>
        <v>983.0</v>
      </c>
      <c r="N68" s="34" t="s">
        <v>50</v>
      </c>
      <c r="O68" s="33" t="n">
        <f>850</f>
        <v>850.0</v>
      </c>
      <c r="P68" s="34" t="s">
        <v>82</v>
      </c>
      <c r="Q68" s="33" t="n">
        <f>871</f>
        <v>871.0</v>
      </c>
      <c r="R68" s="34" t="s">
        <v>51</v>
      </c>
      <c r="S68" s="35" t="n">
        <f>903.04</f>
        <v>903.04</v>
      </c>
      <c r="T68" s="32" t="n">
        <f>149159</f>
        <v>149159.0</v>
      </c>
      <c r="U68" s="32" t="str">
        <f>"－"</f>
        <v>－</v>
      </c>
      <c r="V68" s="32" t="n">
        <f>135529678</f>
        <v>1.35529678E8</v>
      </c>
      <c r="W68" s="32" t="str">
        <f>"－"</f>
        <v>－</v>
      </c>
      <c r="X68" s="36" t="n">
        <f>23</f>
        <v>23.0</v>
      </c>
    </row>
    <row r="69">
      <c r="A69" s="27" t="s">
        <v>42</v>
      </c>
      <c r="B69" s="27" t="s">
        <v>252</v>
      </c>
      <c r="C69" s="27" t="s">
        <v>253</v>
      </c>
      <c r="D69" s="27" t="s">
        <v>254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10.0</v>
      </c>
      <c r="K69" s="33" t="n">
        <f>1915</f>
        <v>1915.0</v>
      </c>
      <c r="L69" s="34" t="s">
        <v>48</v>
      </c>
      <c r="M69" s="33" t="n">
        <f>2032</f>
        <v>2032.0</v>
      </c>
      <c r="N69" s="34" t="s">
        <v>82</v>
      </c>
      <c r="O69" s="33" t="n">
        <f>1890</f>
        <v>1890.0</v>
      </c>
      <c r="P69" s="34" t="s">
        <v>183</v>
      </c>
      <c r="Q69" s="33" t="n">
        <f>1996</f>
        <v>1996.0</v>
      </c>
      <c r="R69" s="34" t="s">
        <v>51</v>
      </c>
      <c r="S69" s="35" t="n">
        <f>1970.04</f>
        <v>1970.04</v>
      </c>
      <c r="T69" s="32" t="n">
        <f>9089750</f>
        <v>9089750.0</v>
      </c>
      <c r="U69" s="32" t="n">
        <f>8726320</f>
        <v>8726320.0</v>
      </c>
      <c r="V69" s="32" t="n">
        <f>18129457180</f>
        <v>1.812945718E10</v>
      </c>
      <c r="W69" s="32" t="n">
        <f>17410048300</f>
        <v>1.74100483E10</v>
      </c>
      <c r="X69" s="36" t="n">
        <f>23</f>
        <v>23.0</v>
      </c>
    </row>
    <row r="70">
      <c r="A70" s="27" t="s">
        <v>42</v>
      </c>
      <c r="B70" s="27" t="s">
        <v>255</v>
      </c>
      <c r="C70" s="27" t="s">
        <v>256</v>
      </c>
      <c r="D70" s="27" t="s">
        <v>257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17250</f>
        <v>17250.0</v>
      </c>
      <c r="L70" s="34" t="s">
        <v>48</v>
      </c>
      <c r="M70" s="33" t="n">
        <f>18270</f>
        <v>18270.0</v>
      </c>
      <c r="N70" s="34" t="s">
        <v>82</v>
      </c>
      <c r="O70" s="33" t="n">
        <f>16980</f>
        <v>16980.0</v>
      </c>
      <c r="P70" s="34" t="s">
        <v>50</v>
      </c>
      <c r="Q70" s="33" t="n">
        <f>17990</f>
        <v>17990.0</v>
      </c>
      <c r="R70" s="34" t="s">
        <v>51</v>
      </c>
      <c r="S70" s="35" t="n">
        <f>17716.52</f>
        <v>17716.52</v>
      </c>
      <c r="T70" s="32" t="n">
        <f>49794</f>
        <v>49794.0</v>
      </c>
      <c r="U70" s="32" t="str">
        <f>"－"</f>
        <v>－</v>
      </c>
      <c r="V70" s="32" t="n">
        <f>889645740</f>
        <v>8.8964574E8</v>
      </c>
      <c r="W70" s="32" t="str">
        <f>"－"</f>
        <v>－</v>
      </c>
      <c r="X70" s="36" t="n">
        <f>23</f>
        <v>23.0</v>
      </c>
    </row>
    <row r="71">
      <c r="A71" s="27" t="s">
        <v>42</v>
      </c>
      <c r="B71" s="27" t="s">
        <v>258</v>
      </c>
      <c r="C71" s="27" t="s">
        <v>259</v>
      </c>
      <c r="D71" s="27" t="s">
        <v>260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1927</f>
        <v>1927.0</v>
      </c>
      <c r="L71" s="34" t="s">
        <v>48</v>
      </c>
      <c r="M71" s="33" t="n">
        <f>2051</f>
        <v>2051.0</v>
      </c>
      <c r="N71" s="34" t="s">
        <v>49</v>
      </c>
      <c r="O71" s="33" t="n">
        <f>1895</f>
        <v>1895.0</v>
      </c>
      <c r="P71" s="34" t="s">
        <v>50</v>
      </c>
      <c r="Q71" s="33" t="n">
        <f>2009</f>
        <v>2009.0</v>
      </c>
      <c r="R71" s="34" t="s">
        <v>51</v>
      </c>
      <c r="S71" s="35" t="n">
        <f>1984.17</f>
        <v>1984.17</v>
      </c>
      <c r="T71" s="32" t="n">
        <f>16987060</f>
        <v>1.698706E7</v>
      </c>
      <c r="U71" s="32" t="n">
        <f>14367644</f>
        <v>1.4367644E7</v>
      </c>
      <c r="V71" s="32" t="n">
        <f>34050147743</f>
        <v>3.4050147743E10</v>
      </c>
      <c r="W71" s="32" t="n">
        <f>28825000691</f>
        <v>2.8825000691E10</v>
      </c>
      <c r="X71" s="36" t="n">
        <f>23</f>
        <v>23.0</v>
      </c>
    </row>
    <row r="72">
      <c r="A72" s="27" t="s">
        <v>42</v>
      </c>
      <c r="B72" s="27" t="s">
        <v>261</v>
      </c>
      <c r="C72" s="27" t="s">
        <v>262</v>
      </c>
      <c r="D72" s="27" t="s">
        <v>263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2004</f>
        <v>2004.0</v>
      </c>
      <c r="L72" s="34" t="s">
        <v>48</v>
      </c>
      <c r="M72" s="33" t="n">
        <f>2118</f>
        <v>2118.0</v>
      </c>
      <c r="N72" s="34" t="s">
        <v>51</v>
      </c>
      <c r="O72" s="33" t="n">
        <f>1927</f>
        <v>1927.0</v>
      </c>
      <c r="P72" s="34" t="s">
        <v>75</v>
      </c>
      <c r="Q72" s="33" t="n">
        <f>2082</f>
        <v>2082.0</v>
      </c>
      <c r="R72" s="34" t="s">
        <v>51</v>
      </c>
      <c r="S72" s="35" t="n">
        <f>2015.39</f>
        <v>2015.39</v>
      </c>
      <c r="T72" s="32" t="n">
        <f>3231771</f>
        <v>3231771.0</v>
      </c>
      <c r="U72" s="32" t="n">
        <f>120716</f>
        <v>120716.0</v>
      </c>
      <c r="V72" s="32" t="n">
        <f>6475344201</f>
        <v>6.475344201E9</v>
      </c>
      <c r="W72" s="32" t="n">
        <f>235601567</f>
        <v>2.35601567E8</v>
      </c>
      <c r="X72" s="36" t="n">
        <f>23</f>
        <v>23.0</v>
      </c>
    </row>
    <row r="73">
      <c r="A73" s="27" t="s">
        <v>42</v>
      </c>
      <c r="B73" s="27" t="s">
        <v>264</v>
      </c>
      <c r="C73" s="27" t="s">
        <v>265</v>
      </c>
      <c r="D73" s="27" t="s">
        <v>266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1833</f>
        <v>1833.0</v>
      </c>
      <c r="L73" s="34" t="s">
        <v>48</v>
      </c>
      <c r="M73" s="33" t="n">
        <f>1940</f>
        <v>1940.0</v>
      </c>
      <c r="N73" s="34" t="s">
        <v>149</v>
      </c>
      <c r="O73" s="33" t="n">
        <f>1796</f>
        <v>1796.0</v>
      </c>
      <c r="P73" s="34" t="s">
        <v>183</v>
      </c>
      <c r="Q73" s="33" t="n">
        <f>1904</f>
        <v>1904.0</v>
      </c>
      <c r="R73" s="34" t="s">
        <v>51</v>
      </c>
      <c r="S73" s="35" t="n">
        <f>1876.74</f>
        <v>1876.74</v>
      </c>
      <c r="T73" s="32" t="n">
        <f>24527</f>
        <v>24527.0</v>
      </c>
      <c r="U73" s="32" t="str">
        <f>"－"</f>
        <v>－</v>
      </c>
      <c r="V73" s="32" t="n">
        <f>46486224</f>
        <v>4.6486224E7</v>
      </c>
      <c r="W73" s="32" t="str">
        <f>"－"</f>
        <v>－</v>
      </c>
      <c r="X73" s="36" t="n">
        <f>23</f>
        <v>23.0</v>
      </c>
    </row>
    <row r="74">
      <c r="A74" s="27" t="s">
        <v>42</v>
      </c>
      <c r="B74" s="27" t="s">
        <v>267</v>
      </c>
      <c r="C74" s="27" t="s">
        <v>268</v>
      </c>
      <c r="D74" s="27" t="s">
        <v>269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2030</f>
        <v>2030.0</v>
      </c>
      <c r="L74" s="34" t="s">
        <v>48</v>
      </c>
      <c r="M74" s="33" t="n">
        <f>2225</f>
        <v>2225.0</v>
      </c>
      <c r="N74" s="34" t="s">
        <v>149</v>
      </c>
      <c r="O74" s="33" t="n">
        <f>2025</f>
        <v>2025.0</v>
      </c>
      <c r="P74" s="34" t="s">
        <v>179</v>
      </c>
      <c r="Q74" s="33" t="n">
        <f>2189</f>
        <v>2189.0</v>
      </c>
      <c r="R74" s="34" t="s">
        <v>51</v>
      </c>
      <c r="S74" s="35" t="n">
        <f>2140.09</f>
        <v>2140.09</v>
      </c>
      <c r="T74" s="32" t="n">
        <f>219999</f>
        <v>219999.0</v>
      </c>
      <c r="U74" s="32" t="str">
        <f>"－"</f>
        <v>－</v>
      </c>
      <c r="V74" s="32" t="n">
        <f>470412933</f>
        <v>4.70412933E8</v>
      </c>
      <c r="W74" s="32" t="str">
        <f>"－"</f>
        <v>－</v>
      </c>
      <c r="X74" s="36" t="n">
        <f>23</f>
        <v>23.0</v>
      </c>
    </row>
    <row r="75">
      <c r="A75" s="27" t="s">
        <v>42</v>
      </c>
      <c r="B75" s="27" t="s">
        <v>270</v>
      </c>
      <c r="C75" s="27" t="s">
        <v>271</v>
      </c>
      <c r="D75" s="27" t="s">
        <v>272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23100</f>
        <v>23100.0</v>
      </c>
      <c r="L75" s="34" t="s">
        <v>179</v>
      </c>
      <c r="M75" s="33" t="n">
        <f>23990</f>
        <v>23990.0</v>
      </c>
      <c r="N75" s="34" t="s">
        <v>82</v>
      </c>
      <c r="O75" s="33" t="n">
        <f>22330</f>
        <v>22330.0</v>
      </c>
      <c r="P75" s="34" t="s">
        <v>50</v>
      </c>
      <c r="Q75" s="33" t="n">
        <f>23760</f>
        <v>23760.0</v>
      </c>
      <c r="R75" s="34" t="s">
        <v>51</v>
      </c>
      <c r="S75" s="35" t="n">
        <f>23286.88</f>
        <v>23286.88</v>
      </c>
      <c r="T75" s="32" t="n">
        <f>82</f>
        <v>82.0</v>
      </c>
      <c r="U75" s="32" t="str">
        <f>"－"</f>
        <v>－</v>
      </c>
      <c r="V75" s="32" t="n">
        <f>1905100</f>
        <v>1905100.0</v>
      </c>
      <c r="W75" s="32" t="str">
        <f>"－"</f>
        <v>－</v>
      </c>
      <c r="X75" s="36" t="n">
        <f>16</f>
        <v>16.0</v>
      </c>
    </row>
    <row r="76">
      <c r="A76" s="27" t="s">
        <v>42</v>
      </c>
      <c r="B76" s="27" t="s">
        <v>273</v>
      </c>
      <c r="C76" s="27" t="s">
        <v>274</v>
      </c>
      <c r="D76" s="27" t="s">
        <v>275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18960</f>
        <v>18960.0</v>
      </c>
      <c r="L76" s="34" t="s">
        <v>48</v>
      </c>
      <c r="M76" s="33" t="n">
        <f>19900</f>
        <v>19900.0</v>
      </c>
      <c r="N76" s="34" t="s">
        <v>82</v>
      </c>
      <c r="O76" s="33" t="n">
        <f>18540</f>
        <v>18540.0</v>
      </c>
      <c r="P76" s="34" t="s">
        <v>50</v>
      </c>
      <c r="Q76" s="33" t="n">
        <f>19830</f>
        <v>19830.0</v>
      </c>
      <c r="R76" s="34" t="s">
        <v>70</v>
      </c>
      <c r="S76" s="35" t="n">
        <f>19307.62</f>
        <v>19307.62</v>
      </c>
      <c r="T76" s="32" t="n">
        <f>804</f>
        <v>804.0</v>
      </c>
      <c r="U76" s="32" t="str">
        <f>"－"</f>
        <v>－</v>
      </c>
      <c r="V76" s="32" t="n">
        <f>15138220</f>
        <v>1.513822E7</v>
      </c>
      <c r="W76" s="32" t="str">
        <f>"－"</f>
        <v>－</v>
      </c>
      <c r="X76" s="36" t="n">
        <f>21</f>
        <v>21.0</v>
      </c>
    </row>
    <row r="77">
      <c r="A77" s="27" t="s">
        <v>42</v>
      </c>
      <c r="B77" s="27" t="s">
        <v>276</v>
      </c>
      <c r="C77" s="27" t="s">
        <v>277</v>
      </c>
      <c r="D77" s="27" t="s">
        <v>278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1849</f>
        <v>1849.0</v>
      </c>
      <c r="L77" s="34" t="s">
        <v>48</v>
      </c>
      <c r="M77" s="33" t="n">
        <f>1950</f>
        <v>1950.0</v>
      </c>
      <c r="N77" s="34" t="s">
        <v>49</v>
      </c>
      <c r="O77" s="33" t="n">
        <f>1813</f>
        <v>1813.0</v>
      </c>
      <c r="P77" s="34" t="s">
        <v>50</v>
      </c>
      <c r="Q77" s="33" t="n">
        <f>1929</f>
        <v>1929.0</v>
      </c>
      <c r="R77" s="34" t="s">
        <v>51</v>
      </c>
      <c r="S77" s="35" t="n">
        <f>1888</f>
        <v>1888.0</v>
      </c>
      <c r="T77" s="32" t="n">
        <f>1874</f>
        <v>1874.0</v>
      </c>
      <c r="U77" s="32" t="str">
        <f>"－"</f>
        <v>－</v>
      </c>
      <c r="V77" s="32" t="n">
        <f>3474003</f>
        <v>3474003.0</v>
      </c>
      <c r="W77" s="32" t="str">
        <f>"－"</f>
        <v>－</v>
      </c>
      <c r="X77" s="36" t="n">
        <f>19</f>
        <v>19.0</v>
      </c>
    </row>
    <row r="78">
      <c r="A78" s="27" t="s">
        <v>42</v>
      </c>
      <c r="B78" s="27" t="s">
        <v>279</v>
      </c>
      <c r="C78" s="27" t="s">
        <v>280</v>
      </c>
      <c r="D78" s="27" t="s">
        <v>281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2376</f>
        <v>2376.0</v>
      </c>
      <c r="L78" s="34" t="s">
        <v>48</v>
      </c>
      <c r="M78" s="33" t="n">
        <f>2376</f>
        <v>2376.0</v>
      </c>
      <c r="N78" s="34" t="s">
        <v>48</v>
      </c>
      <c r="O78" s="33" t="n">
        <f>2311</f>
        <v>2311.0</v>
      </c>
      <c r="P78" s="34" t="s">
        <v>70</v>
      </c>
      <c r="Q78" s="33" t="n">
        <f>2314</f>
        <v>2314.0</v>
      </c>
      <c r="R78" s="34" t="s">
        <v>51</v>
      </c>
      <c r="S78" s="35" t="n">
        <f>2339.39</f>
        <v>2339.39</v>
      </c>
      <c r="T78" s="32" t="n">
        <f>10650186</f>
        <v>1.0650186E7</v>
      </c>
      <c r="U78" s="32" t="n">
        <f>998000</f>
        <v>998000.0</v>
      </c>
      <c r="V78" s="32" t="n">
        <f>24935518623</f>
        <v>2.4935518623E10</v>
      </c>
      <c r="W78" s="32" t="n">
        <f>2333677600</f>
        <v>2.3336776E9</v>
      </c>
      <c r="X78" s="36" t="n">
        <f>23</f>
        <v>23.0</v>
      </c>
    </row>
    <row r="79">
      <c r="A79" s="27" t="s">
        <v>42</v>
      </c>
      <c r="B79" s="27" t="s">
        <v>282</v>
      </c>
      <c r="C79" s="27" t="s">
        <v>283</v>
      </c>
      <c r="D79" s="27" t="s">
        <v>284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1823</f>
        <v>1823.0</v>
      </c>
      <c r="L79" s="34" t="s">
        <v>48</v>
      </c>
      <c r="M79" s="33" t="n">
        <f>1923</f>
        <v>1923.0</v>
      </c>
      <c r="N79" s="34" t="s">
        <v>149</v>
      </c>
      <c r="O79" s="33" t="n">
        <f>1772</f>
        <v>1772.0</v>
      </c>
      <c r="P79" s="34" t="s">
        <v>50</v>
      </c>
      <c r="Q79" s="33" t="n">
        <f>1922</f>
        <v>1922.0</v>
      </c>
      <c r="R79" s="34" t="s">
        <v>51</v>
      </c>
      <c r="S79" s="35" t="n">
        <f>1862.35</f>
        <v>1862.35</v>
      </c>
      <c r="T79" s="32" t="n">
        <f>3355</f>
        <v>3355.0</v>
      </c>
      <c r="U79" s="32" t="str">
        <f>"－"</f>
        <v>－</v>
      </c>
      <c r="V79" s="32" t="n">
        <f>6241308</f>
        <v>6241308.0</v>
      </c>
      <c r="W79" s="32" t="str">
        <f>"－"</f>
        <v>－</v>
      </c>
      <c r="X79" s="36" t="n">
        <f>23</f>
        <v>23.0</v>
      </c>
    </row>
    <row r="80">
      <c r="A80" s="27" t="s">
        <v>42</v>
      </c>
      <c r="B80" s="27" t="s">
        <v>285</v>
      </c>
      <c r="C80" s="27" t="s">
        <v>286</v>
      </c>
      <c r="D80" s="27" t="s">
        <v>287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1827</f>
        <v>1827.0</v>
      </c>
      <c r="L80" s="34" t="s">
        <v>48</v>
      </c>
      <c r="M80" s="33" t="n">
        <f>1951</f>
        <v>1951.0</v>
      </c>
      <c r="N80" s="34" t="s">
        <v>66</v>
      </c>
      <c r="O80" s="33" t="n">
        <f>1798</f>
        <v>1798.0</v>
      </c>
      <c r="P80" s="34" t="s">
        <v>183</v>
      </c>
      <c r="Q80" s="33" t="n">
        <f>1900</f>
        <v>1900.0</v>
      </c>
      <c r="R80" s="34" t="s">
        <v>51</v>
      </c>
      <c r="S80" s="35" t="n">
        <f>1863.52</f>
        <v>1863.52</v>
      </c>
      <c r="T80" s="32" t="n">
        <f>68860</f>
        <v>68860.0</v>
      </c>
      <c r="U80" s="32" t="n">
        <f>32000</f>
        <v>32000.0</v>
      </c>
      <c r="V80" s="32" t="n">
        <f>126836304</f>
        <v>1.26836304E8</v>
      </c>
      <c r="W80" s="32" t="n">
        <f>58724524</f>
        <v>5.8724524E7</v>
      </c>
      <c r="X80" s="36" t="n">
        <f>23</f>
        <v>23.0</v>
      </c>
    </row>
    <row r="81">
      <c r="A81" s="27" t="s">
        <v>42</v>
      </c>
      <c r="B81" s="27" t="s">
        <v>288</v>
      </c>
      <c r="C81" s="27" t="s">
        <v>289</v>
      </c>
      <c r="D81" s="27" t="s">
        <v>290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29780</f>
        <v>29780.0</v>
      </c>
      <c r="L81" s="34" t="s">
        <v>48</v>
      </c>
      <c r="M81" s="33" t="n">
        <f>30800</f>
        <v>30800.0</v>
      </c>
      <c r="N81" s="34" t="s">
        <v>82</v>
      </c>
      <c r="O81" s="33" t="n">
        <f>29440</f>
        <v>29440.0</v>
      </c>
      <c r="P81" s="34" t="s">
        <v>74</v>
      </c>
      <c r="Q81" s="33" t="n">
        <f>30800</f>
        <v>30800.0</v>
      </c>
      <c r="R81" s="34" t="s">
        <v>82</v>
      </c>
      <c r="S81" s="35" t="n">
        <f>29793.75</f>
        <v>29793.75</v>
      </c>
      <c r="T81" s="32" t="n">
        <f>32</f>
        <v>32.0</v>
      </c>
      <c r="U81" s="32" t="str">
        <f>"－"</f>
        <v>－</v>
      </c>
      <c r="V81" s="32" t="n">
        <f>949170</f>
        <v>949170.0</v>
      </c>
      <c r="W81" s="32" t="str">
        <f>"－"</f>
        <v>－</v>
      </c>
      <c r="X81" s="36" t="n">
        <f>8</f>
        <v>8.0</v>
      </c>
    </row>
    <row r="82">
      <c r="A82" s="27" t="s">
        <v>42</v>
      </c>
      <c r="B82" s="27" t="s">
        <v>291</v>
      </c>
      <c r="C82" s="27" t="s">
        <v>292</v>
      </c>
      <c r="D82" s="27" t="s">
        <v>293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20840</f>
        <v>20840.0</v>
      </c>
      <c r="L82" s="34" t="s">
        <v>48</v>
      </c>
      <c r="M82" s="33" t="n">
        <f>21300</f>
        <v>21300.0</v>
      </c>
      <c r="N82" s="34" t="s">
        <v>187</v>
      </c>
      <c r="O82" s="33" t="n">
        <f>20820</f>
        <v>20820.0</v>
      </c>
      <c r="P82" s="34" t="s">
        <v>183</v>
      </c>
      <c r="Q82" s="33" t="n">
        <f>21200</f>
        <v>21200.0</v>
      </c>
      <c r="R82" s="34" t="s">
        <v>51</v>
      </c>
      <c r="S82" s="35" t="n">
        <f>20990.43</f>
        <v>20990.43</v>
      </c>
      <c r="T82" s="32" t="n">
        <f>54686</f>
        <v>54686.0</v>
      </c>
      <c r="U82" s="32" t="n">
        <f>4501</f>
        <v>4501.0</v>
      </c>
      <c r="V82" s="32" t="n">
        <f>1145338340</f>
        <v>1.14533834E9</v>
      </c>
      <c r="W82" s="32" t="n">
        <f>94886970</f>
        <v>9.488697E7</v>
      </c>
      <c r="X82" s="36" t="n">
        <f>23</f>
        <v>23.0</v>
      </c>
    </row>
    <row r="83">
      <c r="A83" s="27" t="s">
        <v>42</v>
      </c>
      <c r="B83" s="27" t="s">
        <v>294</v>
      </c>
      <c r="C83" s="27" t="s">
        <v>295</v>
      </c>
      <c r="D83" s="27" t="s">
        <v>296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18530</f>
        <v>18530.0</v>
      </c>
      <c r="L83" s="34" t="s">
        <v>48</v>
      </c>
      <c r="M83" s="33" t="n">
        <f>18540</f>
        <v>18540.0</v>
      </c>
      <c r="N83" s="34" t="s">
        <v>61</v>
      </c>
      <c r="O83" s="33" t="n">
        <f>18040</f>
        <v>18040.0</v>
      </c>
      <c r="P83" s="34" t="s">
        <v>70</v>
      </c>
      <c r="Q83" s="33" t="n">
        <f>18040</f>
        <v>18040.0</v>
      </c>
      <c r="R83" s="34" t="s">
        <v>51</v>
      </c>
      <c r="S83" s="35" t="n">
        <f>18256.52</f>
        <v>18256.52</v>
      </c>
      <c r="T83" s="32" t="n">
        <f>241803</f>
        <v>241803.0</v>
      </c>
      <c r="U83" s="32" t="n">
        <f>10896</f>
        <v>10896.0</v>
      </c>
      <c r="V83" s="32" t="n">
        <f>4410018414</f>
        <v>4.410018414E9</v>
      </c>
      <c r="W83" s="32" t="n">
        <f>200446084</f>
        <v>2.00446084E8</v>
      </c>
      <c r="X83" s="36" t="n">
        <f>23</f>
        <v>23.0</v>
      </c>
    </row>
    <row r="84">
      <c r="A84" s="27" t="s">
        <v>42</v>
      </c>
      <c r="B84" s="27" t="s">
        <v>297</v>
      </c>
      <c r="C84" s="27" t="s">
        <v>298</v>
      </c>
      <c r="D84" s="27" t="s">
        <v>299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10.0</v>
      </c>
      <c r="K84" s="33" t="n">
        <f>2017</f>
        <v>2017.0</v>
      </c>
      <c r="L84" s="34" t="s">
        <v>48</v>
      </c>
      <c r="M84" s="33" t="n">
        <f>2107</f>
        <v>2107.0</v>
      </c>
      <c r="N84" s="34" t="s">
        <v>51</v>
      </c>
      <c r="O84" s="33" t="n">
        <f>1920</f>
        <v>1920.0</v>
      </c>
      <c r="P84" s="34" t="s">
        <v>75</v>
      </c>
      <c r="Q84" s="33" t="n">
        <f>2068</f>
        <v>2068.0</v>
      </c>
      <c r="R84" s="34" t="s">
        <v>51</v>
      </c>
      <c r="S84" s="35" t="n">
        <f>2006.35</f>
        <v>2006.35</v>
      </c>
      <c r="T84" s="32" t="n">
        <f>2303630</f>
        <v>2303630.0</v>
      </c>
      <c r="U84" s="32" t="n">
        <f>200000</f>
        <v>200000.0</v>
      </c>
      <c r="V84" s="32" t="n">
        <f>4587437280</f>
        <v>4.58743728E9</v>
      </c>
      <c r="W84" s="32" t="n">
        <f>398308000</f>
        <v>3.98308E8</v>
      </c>
      <c r="X84" s="36" t="n">
        <f>23</f>
        <v>23.0</v>
      </c>
    </row>
    <row r="85">
      <c r="A85" s="27" t="s">
        <v>42</v>
      </c>
      <c r="B85" s="27" t="s">
        <v>300</v>
      </c>
      <c r="C85" s="27" t="s">
        <v>301</v>
      </c>
      <c r="D85" s="27" t="s">
        <v>302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33450</f>
        <v>33450.0</v>
      </c>
      <c r="L85" s="34" t="s">
        <v>48</v>
      </c>
      <c r="M85" s="33" t="n">
        <f>37250</f>
        <v>37250.0</v>
      </c>
      <c r="N85" s="34" t="s">
        <v>49</v>
      </c>
      <c r="O85" s="33" t="n">
        <f>33300</f>
        <v>33300.0</v>
      </c>
      <c r="P85" s="34" t="s">
        <v>48</v>
      </c>
      <c r="Q85" s="33" t="n">
        <f>36350</f>
        <v>36350.0</v>
      </c>
      <c r="R85" s="34" t="s">
        <v>51</v>
      </c>
      <c r="S85" s="35" t="n">
        <f>35636.96</f>
        <v>35636.96</v>
      </c>
      <c r="T85" s="32" t="n">
        <f>54517</f>
        <v>54517.0</v>
      </c>
      <c r="U85" s="32" t="n">
        <f>3</f>
        <v>3.0</v>
      </c>
      <c r="V85" s="32" t="n">
        <f>1959807200</f>
        <v>1.9598072E9</v>
      </c>
      <c r="W85" s="32" t="n">
        <f>108450</f>
        <v>108450.0</v>
      </c>
      <c r="X85" s="36" t="n">
        <f>23</f>
        <v>23.0</v>
      </c>
    </row>
    <row r="86">
      <c r="A86" s="27" t="s">
        <v>42</v>
      </c>
      <c r="B86" s="27" t="s">
        <v>303</v>
      </c>
      <c r="C86" s="27" t="s">
        <v>304</v>
      </c>
      <c r="D86" s="27" t="s">
        <v>305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10.0</v>
      </c>
      <c r="K86" s="33" t="n">
        <f>7830</f>
        <v>7830.0</v>
      </c>
      <c r="L86" s="34" t="s">
        <v>183</v>
      </c>
      <c r="M86" s="33" t="n">
        <f>7990</f>
        <v>7990.0</v>
      </c>
      <c r="N86" s="34" t="s">
        <v>93</v>
      </c>
      <c r="O86" s="33" t="n">
        <f>7830</f>
        <v>7830.0</v>
      </c>
      <c r="P86" s="34" t="s">
        <v>183</v>
      </c>
      <c r="Q86" s="33" t="n">
        <f>7950</f>
        <v>7950.0</v>
      </c>
      <c r="R86" s="34" t="s">
        <v>51</v>
      </c>
      <c r="S86" s="35" t="n">
        <f>7912</f>
        <v>7912.0</v>
      </c>
      <c r="T86" s="32" t="n">
        <f>20630</f>
        <v>20630.0</v>
      </c>
      <c r="U86" s="32" t="str">
        <f>"－"</f>
        <v>－</v>
      </c>
      <c r="V86" s="32" t="n">
        <f>163694400</f>
        <v>1.636944E8</v>
      </c>
      <c r="W86" s="32" t="str">
        <f>"－"</f>
        <v>－</v>
      </c>
      <c r="X86" s="36" t="n">
        <f>10</f>
        <v>10.0</v>
      </c>
    </row>
    <row r="87">
      <c r="A87" s="27" t="s">
        <v>42</v>
      </c>
      <c r="B87" s="27" t="s">
        <v>306</v>
      </c>
      <c r="C87" s="27" t="s">
        <v>307</v>
      </c>
      <c r="D87" s="27" t="s">
        <v>308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15330</f>
        <v>15330.0</v>
      </c>
      <c r="L87" s="34" t="s">
        <v>48</v>
      </c>
      <c r="M87" s="33" t="n">
        <f>16760</f>
        <v>16760.0</v>
      </c>
      <c r="N87" s="34" t="s">
        <v>66</v>
      </c>
      <c r="O87" s="33" t="n">
        <f>15230</f>
        <v>15230.0</v>
      </c>
      <c r="P87" s="34" t="s">
        <v>50</v>
      </c>
      <c r="Q87" s="33" t="n">
        <f>16490</f>
        <v>16490.0</v>
      </c>
      <c r="R87" s="34" t="s">
        <v>51</v>
      </c>
      <c r="S87" s="35" t="n">
        <f>16023.04</f>
        <v>16023.04</v>
      </c>
      <c r="T87" s="32" t="n">
        <f>3760</f>
        <v>3760.0</v>
      </c>
      <c r="U87" s="32" t="n">
        <f>9</f>
        <v>9.0</v>
      </c>
      <c r="V87" s="32" t="n">
        <f>61355460</f>
        <v>6.135546E7</v>
      </c>
      <c r="W87" s="32" t="n">
        <f>145450</f>
        <v>145450.0</v>
      </c>
      <c r="X87" s="36" t="n">
        <f>23</f>
        <v>23.0</v>
      </c>
    </row>
    <row r="88">
      <c r="A88" s="27" t="s">
        <v>42</v>
      </c>
      <c r="B88" s="27" t="s">
        <v>309</v>
      </c>
      <c r="C88" s="27" t="s">
        <v>310</v>
      </c>
      <c r="D88" s="27" t="s">
        <v>311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15360</f>
        <v>15360.0</v>
      </c>
      <c r="L88" s="34" t="s">
        <v>48</v>
      </c>
      <c r="M88" s="33" t="n">
        <f>17130</f>
        <v>17130.0</v>
      </c>
      <c r="N88" s="34" t="s">
        <v>49</v>
      </c>
      <c r="O88" s="33" t="n">
        <f>15150</f>
        <v>15150.0</v>
      </c>
      <c r="P88" s="34" t="s">
        <v>50</v>
      </c>
      <c r="Q88" s="33" t="n">
        <f>16560</f>
        <v>16560.0</v>
      </c>
      <c r="R88" s="34" t="s">
        <v>51</v>
      </c>
      <c r="S88" s="35" t="n">
        <f>16126.52</f>
        <v>16126.52</v>
      </c>
      <c r="T88" s="32" t="n">
        <f>1849</f>
        <v>1849.0</v>
      </c>
      <c r="U88" s="32" t="str">
        <f>"－"</f>
        <v>－</v>
      </c>
      <c r="V88" s="32" t="n">
        <f>30280440</f>
        <v>3.028044E7</v>
      </c>
      <c r="W88" s="32" t="str">
        <f>"－"</f>
        <v>－</v>
      </c>
      <c r="X88" s="36" t="n">
        <f>23</f>
        <v>23.0</v>
      </c>
    </row>
    <row r="89">
      <c r="A89" s="27" t="s">
        <v>42</v>
      </c>
      <c r="B89" s="27" t="s">
        <v>312</v>
      </c>
      <c r="C89" s="27" t="s">
        <v>313</v>
      </c>
      <c r="D89" s="27" t="s">
        <v>314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18800</f>
        <v>18800.0</v>
      </c>
      <c r="L89" s="34" t="s">
        <v>48</v>
      </c>
      <c r="M89" s="33" t="n">
        <f>21080</f>
        <v>21080.0</v>
      </c>
      <c r="N89" s="34" t="s">
        <v>66</v>
      </c>
      <c r="O89" s="33" t="n">
        <f>18750</f>
        <v>18750.0</v>
      </c>
      <c r="P89" s="34" t="s">
        <v>48</v>
      </c>
      <c r="Q89" s="33" t="n">
        <f>20430</f>
        <v>20430.0</v>
      </c>
      <c r="R89" s="34" t="s">
        <v>51</v>
      </c>
      <c r="S89" s="35" t="n">
        <f>20010.87</f>
        <v>20010.87</v>
      </c>
      <c r="T89" s="32" t="n">
        <f>10176</f>
        <v>10176.0</v>
      </c>
      <c r="U89" s="32" t="str">
        <f>"－"</f>
        <v>－</v>
      </c>
      <c r="V89" s="32" t="n">
        <f>209367280</f>
        <v>2.0936728E8</v>
      </c>
      <c r="W89" s="32" t="str">
        <f>"－"</f>
        <v>－</v>
      </c>
      <c r="X89" s="36" t="n">
        <f>23</f>
        <v>23.0</v>
      </c>
    </row>
    <row r="90">
      <c r="A90" s="27" t="s">
        <v>42</v>
      </c>
      <c r="B90" s="27" t="s">
        <v>315</v>
      </c>
      <c r="C90" s="27" t="s">
        <v>316</v>
      </c>
      <c r="D90" s="27" t="s">
        <v>317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10010</f>
        <v>10010.0</v>
      </c>
      <c r="L90" s="34" t="s">
        <v>48</v>
      </c>
      <c r="M90" s="33" t="n">
        <f>10520</f>
        <v>10520.0</v>
      </c>
      <c r="N90" s="34" t="s">
        <v>51</v>
      </c>
      <c r="O90" s="33" t="n">
        <f>9840</f>
        <v>9840.0</v>
      </c>
      <c r="P90" s="34" t="s">
        <v>61</v>
      </c>
      <c r="Q90" s="33" t="n">
        <f>10430</f>
        <v>10430.0</v>
      </c>
      <c r="R90" s="34" t="s">
        <v>51</v>
      </c>
      <c r="S90" s="35" t="n">
        <f>10102.61</f>
        <v>10102.61</v>
      </c>
      <c r="T90" s="32" t="n">
        <f>21840</f>
        <v>21840.0</v>
      </c>
      <c r="U90" s="32" t="n">
        <f>20</f>
        <v>20.0</v>
      </c>
      <c r="V90" s="32" t="n">
        <f>220556200</f>
        <v>2.205562E8</v>
      </c>
      <c r="W90" s="32" t="n">
        <f>198500</f>
        <v>198500.0</v>
      </c>
      <c r="X90" s="36" t="n">
        <f>23</f>
        <v>23.0</v>
      </c>
    </row>
    <row r="91">
      <c r="A91" s="27" t="s">
        <v>42</v>
      </c>
      <c r="B91" s="27" t="s">
        <v>318</v>
      </c>
      <c r="C91" s="27" t="s">
        <v>319</v>
      </c>
      <c r="D91" s="27" t="s">
        <v>320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2572</f>
        <v>2572.0</v>
      </c>
      <c r="L91" s="34" t="s">
        <v>48</v>
      </c>
      <c r="M91" s="33" t="n">
        <f>2576</f>
        <v>2576.0</v>
      </c>
      <c r="N91" s="34" t="s">
        <v>48</v>
      </c>
      <c r="O91" s="33" t="n">
        <f>2498</f>
        <v>2498.0</v>
      </c>
      <c r="P91" s="34" t="s">
        <v>49</v>
      </c>
      <c r="Q91" s="33" t="n">
        <f>2519</f>
        <v>2519.0</v>
      </c>
      <c r="R91" s="34" t="s">
        <v>51</v>
      </c>
      <c r="S91" s="35" t="n">
        <f>2525.04</f>
        <v>2525.04</v>
      </c>
      <c r="T91" s="32" t="n">
        <f>269173</f>
        <v>269173.0</v>
      </c>
      <c r="U91" s="32" t="n">
        <f>120950</f>
        <v>120950.0</v>
      </c>
      <c r="V91" s="32" t="n">
        <f>678078905</f>
        <v>6.78078905E8</v>
      </c>
      <c r="W91" s="32" t="n">
        <f>304182473</f>
        <v>3.04182473E8</v>
      </c>
      <c r="X91" s="36" t="n">
        <f>23</f>
        <v>23.0</v>
      </c>
    </row>
    <row r="92">
      <c r="A92" s="27" t="s">
        <v>42</v>
      </c>
      <c r="B92" s="27" t="s">
        <v>321</v>
      </c>
      <c r="C92" s="27" t="s">
        <v>322</v>
      </c>
      <c r="D92" s="27" t="s">
        <v>323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2349</f>
        <v>2349.0</v>
      </c>
      <c r="L92" s="34" t="s">
        <v>48</v>
      </c>
      <c r="M92" s="33" t="n">
        <f>2365</f>
        <v>2365.0</v>
      </c>
      <c r="N92" s="34" t="s">
        <v>179</v>
      </c>
      <c r="O92" s="33" t="n">
        <f>2328</f>
        <v>2328.0</v>
      </c>
      <c r="P92" s="34" t="s">
        <v>49</v>
      </c>
      <c r="Q92" s="33" t="n">
        <f>2358</f>
        <v>2358.0</v>
      </c>
      <c r="R92" s="34" t="s">
        <v>51</v>
      </c>
      <c r="S92" s="35" t="n">
        <f>2348.65</f>
        <v>2348.65</v>
      </c>
      <c r="T92" s="32" t="n">
        <f>186105</f>
        <v>186105.0</v>
      </c>
      <c r="U92" s="32" t="n">
        <f>156</f>
        <v>156.0</v>
      </c>
      <c r="V92" s="32" t="n">
        <f>436643827</f>
        <v>4.36643827E8</v>
      </c>
      <c r="W92" s="32" t="n">
        <f>339376</f>
        <v>339376.0</v>
      </c>
      <c r="X92" s="36" t="n">
        <f>23</f>
        <v>23.0</v>
      </c>
    </row>
    <row r="93">
      <c r="A93" s="27" t="s">
        <v>42</v>
      </c>
      <c r="B93" s="27" t="s">
        <v>324</v>
      </c>
      <c r="C93" s="27" t="s">
        <v>325</v>
      </c>
      <c r="D93" s="27" t="s">
        <v>326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14280</f>
        <v>14280.0</v>
      </c>
      <c r="L93" s="34" t="s">
        <v>48</v>
      </c>
      <c r="M93" s="33" t="n">
        <f>15480</f>
        <v>15480.0</v>
      </c>
      <c r="N93" s="34" t="s">
        <v>70</v>
      </c>
      <c r="O93" s="33" t="n">
        <f>14010</f>
        <v>14010.0</v>
      </c>
      <c r="P93" s="34" t="s">
        <v>50</v>
      </c>
      <c r="Q93" s="33" t="n">
        <f>14940</f>
        <v>14940.0</v>
      </c>
      <c r="R93" s="34" t="s">
        <v>51</v>
      </c>
      <c r="S93" s="35" t="n">
        <f>14663.04</f>
        <v>14663.04</v>
      </c>
      <c r="T93" s="32" t="n">
        <f>4615</f>
        <v>4615.0</v>
      </c>
      <c r="U93" s="32" t="str">
        <f>"－"</f>
        <v>－</v>
      </c>
      <c r="V93" s="32" t="n">
        <f>67881830</f>
        <v>6.788183E7</v>
      </c>
      <c r="W93" s="32" t="str">
        <f>"－"</f>
        <v>－</v>
      </c>
      <c r="X93" s="36" t="n">
        <f>23</f>
        <v>23.0</v>
      </c>
    </row>
    <row r="94">
      <c r="A94" s="27" t="s">
        <v>42</v>
      </c>
      <c r="B94" s="27" t="s">
        <v>327</v>
      </c>
      <c r="C94" s="27" t="s">
        <v>328</v>
      </c>
      <c r="D94" s="27" t="s">
        <v>329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7930</f>
        <v>7930.0</v>
      </c>
      <c r="L94" s="34" t="s">
        <v>48</v>
      </c>
      <c r="M94" s="33" t="n">
        <f>8720</f>
        <v>8720.0</v>
      </c>
      <c r="N94" s="34" t="s">
        <v>171</v>
      </c>
      <c r="O94" s="33" t="n">
        <f>7850</f>
        <v>7850.0</v>
      </c>
      <c r="P94" s="34" t="s">
        <v>50</v>
      </c>
      <c r="Q94" s="33" t="n">
        <f>8220</f>
        <v>8220.0</v>
      </c>
      <c r="R94" s="34" t="s">
        <v>51</v>
      </c>
      <c r="S94" s="35" t="n">
        <f>8124.78</f>
        <v>8124.78</v>
      </c>
      <c r="T94" s="32" t="n">
        <f>7370</f>
        <v>7370.0</v>
      </c>
      <c r="U94" s="32" t="n">
        <f>2</f>
        <v>2.0</v>
      </c>
      <c r="V94" s="32" t="n">
        <f>59868730</f>
        <v>5.986873E7</v>
      </c>
      <c r="W94" s="32" t="n">
        <f>16680</f>
        <v>16680.0</v>
      </c>
      <c r="X94" s="36" t="n">
        <f>23</f>
        <v>23.0</v>
      </c>
    </row>
    <row r="95">
      <c r="A95" s="27" t="s">
        <v>42</v>
      </c>
      <c r="B95" s="27" t="s">
        <v>330</v>
      </c>
      <c r="C95" s="27" t="s">
        <v>331</v>
      </c>
      <c r="D95" s="27" t="s">
        <v>332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5740</f>
        <v>5740.0</v>
      </c>
      <c r="L95" s="34" t="s">
        <v>48</v>
      </c>
      <c r="M95" s="33" t="n">
        <f>5920</f>
        <v>5920.0</v>
      </c>
      <c r="N95" s="34" t="s">
        <v>82</v>
      </c>
      <c r="O95" s="33" t="n">
        <f>5630</f>
        <v>5630.0</v>
      </c>
      <c r="P95" s="34" t="s">
        <v>50</v>
      </c>
      <c r="Q95" s="33" t="n">
        <f>5770</f>
        <v>5770.0</v>
      </c>
      <c r="R95" s="34" t="s">
        <v>51</v>
      </c>
      <c r="S95" s="35" t="n">
        <f>5795.22</f>
        <v>5795.22</v>
      </c>
      <c r="T95" s="32" t="n">
        <f>3610786</f>
        <v>3610786.0</v>
      </c>
      <c r="U95" s="32" t="n">
        <f>8399</f>
        <v>8399.0</v>
      </c>
      <c r="V95" s="32" t="n">
        <f>20856730084</f>
        <v>2.0856730084E10</v>
      </c>
      <c r="W95" s="32" t="n">
        <f>48434814</f>
        <v>4.8434814E7</v>
      </c>
      <c r="X95" s="36" t="n">
        <f>23</f>
        <v>23.0</v>
      </c>
    </row>
    <row r="96">
      <c r="A96" s="27" t="s">
        <v>42</v>
      </c>
      <c r="B96" s="27" t="s">
        <v>333</v>
      </c>
      <c r="C96" s="27" t="s">
        <v>334</v>
      </c>
      <c r="D96" s="27" t="s">
        <v>335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3805</f>
        <v>3805.0</v>
      </c>
      <c r="L96" s="34" t="s">
        <v>48</v>
      </c>
      <c r="M96" s="33" t="n">
        <f>4010</f>
        <v>4010.0</v>
      </c>
      <c r="N96" s="34" t="s">
        <v>82</v>
      </c>
      <c r="O96" s="33" t="n">
        <f>3580</f>
        <v>3580.0</v>
      </c>
      <c r="P96" s="34" t="s">
        <v>50</v>
      </c>
      <c r="Q96" s="33" t="n">
        <f>3845</f>
        <v>3845.0</v>
      </c>
      <c r="R96" s="34" t="s">
        <v>51</v>
      </c>
      <c r="S96" s="35" t="n">
        <f>3843.04</f>
        <v>3843.04</v>
      </c>
      <c r="T96" s="32" t="n">
        <f>1742697</f>
        <v>1742697.0</v>
      </c>
      <c r="U96" s="32" t="n">
        <f>10016</f>
        <v>10016.0</v>
      </c>
      <c r="V96" s="32" t="n">
        <f>6657293625</f>
        <v>6.657293625E9</v>
      </c>
      <c r="W96" s="32" t="n">
        <f>38474820</f>
        <v>3.847482E7</v>
      </c>
      <c r="X96" s="36" t="n">
        <f>23</f>
        <v>23.0</v>
      </c>
    </row>
    <row r="97">
      <c r="A97" s="27" t="s">
        <v>42</v>
      </c>
      <c r="B97" s="27" t="s">
        <v>336</v>
      </c>
      <c r="C97" s="27" t="s">
        <v>337</v>
      </c>
      <c r="D97" s="27" t="s">
        <v>338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1.0</v>
      </c>
      <c r="K97" s="33" t="n">
        <f>8790</f>
        <v>8790.0</v>
      </c>
      <c r="L97" s="34" t="s">
        <v>48</v>
      </c>
      <c r="M97" s="33" t="n">
        <f>8820</f>
        <v>8820.0</v>
      </c>
      <c r="N97" s="34" t="s">
        <v>82</v>
      </c>
      <c r="O97" s="33" t="n">
        <f>8040</f>
        <v>8040.0</v>
      </c>
      <c r="P97" s="34" t="s">
        <v>51</v>
      </c>
      <c r="Q97" s="33" t="n">
        <f>8100</f>
        <v>8100.0</v>
      </c>
      <c r="R97" s="34" t="s">
        <v>51</v>
      </c>
      <c r="S97" s="35" t="n">
        <f>8492.61</f>
        <v>8492.61</v>
      </c>
      <c r="T97" s="32" t="n">
        <f>454498</f>
        <v>454498.0</v>
      </c>
      <c r="U97" s="32" t="n">
        <f>2</f>
        <v>2.0</v>
      </c>
      <c r="V97" s="32" t="n">
        <f>3870965955</f>
        <v>3.870965955E9</v>
      </c>
      <c r="W97" s="32" t="n">
        <f>16995</f>
        <v>16995.0</v>
      </c>
      <c r="X97" s="36" t="n">
        <f>23</f>
        <v>23.0</v>
      </c>
    </row>
    <row r="98">
      <c r="A98" s="27" t="s">
        <v>42</v>
      </c>
      <c r="B98" s="27" t="s">
        <v>339</v>
      </c>
      <c r="C98" s="27" t="s">
        <v>340</v>
      </c>
      <c r="D98" s="27" t="s">
        <v>341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1.0</v>
      </c>
      <c r="K98" s="33" t="n">
        <f>70100</f>
        <v>70100.0</v>
      </c>
      <c r="L98" s="34" t="s">
        <v>48</v>
      </c>
      <c r="M98" s="33" t="n">
        <f>88700</f>
        <v>88700.0</v>
      </c>
      <c r="N98" s="34" t="s">
        <v>149</v>
      </c>
      <c r="O98" s="33" t="n">
        <f>69900</f>
        <v>69900.0</v>
      </c>
      <c r="P98" s="34" t="s">
        <v>179</v>
      </c>
      <c r="Q98" s="33" t="n">
        <f>85500</f>
        <v>85500.0</v>
      </c>
      <c r="R98" s="34" t="s">
        <v>51</v>
      </c>
      <c r="S98" s="35" t="n">
        <f>76986.96</f>
        <v>76986.96</v>
      </c>
      <c r="T98" s="32" t="n">
        <f>8218</f>
        <v>8218.0</v>
      </c>
      <c r="U98" s="32" t="n">
        <f>2</f>
        <v>2.0</v>
      </c>
      <c r="V98" s="32" t="n">
        <f>662675600</f>
        <v>6.626756E8</v>
      </c>
      <c r="W98" s="32" t="n">
        <f>165400</f>
        <v>165400.0</v>
      </c>
      <c r="X98" s="36" t="n">
        <f>23</f>
        <v>23.0</v>
      </c>
    </row>
    <row r="99">
      <c r="A99" s="27" t="s">
        <v>42</v>
      </c>
      <c r="B99" s="27" t="s">
        <v>342</v>
      </c>
      <c r="C99" s="27" t="s">
        <v>343</v>
      </c>
      <c r="D99" s="27" t="s">
        <v>344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1.0</v>
      </c>
      <c r="K99" s="33" t="n">
        <f>14030</f>
        <v>14030.0</v>
      </c>
      <c r="L99" s="34" t="s">
        <v>48</v>
      </c>
      <c r="M99" s="33" t="n">
        <f>14670</f>
        <v>14670.0</v>
      </c>
      <c r="N99" s="34" t="s">
        <v>82</v>
      </c>
      <c r="O99" s="33" t="n">
        <f>13460</f>
        <v>13460.0</v>
      </c>
      <c r="P99" s="34" t="s">
        <v>50</v>
      </c>
      <c r="Q99" s="33" t="n">
        <f>14480</f>
        <v>14480.0</v>
      </c>
      <c r="R99" s="34" t="s">
        <v>51</v>
      </c>
      <c r="S99" s="35" t="n">
        <f>14200</f>
        <v>14200.0</v>
      </c>
      <c r="T99" s="32" t="n">
        <f>2321864</f>
        <v>2321864.0</v>
      </c>
      <c r="U99" s="32" t="n">
        <f>22621</f>
        <v>22621.0</v>
      </c>
      <c r="V99" s="32" t="n">
        <f>32768181284</f>
        <v>3.2768181284E10</v>
      </c>
      <c r="W99" s="32" t="n">
        <f>312723164</f>
        <v>3.12723164E8</v>
      </c>
      <c r="X99" s="36" t="n">
        <f>23</f>
        <v>23.0</v>
      </c>
    </row>
    <row r="100">
      <c r="A100" s="27" t="s">
        <v>42</v>
      </c>
      <c r="B100" s="27" t="s">
        <v>345</v>
      </c>
      <c r="C100" s="27" t="s">
        <v>346</v>
      </c>
      <c r="D100" s="27" t="s">
        <v>347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32400</f>
        <v>32400.0</v>
      </c>
      <c r="L100" s="34" t="s">
        <v>48</v>
      </c>
      <c r="M100" s="33" t="n">
        <f>35850</f>
        <v>35850.0</v>
      </c>
      <c r="N100" s="34" t="s">
        <v>51</v>
      </c>
      <c r="O100" s="33" t="n">
        <f>32300</f>
        <v>32300.0</v>
      </c>
      <c r="P100" s="34" t="s">
        <v>50</v>
      </c>
      <c r="Q100" s="33" t="n">
        <f>35800</f>
        <v>35800.0</v>
      </c>
      <c r="R100" s="34" t="s">
        <v>51</v>
      </c>
      <c r="S100" s="35" t="n">
        <f>34300</f>
        <v>34300.0</v>
      </c>
      <c r="T100" s="32" t="n">
        <f>178546</f>
        <v>178546.0</v>
      </c>
      <c r="U100" s="32" t="str">
        <f>"－"</f>
        <v>－</v>
      </c>
      <c r="V100" s="32" t="n">
        <f>6131542100</f>
        <v>6.1315421E9</v>
      </c>
      <c r="W100" s="32" t="str">
        <f>"－"</f>
        <v>－</v>
      </c>
      <c r="X100" s="36" t="n">
        <f>23</f>
        <v>23.0</v>
      </c>
    </row>
    <row r="101">
      <c r="A101" s="27" t="s">
        <v>42</v>
      </c>
      <c r="B101" s="27" t="s">
        <v>348</v>
      </c>
      <c r="C101" s="27" t="s">
        <v>349</v>
      </c>
      <c r="D101" s="27" t="s">
        <v>350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4420</f>
        <v>4420.0</v>
      </c>
      <c r="L101" s="34" t="s">
        <v>48</v>
      </c>
      <c r="M101" s="33" t="n">
        <f>4760</f>
        <v>4760.0</v>
      </c>
      <c r="N101" s="34" t="s">
        <v>51</v>
      </c>
      <c r="O101" s="33" t="n">
        <f>4365</f>
        <v>4365.0</v>
      </c>
      <c r="P101" s="34" t="s">
        <v>50</v>
      </c>
      <c r="Q101" s="33" t="n">
        <f>4750</f>
        <v>4750.0</v>
      </c>
      <c r="R101" s="34" t="s">
        <v>51</v>
      </c>
      <c r="S101" s="35" t="n">
        <f>4598.7</f>
        <v>4598.7</v>
      </c>
      <c r="T101" s="32" t="n">
        <f>1015950</f>
        <v>1015950.0</v>
      </c>
      <c r="U101" s="32" t="n">
        <f>16000</f>
        <v>16000.0</v>
      </c>
      <c r="V101" s="32" t="n">
        <f>4671224167</f>
        <v>4.671224167E9</v>
      </c>
      <c r="W101" s="32" t="n">
        <f>71930317</f>
        <v>7.1930317E7</v>
      </c>
      <c r="X101" s="36" t="n">
        <f>23</f>
        <v>23.0</v>
      </c>
    </row>
    <row r="102">
      <c r="A102" s="27" t="s">
        <v>42</v>
      </c>
      <c r="B102" s="27" t="s">
        <v>351</v>
      </c>
      <c r="C102" s="27" t="s">
        <v>352</v>
      </c>
      <c r="D102" s="27" t="s">
        <v>353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2960</f>
        <v>2960.0</v>
      </c>
      <c r="L102" s="34" t="s">
        <v>48</v>
      </c>
      <c r="M102" s="33" t="n">
        <f>3175</f>
        <v>3175.0</v>
      </c>
      <c r="N102" s="34" t="s">
        <v>51</v>
      </c>
      <c r="O102" s="33" t="n">
        <f>2940</f>
        <v>2940.0</v>
      </c>
      <c r="P102" s="34" t="s">
        <v>50</v>
      </c>
      <c r="Q102" s="33" t="n">
        <f>3165</f>
        <v>3165.0</v>
      </c>
      <c r="R102" s="34" t="s">
        <v>51</v>
      </c>
      <c r="S102" s="35" t="n">
        <f>3076.13</f>
        <v>3076.13</v>
      </c>
      <c r="T102" s="32" t="n">
        <f>225340</f>
        <v>225340.0</v>
      </c>
      <c r="U102" s="32" t="n">
        <f>112960</f>
        <v>112960.0</v>
      </c>
      <c r="V102" s="32" t="n">
        <f>697214500</f>
        <v>6.972145E8</v>
      </c>
      <c r="W102" s="32" t="n">
        <f>351880490</f>
        <v>3.5188049E8</v>
      </c>
      <c r="X102" s="36" t="n">
        <f>23</f>
        <v>23.0</v>
      </c>
    </row>
    <row r="103">
      <c r="A103" s="27" t="s">
        <v>42</v>
      </c>
      <c r="B103" s="27" t="s">
        <v>354</v>
      </c>
      <c r="C103" s="27" t="s">
        <v>355</v>
      </c>
      <c r="D103" s="27" t="s">
        <v>356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10.0</v>
      </c>
      <c r="K103" s="33" t="n">
        <f>5100</f>
        <v>5100.0</v>
      </c>
      <c r="L103" s="34" t="s">
        <v>48</v>
      </c>
      <c r="M103" s="33" t="n">
        <f>5420</f>
        <v>5420.0</v>
      </c>
      <c r="N103" s="34" t="s">
        <v>51</v>
      </c>
      <c r="O103" s="33" t="n">
        <f>4855</f>
        <v>4855.0</v>
      </c>
      <c r="P103" s="34" t="s">
        <v>75</v>
      </c>
      <c r="Q103" s="33" t="n">
        <f>5410</f>
        <v>5410.0</v>
      </c>
      <c r="R103" s="34" t="s">
        <v>51</v>
      </c>
      <c r="S103" s="35" t="n">
        <f>5121.96</f>
        <v>5121.96</v>
      </c>
      <c r="T103" s="32" t="n">
        <f>26190</f>
        <v>26190.0</v>
      </c>
      <c r="U103" s="32" t="str">
        <f>"－"</f>
        <v>－</v>
      </c>
      <c r="V103" s="32" t="n">
        <f>135588450</f>
        <v>1.3558845E8</v>
      </c>
      <c r="W103" s="32" t="str">
        <f>"－"</f>
        <v>－</v>
      </c>
      <c r="X103" s="36" t="n">
        <f>23</f>
        <v>23.0</v>
      </c>
    </row>
    <row r="104">
      <c r="A104" s="27" t="s">
        <v>42</v>
      </c>
      <c r="B104" s="27" t="s">
        <v>357</v>
      </c>
      <c r="C104" s="27" t="s">
        <v>358</v>
      </c>
      <c r="D104" s="27" t="s">
        <v>359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5310</f>
        <v>5310.0</v>
      </c>
      <c r="L104" s="34" t="s">
        <v>48</v>
      </c>
      <c r="M104" s="33" t="n">
        <f>5770</f>
        <v>5770.0</v>
      </c>
      <c r="N104" s="34" t="s">
        <v>50</v>
      </c>
      <c r="O104" s="33" t="n">
        <f>4090</f>
        <v>4090.0</v>
      </c>
      <c r="P104" s="34" t="s">
        <v>51</v>
      </c>
      <c r="Q104" s="33" t="n">
        <f>4135</f>
        <v>4135.0</v>
      </c>
      <c r="R104" s="34" t="s">
        <v>51</v>
      </c>
      <c r="S104" s="35" t="n">
        <f>4772.39</f>
        <v>4772.39</v>
      </c>
      <c r="T104" s="32" t="n">
        <f>26184595</f>
        <v>2.6184595E7</v>
      </c>
      <c r="U104" s="32" t="n">
        <f>514932</f>
        <v>514932.0</v>
      </c>
      <c r="V104" s="32" t="n">
        <f>125520194615</f>
        <v>1.25520194615E11</v>
      </c>
      <c r="W104" s="32" t="n">
        <f>2426700555</f>
        <v>2.426700555E9</v>
      </c>
      <c r="X104" s="36" t="n">
        <f>23</f>
        <v>23.0</v>
      </c>
    </row>
    <row r="105">
      <c r="A105" s="27" t="s">
        <v>42</v>
      </c>
      <c r="B105" s="27" t="s">
        <v>360</v>
      </c>
      <c r="C105" s="27" t="s">
        <v>361</v>
      </c>
      <c r="D105" s="27" t="s">
        <v>362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2581</f>
        <v>2581.0</v>
      </c>
      <c r="L105" s="34" t="s">
        <v>48</v>
      </c>
      <c r="M105" s="33" t="n">
        <f>2742</f>
        <v>2742.0</v>
      </c>
      <c r="N105" s="34" t="s">
        <v>51</v>
      </c>
      <c r="O105" s="33" t="n">
        <f>2551</f>
        <v>2551.0</v>
      </c>
      <c r="P105" s="34" t="s">
        <v>50</v>
      </c>
      <c r="Q105" s="33" t="n">
        <f>2733</f>
        <v>2733.0</v>
      </c>
      <c r="R105" s="34" t="s">
        <v>51</v>
      </c>
      <c r="S105" s="35" t="n">
        <f>2667.78</f>
        <v>2667.78</v>
      </c>
      <c r="T105" s="32" t="n">
        <f>82640</f>
        <v>82640.0</v>
      </c>
      <c r="U105" s="32" t="str">
        <f>"－"</f>
        <v>－</v>
      </c>
      <c r="V105" s="32" t="n">
        <f>220770910</f>
        <v>2.2077091E8</v>
      </c>
      <c r="W105" s="32" t="str">
        <f>"－"</f>
        <v>－</v>
      </c>
      <c r="X105" s="36" t="n">
        <f>23</f>
        <v>23.0</v>
      </c>
    </row>
    <row r="106">
      <c r="A106" s="27" t="s">
        <v>42</v>
      </c>
      <c r="B106" s="27" t="s">
        <v>363</v>
      </c>
      <c r="C106" s="27" t="s">
        <v>364</v>
      </c>
      <c r="D106" s="27" t="s">
        <v>365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1506</f>
        <v>1506.0</v>
      </c>
      <c r="L106" s="34" t="s">
        <v>48</v>
      </c>
      <c r="M106" s="33" t="n">
        <f>1602</f>
        <v>1602.0</v>
      </c>
      <c r="N106" s="34" t="s">
        <v>51</v>
      </c>
      <c r="O106" s="33" t="n">
        <f>1502</f>
        <v>1502.0</v>
      </c>
      <c r="P106" s="34" t="s">
        <v>366</v>
      </c>
      <c r="Q106" s="33" t="n">
        <f>1597</f>
        <v>1597.0</v>
      </c>
      <c r="R106" s="34" t="s">
        <v>51</v>
      </c>
      <c r="S106" s="35" t="n">
        <f>1550.52</f>
        <v>1550.52</v>
      </c>
      <c r="T106" s="32" t="n">
        <f>195410</f>
        <v>195410.0</v>
      </c>
      <c r="U106" s="32" t="n">
        <f>40</f>
        <v>40.0</v>
      </c>
      <c r="V106" s="32" t="n">
        <f>303090170</f>
        <v>3.0309017E8</v>
      </c>
      <c r="W106" s="32" t="n">
        <f>56440</f>
        <v>56440.0</v>
      </c>
      <c r="X106" s="36" t="n">
        <f>23</f>
        <v>23.0</v>
      </c>
    </row>
    <row r="107">
      <c r="A107" s="27" t="s">
        <v>42</v>
      </c>
      <c r="B107" s="27" t="s">
        <v>367</v>
      </c>
      <c r="C107" s="27" t="s">
        <v>368</v>
      </c>
      <c r="D107" s="27" t="s">
        <v>369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40850</f>
        <v>40850.0</v>
      </c>
      <c r="L107" s="34" t="s">
        <v>48</v>
      </c>
      <c r="M107" s="33" t="n">
        <f>43800</f>
        <v>43800.0</v>
      </c>
      <c r="N107" s="34" t="s">
        <v>51</v>
      </c>
      <c r="O107" s="33" t="n">
        <f>40200</f>
        <v>40200.0</v>
      </c>
      <c r="P107" s="34" t="s">
        <v>50</v>
      </c>
      <c r="Q107" s="33" t="n">
        <f>43750</f>
        <v>43750.0</v>
      </c>
      <c r="R107" s="34" t="s">
        <v>51</v>
      </c>
      <c r="S107" s="35" t="n">
        <f>42363.04</f>
        <v>42363.04</v>
      </c>
      <c r="T107" s="32" t="n">
        <f>210514</f>
        <v>210514.0</v>
      </c>
      <c r="U107" s="32" t="n">
        <f>33000</f>
        <v>33000.0</v>
      </c>
      <c r="V107" s="32" t="n">
        <f>8925824728</f>
        <v>8.925824728E9</v>
      </c>
      <c r="W107" s="32" t="n">
        <f>1430163228</f>
        <v>1.430163228E9</v>
      </c>
      <c r="X107" s="36" t="n">
        <f>23</f>
        <v>23.0</v>
      </c>
    </row>
    <row r="108">
      <c r="A108" s="27" t="s">
        <v>42</v>
      </c>
      <c r="B108" s="27" t="s">
        <v>370</v>
      </c>
      <c r="C108" s="27" t="s">
        <v>371</v>
      </c>
      <c r="D108" s="27" t="s">
        <v>372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3025</f>
        <v>3025.0</v>
      </c>
      <c r="L108" s="34" t="s">
        <v>48</v>
      </c>
      <c r="M108" s="33" t="n">
        <f>3175</f>
        <v>3175.0</v>
      </c>
      <c r="N108" s="34" t="s">
        <v>74</v>
      </c>
      <c r="O108" s="33" t="n">
        <f>2970</f>
        <v>2970.0</v>
      </c>
      <c r="P108" s="34" t="s">
        <v>48</v>
      </c>
      <c r="Q108" s="33" t="n">
        <f>3075</f>
        <v>3075.0</v>
      </c>
      <c r="R108" s="34" t="s">
        <v>51</v>
      </c>
      <c r="S108" s="35" t="n">
        <f>3077.91</f>
        <v>3077.91</v>
      </c>
      <c r="T108" s="32" t="n">
        <f>12586</f>
        <v>12586.0</v>
      </c>
      <c r="U108" s="32" t="str">
        <f>"－"</f>
        <v>－</v>
      </c>
      <c r="V108" s="32" t="n">
        <f>38795703</f>
        <v>3.8795703E7</v>
      </c>
      <c r="W108" s="32" t="str">
        <f>"－"</f>
        <v>－</v>
      </c>
      <c r="X108" s="36" t="n">
        <f>23</f>
        <v>23.0</v>
      </c>
    </row>
    <row r="109">
      <c r="A109" s="27" t="s">
        <v>42</v>
      </c>
      <c r="B109" s="27" t="s">
        <v>373</v>
      </c>
      <c r="C109" s="27" t="s">
        <v>374</v>
      </c>
      <c r="D109" s="27" t="s">
        <v>375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4080</f>
        <v>4080.0</v>
      </c>
      <c r="L109" s="34" t="s">
        <v>48</v>
      </c>
      <c r="M109" s="33" t="n">
        <f>4295</f>
        <v>4295.0</v>
      </c>
      <c r="N109" s="34" t="s">
        <v>82</v>
      </c>
      <c r="O109" s="33" t="n">
        <f>4060</f>
        <v>4060.0</v>
      </c>
      <c r="P109" s="34" t="s">
        <v>179</v>
      </c>
      <c r="Q109" s="33" t="n">
        <f>4160</f>
        <v>4160.0</v>
      </c>
      <c r="R109" s="34" t="s">
        <v>51</v>
      </c>
      <c r="S109" s="35" t="n">
        <f>4185</f>
        <v>4185.0</v>
      </c>
      <c r="T109" s="32" t="n">
        <f>6852</f>
        <v>6852.0</v>
      </c>
      <c r="U109" s="32" t="str">
        <f>"－"</f>
        <v>－</v>
      </c>
      <c r="V109" s="32" t="n">
        <f>28619635</f>
        <v>2.8619635E7</v>
      </c>
      <c r="W109" s="32" t="str">
        <f>"－"</f>
        <v>－</v>
      </c>
      <c r="X109" s="36" t="n">
        <f>23</f>
        <v>23.0</v>
      </c>
    </row>
    <row r="110">
      <c r="A110" s="27" t="s">
        <v>42</v>
      </c>
      <c r="B110" s="27" t="s">
        <v>376</v>
      </c>
      <c r="C110" s="27" t="s">
        <v>377</v>
      </c>
      <c r="D110" s="27" t="s">
        <v>378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3380</f>
        <v>3380.0</v>
      </c>
      <c r="L110" s="34" t="s">
        <v>48</v>
      </c>
      <c r="M110" s="33" t="n">
        <f>3750</f>
        <v>3750.0</v>
      </c>
      <c r="N110" s="34" t="s">
        <v>82</v>
      </c>
      <c r="O110" s="33" t="n">
        <f>3225</f>
        <v>3225.0</v>
      </c>
      <c r="P110" s="34" t="s">
        <v>75</v>
      </c>
      <c r="Q110" s="33" t="n">
        <f>3645</f>
        <v>3645.0</v>
      </c>
      <c r="R110" s="34" t="s">
        <v>51</v>
      </c>
      <c r="S110" s="35" t="n">
        <f>3503.26</f>
        <v>3503.26</v>
      </c>
      <c r="T110" s="32" t="n">
        <f>298036</f>
        <v>298036.0</v>
      </c>
      <c r="U110" s="32" t="str">
        <f>"－"</f>
        <v>－</v>
      </c>
      <c r="V110" s="32" t="n">
        <f>1058916830</f>
        <v>1.05891683E9</v>
      </c>
      <c r="W110" s="32" t="str">
        <f>"－"</f>
        <v>－</v>
      </c>
      <c r="X110" s="36" t="n">
        <f>23</f>
        <v>23.0</v>
      </c>
    </row>
    <row r="111">
      <c r="A111" s="27" t="s">
        <v>42</v>
      </c>
      <c r="B111" s="27" t="s">
        <v>379</v>
      </c>
      <c r="C111" s="27" t="s">
        <v>380</v>
      </c>
      <c r="D111" s="27" t="s">
        <v>381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44400</f>
        <v>44400.0</v>
      </c>
      <c r="L111" s="34" t="s">
        <v>48</v>
      </c>
      <c r="M111" s="33" t="n">
        <f>44600</f>
        <v>44600.0</v>
      </c>
      <c r="N111" s="34" t="s">
        <v>179</v>
      </c>
      <c r="O111" s="33" t="n">
        <f>43500</f>
        <v>43500.0</v>
      </c>
      <c r="P111" s="34" t="s">
        <v>62</v>
      </c>
      <c r="Q111" s="33" t="n">
        <f>43900</f>
        <v>43900.0</v>
      </c>
      <c r="R111" s="34" t="s">
        <v>51</v>
      </c>
      <c r="S111" s="35" t="n">
        <f>44106.52</f>
        <v>44106.52</v>
      </c>
      <c r="T111" s="32" t="n">
        <f>34896</f>
        <v>34896.0</v>
      </c>
      <c r="U111" s="32" t="n">
        <f>9</f>
        <v>9.0</v>
      </c>
      <c r="V111" s="32" t="n">
        <f>1537700450</f>
        <v>1.53770045E9</v>
      </c>
      <c r="W111" s="32" t="n">
        <f>368650</f>
        <v>368650.0</v>
      </c>
      <c r="X111" s="36" t="n">
        <f>23</f>
        <v>23.0</v>
      </c>
    </row>
    <row r="112">
      <c r="A112" s="27" t="s">
        <v>42</v>
      </c>
      <c r="B112" s="27" t="s">
        <v>382</v>
      </c>
      <c r="C112" s="27" t="s">
        <v>383</v>
      </c>
      <c r="D112" s="27" t="s">
        <v>384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n">
        <f>1296</f>
        <v>1296.0</v>
      </c>
      <c r="L112" s="34" t="s">
        <v>48</v>
      </c>
      <c r="M112" s="33" t="n">
        <f>1297</f>
        <v>1297.0</v>
      </c>
      <c r="N112" s="34" t="s">
        <v>48</v>
      </c>
      <c r="O112" s="33" t="n">
        <f>1156</f>
        <v>1156.0</v>
      </c>
      <c r="P112" s="34" t="s">
        <v>61</v>
      </c>
      <c r="Q112" s="33" t="n">
        <f>1293</f>
        <v>1293.0</v>
      </c>
      <c r="R112" s="34" t="s">
        <v>191</v>
      </c>
      <c r="S112" s="35" t="n">
        <f>1222.22</f>
        <v>1222.22</v>
      </c>
      <c r="T112" s="32" t="n">
        <f>1180</f>
        <v>1180.0</v>
      </c>
      <c r="U112" s="32" t="n">
        <f>20</f>
        <v>20.0</v>
      </c>
      <c r="V112" s="32" t="n">
        <f>1454550</f>
        <v>1454550.0</v>
      </c>
      <c r="W112" s="32" t="n">
        <f>23360</f>
        <v>23360.0</v>
      </c>
      <c r="X112" s="36" t="n">
        <f>9</f>
        <v>9.0</v>
      </c>
    </row>
    <row r="113">
      <c r="A113" s="27" t="s">
        <v>42</v>
      </c>
      <c r="B113" s="27" t="s">
        <v>385</v>
      </c>
      <c r="C113" s="27" t="s">
        <v>386</v>
      </c>
      <c r="D113" s="27" t="s">
        <v>387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22420</f>
        <v>22420.0</v>
      </c>
      <c r="L113" s="34" t="s">
        <v>48</v>
      </c>
      <c r="M113" s="33" t="n">
        <f>25810</f>
        <v>25810.0</v>
      </c>
      <c r="N113" s="34" t="s">
        <v>49</v>
      </c>
      <c r="O113" s="33" t="n">
        <f>21650</f>
        <v>21650.0</v>
      </c>
      <c r="P113" s="34" t="s">
        <v>50</v>
      </c>
      <c r="Q113" s="33" t="n">
        <f>24290</f>
        <v>24290.0</v>
      </c>
      <c r="R113" s="34" t="s">
        <v>51</v>
      </c>
      <c r="S113" s="35" t="n">
        <f>23815.65</f>
        <v>23815.65</v>
      </c>
      <c r="T113" s="32" t="n">
        <f>4955850</f>
        <v>4955850.0</v>
      </c>
      <c r="U113" s="32" t="n">
        <f>31220</f>
        <v>31220.0</v>
      </c>
      <c r="V113" s="32" t="n">
        <f>119165294500</f>
        <v>1.191652945E11</v>
      </c>
      <c r="W113" s="32" t="n">
        <f>763807600</f>
        <v>7.638076E8</v>
      </c>
      <c r="X113" s="36" t="n">
        <f>23</f>
        <v>23.0</v>
      </c>
    </row>
    <row r="114">
      <c r="A114" s="27" t="s">
        <v>42</v>
      </c>
      <c r="B114" s="27" t="s">
        <v>388</v>
      </c>
      <c r="C114" s="27" t="s">
        <v>389</v>
      </c>
      <c r="D114" s="27" t="s">
        <v>390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10.0</v>
      </c>
      <c r="K114" s="33" t="n">
        <f>2343</f>
        <v>2343.0</v>
      </c>
      <c r="L114" s="34" t="s">
        <v>48</v>
      </c>
      <c r="M114" s="33" t="n">
        <f>2381</f>
        <v>2381.0</v>
      </c>
      <c r="N114" s="34" t="s">
        <v>50</v>
      </c>
      <c r="O114" s="33" t="n">
        <f>2194</f>
        <v>2194.0</v>
      </c>
      <c r="P114" s="34" t="s">
        <v>49</v>
      </c>
      <c r="Q114" s="33" t="n">
        <f>2240</f>
        <v>2240.0</v>
      </c>
      <c r="R114" s="34" t="s">
        <v>51</v>
      </c>
      <c r="S114" s="35" t="n">
        <f>2271.48</f>
        <v>2271.48</v>
      </c>
      <c r="T114" s="32" t="n">
        <f>527680</f>
        <v>527680.0</v>
      </c>
      <c r="U114" s="32" t="n">
        <f>8180</f>
        <v>8180.0</v>
      </c>
      <c r="V114" s="32" t="n">
        <f>1198448550</f>
        <v>1.19844855E9</v>
      </c>
      <c r="W114" s="32" t="n">
        <f>18561880</f>
        <v>1.856188E7</v>
      </c>
      <c r="X114" s="36" t="n">
        <f>23</f>
        <v>23.0</v>
      </c>
    </row>
    <row r="115">
      <c r="A115" s="27" t="s">
        <v>42</v>
      </c>
      <c r="B115" s="27" t="s">
        <v>391</v>
      </c>
      <c r="C115" s="27" t="s">
        <v>392</v>
      </c>
      <c r="D115" s="27" t="s">
        <v>393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33250</f>
        <v>33250.0</v>
      </c>
      <c r="L115" s="34" t="s">
        <v>48</v>
      </c>
      <c r="M115" s="33" t="n">
        <f>35350</f>
        <v>35350.0</v>
      </c>
      <c r="N115" s="34" t="s">
        <v>82</v>
      </c>
      <c r="O115" s="33" t="n">
        <f>30400</f>
        <v>30400.0</v>
      </c>
      <c r="P115" s="34" t="s">
        <v>50</v>
      </c>
      <c r="Q115" s="33" t="n">
        <f>32750</f>
        <v>32750.0</v>
      </c>
      <c r="R115" s="34" t="s">
        <v>51</v>
      </c>
      <c r="S115" s="35" t="n">
        <f>32682.61</f>
        <v>32682.61</v>
      </c>
      <c r="T115" s="32" t="n">
        <f>94675604</f>
        <v>9.4675604E7</v>
      </c>
      <c r="U115" s="32" t="n">
        <f>97904</f>
        <v>97904.0</v>
      </c>
      <c r="V115" s="32" t="n">
        <f>3091819020261</f>
        <v>3.091819020261E12</v>
      </c>
      <c r="W115" s="32" t="n">
        <f>3173953861</f>
        <v>3.173953861E9</v>
      </c>
      <c r="X115" s="36" t="n">
        <f>23</f>
        <v>23.0</v>
      </c>
    </row>
    <row r="116">
      <c r="A116" s="27" t="s">
        <v>42</v>
      </c>
      <c r="B116" s="27" t="s">
        <v>394</v>
      </c>
      <c r="C116" s="27" t="s">
        <v>395</v>
      </c>
      <c r="D116" s="27" t="s">
        <v>396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1007</f>
        <v>1007.0</v>
      </c>
      <c r="L116" s="34" t="s">
        <v>48</v>
      </c>
      <c r="M116" s="33" t="n">
        <f>1052</f>
        <v>1052.0</v>
      </c>
      <c r="N116" s="34" t="s">
        <v>50</v>
      </c>
      <c r="O116" s="33" t="n">
        <f>975</f>
        <v>975.0</v>
      </c>
      <c r="P116" s="34" t="s">
        <v>82</v>
      </c>
      <c r="Q116" s="33" t="n">
        <f>1009</f>
        <v>1009.0</v>
      </c>
      <c r="R116" s="34" t="s">
        <v>51</v>
      </c>
      <c r="S116" s="35" t="n">
        <f>1014.17</f>
        <v>1014.17</v>
      </c>
      <c r="T116" s="32" t="n">
        <f>30523171</f>
        <v>3.0523171E7</v>
      </c>
      <c r="U116" s="32" t="n">
        <f>6831784</f>
        <v>6831784.0</v>
      </c>
      <c r="V116" s="32" t="n">
        <f>30944970743</f>
        <v>3.0944970743E10</v>
      </c>
      <c r="W116" s="32" t="n">
        <f>6909072109</f>
        <v>6.909072109E9</v>
      </c>
      <c r="X116" s="36" t="n">
        <f>23</f>
        <v>23.0</v>
      </c>
    </row>
    <row r="117">
      <c r="A117" s="27" t="s">
        <v>42</v>
      </c>
      <c r="B117" s="27" t="s">
        <v>397</v>
      </c>
      <c r="C117" s="27" t="s">
        <v>398</v>
      </c>
      <c r="D117" s="27" t="s">
        <v>399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12460</f>
        <v>12460.0</v>
      </c>
      <c r="L117" s="34" t="s">
        <v>48</v>
      </c>
      <c r="M117" s="33" t="n">
        <f>12970</f>
        <v>12970.0</v>
      </c>
      <c r="N117" s="34" t="s">
        <v>89</v>
      </c>
      <c r="O117" s="33" t="n">
        <f>11050</f>
        <v>11050.0</v>
      </c>
      <c r="P117" s="34" t="s">
        <v>62</v>
      </c>
      <c r="Q117" s="33" t="n">
        <f>11800</f>
        <v>11800.0</v>
      </c>
      <c r="R117" s="34" t="s">
        <v>51</v>
      </c>
      <c r="S117" s="35" t="n">
        <f>12140</f>
        <v>12140.0</v>
      </c>
      <c r="T117" s="32" t="n">
        <f>40770</f>
        <v>40770.0</v>
      </c>
      <c r="U117" s="32" t="str">
        <f>"－"</f>
        <v>－</v>
      </c>
      <c r="V117" s="32" t="n">
        <f>495820700</f>
        <v>4.958207E8</v>
      </c>
      <c r="W117" s="32" t="str">
        <f>"－"</f>
        <v>－</v>
      </c>
      <c r="X117" s="36" t="n">
        <f>23</f>
        <v>23.0</v>
      </c>
    </row>
    <row r="118">
      <c r="A118" s="27" t="s">
        <v>42</v>
      </c>
      <c r="B118" s="27" t="s">
        <v>400</v>
      </c>
      <c r="C118" s="27" t="s">
        <v>401</v>
      </c>
      <c r="D118" s="27" t="s">
        <v>402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6310</f>
        <v>6310.0</v>
      </c>
      <c r="L118" s="34" t="s">
        <v>48</v>
      </c>
      <c r="M118" s="33" t="n">
        <f>6760</f>
        <v>6760.0</v>
      </c>
      <c r="N118" s="34" t="s">
        <v>191</v>
      </c>
      <c r="O118" s="33" t="n">
        <f>6120</f>
        <v>6120.0</v>
      </c>
      <c r="P118" s="34" t="s">
        <v>61</v>
      </c>
      <c r="Q118" s="33" t="n">
        <f>6650</f>
        <v>6650.0</v>
      </c>
      <c r="R118" s="34" t="s">
        <v>51</v>
      </c>
      <c r="S118" s="35" t="n">
        <f>6424.55</f>
        <v>6424.55</v>
      </c>
      <c r="T118" s="32" t="n">
        <f>6980</f>
        <v>6980.0</v>
      </c>
      <c r="U118" s="32" t="str">
        <f>"－"</f>
        <v>－</v>
      </c>
      <c r="V118" s="32" t="n">
        <f>45037500</f>
        <v>4.50375E7</v>
      </c>
      <c r="W118" s="32" t="str">
        <f>"－"</f>
        <v>－</v>
      </c>
      <c r="X118" s="36" t="n">
        <f>22</f>
        <v>22.0</v>
      </c>
    </row>
    <row r="119">
      <c r="A119" s="27" t="s">
        <v>42</v>
      </c>
      <c r="B119" s="27" t="s">
        <v>403</v>
      </c>
      <c r="C119" s="27" t="s">
        <v>404</v>
      </c>
      <c r="D119" s="27" t="s">
        <v>405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1540</f>
        <v>1540.0</v>
      </c>
      <c r="L119" s="34" t="s">
        <v>406</v>
      </c>
      <c r="M119" s="33" t="n">
        <f>1762</f>
        <v>1762.0</v>
      </c>
      <c r="N119" s="34" t="s">
        <v>66</v>
      </c>
      <c r="O119" s="33" t="n">
        <f>1518</f>
        <v>1518.0</v>
      </c>
      <c r="P119" s="34" t="s">
        <v>82</v>
      </c>
      <c r="Q119" s="33" t="n">
        <f>1678</f>
        <v>1678.0</v>
      </c>
      <c r="R119" s="34" t="s">
        <v>51</v>
      </c>
      <c r="S119" s="35" t="n">
        <f>1632</f>
        <v>1632.0</v>
      </c>
      <c r="T119" s="32" t="n">
        <f>920</f>
        <v>920.0</v>
      </c>
      <c r="U119" s="32" t="str">
        <f>"－"</f>
        <v>－</v>
      </c>
      <c r="V119" s="32" t="n">
        <f>1546630</f>
        <v>1546630.0</v>
      </c>
      <c r="W119" s="32" t="str">
        <f>"－"</f>
        <v>－</v>
      </c>
      <c r="X119" s="36" t="n">
        <f>8</f>
        <v>8.0</v>
      </c>
    </row>
    <row r="120">
      <c r="A120" s="27" t="s">
        <v>42</v>
      </c>
      <c r="B120" s="27" t="s">
        <v>407</v>
      </c>
      <c r="C120" s="27" t="s">
        <v>408</v>
      </c>
      <c r="D120" s="27" t="s">
        <v>409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10.0</v>
      </c>
      <c r="K120" s="33" t="n">
        <f>873</f>
        <v>873.0</v>
      </c>
      <c r="L120" s="34" t="s">
        <v>48</v>
      </c>
      <c r="M120" s="33" t="n">
        <f>950</f>
        <v>950.0</v>
      </c>
      <c r="N120" s="34" t="s">
        <v>89</v>
      </c>
      <c r="O120" s="33" t="n">
        <f>834</f>
        <v>834.0</v>
      </c>
      <c r="P120" s="34" t="s">
        <v>74</v>
      </c>
      <c r="Q120" s="33" t="n">
        <f>903</f>
        <v>903.0</v>
      </c>
      <c r="R120" s="34" t="s">
        <v>51</v>
      </c>
      <c r="S120" s="35" t="n">
        <f>872.87</f>
        <v>872.87</v>
      </c>
      <c r="T120" s="32" t="n">
        <f>87320</f>
        <v>87320.0</v>
      </c>
      <c r="U120" s="32" t="str">
        <f>"－"</f>
        <v>－</v>
      </c>
      <c r="V120" s="32" t="n">
        <f>76691780</f>
        <v>7.669178E7</v>
      </c>
      <c r="W120" s="32" t="str">
        <f>"－"</f>
        <v>－</v>
      </c>
      <c r="X120" s="36" t="n">
        <f>23</f>
        <v>23.0</v>
      </c>
    </row>
    <row r="121">
      <c r="A121" s="27" t="s">
        <v>42</v>
      </c>
      <c r="B121" s="27" t="s">
        <v>410</v>
      </c>
      <c r="C121" s="27" t="s">
        <v>411</v>
      </c>
      <c r="D121" s="27" t="s">
        <v>412</v>
      </c>
      <c r="E121" s="28" t="s">
        <v>46</v>
      </c>
      <c r="F121" s="29" t="s">
        <v>46</v>
      </c>
      <c r="G121" s="30" t="s">
        <v>46</v>
      </c>
      <c r="H121" s="31" t="s">
        <v>413</v>
      </c>
      <c r="I121" s="31" t="s">
        <v>47</v>
      </c>
      <c r="J121" s="32" t="n">
        <v>10.0</v>
      </c>
      <c r="K121" s="33" t="n">
        <f>840</f>
        <v>840.0</v>
      </c>
      <c r="L121" s="34" t="s">
        <v>48</v>
      </c>
      <c r="M121" s="33" t="n">
        <f>931</f>
        <v>931.0</v>
      </c>
      <c r="N121" s="34" t="s">
        <v>48</v>
      </c>
      <c r="O121" s="33" t="n">
        <f>798</f>
        <v>798.0</v>
      </c>
      <c r="P121" s="34" t="s">
        <v>75</v>
      </c>
      <c r="Q121" s="33" t="n">
        <f>837</f>
        <v>837.0</v>
      </c>
      <c r="R121" s="34" t="s">
        <v>51</v>
      </c>
      <c r="S121" s="35" t="n">
        <f>827</f>
        <v>827.0</v>
      </c>
      <c r="T121" s="32" t="n">
        <f>24080</f>
        <v>24080.0</v>
      </c>
      <c r="U121" s="32" t="str">
        <f>"－"</f>
        <v>－</v>
      </c>
      <c r="V121" s="32" t="n">
        <f>20211760</f>
        <v>2.021176E7</v>
      </c>
      <c r="W121" s="32" t="str">
        <f>"－"</f>
        <v>－</v>
      </c>
      <c r="X121" s="36" t="n">
        <f>23</f>
        <v>23.0</v>
      </c>
    </row>
    <row r="122">
      <c r="A122" s="27" t="s">
        <v>42</v>
      </c>
      <c r="B122" s="27" t="s">
        <v>414</v>
      </c>
      <c r="C122" s="27" t="s">
        <v>415</v>
      </c>
      <c r="D122" s="27" t="s">
        <v>416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21710</f>
        <v>21710.0</v>
      </c>
      <c r="L122" s="34" t="s">
        <v>48</v>
      </c>
      <c r="M122" s="33" t="n">
        <f>24240</f>
        <v>24240.0</v>
      </c>
      <c r="N122" s="34" t="s">
        <v>49</v>
      </c>
      <c r="O122" s="33" t="n">
        <f>21650</f>
        <v>21650.0</v>
      </c>
      <c r="P122" s="34" t="s">
        <v>48</v>
      </c>
      <c r="Q122" s="33" t="n">
        <f>23530</f>
        <v>23530.0</v>
      </c>
      <c r="R122" s="34" t="s">
        <v>51</v>
      </c>
      <c r="S122" s="35" t="n">
        <f>23144.35</f>
        <v>23144.35</v>
      </c>
      <c r="T122" s="32" t="n">
        <f>60510</f>
        <v>60510.0</v>
      </c>
      <c r="U122" s="32" t="n">
        <f>13003</f>
        <v>13003.0</v>
      </c>
      <c r="V122" s="32" t="n">
        <f>1414885630</f>
        <v>1.41488563E9</v>
      </c>
      <c r="W122" s="32" t="n">
        <f>301060950</f>
        <v>3.0106095E8</v>
      </c>
      <c r="X122" s="36" t="n">
        <f>23</f>
        <v>23.0</v>
      </c>
    </row>
    <row r="123">
      <c r="A123" s="27" t="s">
        <v>42</v>
      </c>
      <c r="B123" s="27" t="s">
        <v>417</v>
      </c>
      <c r="C123" s="27" t="s">
        <v>418</v>
      </c>
      <c r="D123" s="27" t="s">
        <v>419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2354</f>
        <v>2354.0</v>
      </c>
      <c r="L123" s="34" t="s">
        <v>48</v>
      </c>
      <c r="M123" s="33" t="n">
        <f>2422</f>
        <v>2422.0</v>
      </c>
      <c r="N123" s="34" t="s">
        <v>82</v>
      </c>
      <c r="O123" s="33" t="n">
        <f>2250</f>
        <v>2250.0</v>
      </c>
      <c r="P123" s="34" t="s">
        <v>50</v>
      </c>
      <c r="Q123" s="33" t="n">
        <f>2335</f>
        <v>2335.0</v>
      </c>
      <c r="R123" s="34" t="s">
        <v>51</v>
      </c>
      <c r="S123" s="35" t="n">
        <f>2333.52</f>
        <v>2333.52</v>
      </c>
      <c r="T123" s="32" t="n">
        <f>74538</f>
        <v>74538.0</v>
      </c>
      <c r="U123" s="32" t="str">
        <f>"－"</f>
        <v>－</v>
      </c>
      <c r="V123" s="32" t="n">
        <f>173382316</f>
        <v>1.73382316E8</v>
      </c>
      <c r="W123" s="32" t="str">
        <f>"－"</f>
        <v>－</v>
      </c>
      <c r="X123" s="36" t="n">
        <f>23</f>
        <v>23.0</v>
      </c>
    </row>
    <row r="124">
      <c r="A124" s="27" t="s">
        <v>42</v>
      </c>
      <c r="B124" s="27" t="s">
        <v>420</v>
      </c>
      <c r="C124" s="27" t="s">
        <v>421</v>
      </c>
      <c r="D124" s="27" t="s">
        <v>422</v>
      </c>
      <c r="E124" s="28" t="s">
        <v>423</v>
      </c>
      <c r="F124" s="29" t="s">
        <v>424</v>
      </c>
      <c r="G124" s="30" t="s">
        <v>46</v>
      </c>
      <c r="H124" s="31"/>
      <c r="I124" s="31" t="s">
        <v>47</v>
      </c>
      <c r="J124" s="32" t="n">
        <v>10.0</v>
      </c>
      <c r="K124" s="33" t="n">
        <f>35450</f>
        <v>35450.0</v>
      </c>
      <c r="L124" s="34" t="s">
        <v>48</v>
      </c>
      <c r="M124" s="33" t="n">
        <f>36500</f>
        <v>36500.0</v>
      </c>
      <c r="N124" s="34" t="s">
        <v>179</v>
      </c>
      <c r="O124" s="33" t="n">
        <f>34800</f>
        <v>34800.0</v>
      </c>
      <c r="P124" s="34" t="s">
        <v>179</v>
      </c>
      <c r="Q124" s="33" t="n">
        <f>35050</f>
        <v>35050.0</v>
      </c>
      <c r="R124" s="34" t="s">
        <v>179</v>
      </c>
      <c r="S124" s="35" t="n">
        <f>35350</f>
        <v>35350.0</v>
      </c>
      <c r="T124" s="32" t="n">
        <f>380800</f>
        <v>380800.0</v>
      </c>
      <c r="U124" s="32" t="str">
        <f>"－"</f>
        <v>－</v>
      </c>
      <c r="V124" s="32" t="n">
        <f>13553643500</f>
        <v>1.35536435E10</v>
      </c>
      <c r="W124" s="32" t="str">
        <f>"－"</f>
        <v>－</v>
      </c>
      <c r="X124" s="36" t="n">
        <f>2</f>
        <v>2.0</v>
      </c>
    </row>
    <row r="125">
      <c r="A125" s="27" t="s">
        <v>42</v>
      </c>
      <c r="B125" s="27" t="s">
        <v>420</v>
      </c>
      <c r="C125" s="27" t="s">
        <v>421</v>
      </c>
      <c r="D125" s="27" t="s">
        <v>422</v>
      </c>
      <c r="E125" s="28" t="s">
        <v>423</v>
      </c>
      <c r="F125" s="29" t="s">
        <v>424</v>
      </c>
      <c r="G125" s="30" t="s">
        <v>46</v>
      </c>
      <c r="H125" s="31"/>
      <c r="I125" s="31" t="s">
        <v>47</v>
      </c>
      <c r="J125" s="32" t="n">
        <v>10.0</v>
      </c>
      <c r="K125" s="33" t="n">
        <f>17690</f>
        <v>17690.0</v>
      </c>
      <c r="L125" s="34" t="s">
        <v>61</v>
      </c>
      <c r="M125" s="33" t="n">
        <f>18840</f>
        <v>18840.0</v>
      </c>
      <c r="N125" s="34" t="s">
        <v>82</v>
      </c>
      <c r="O125" s="33" t="n">
        <f>16210</f>
        <v>16210.0</v>
      </c>
      <c r="P125" s="34" t="s">
        <v>50</v>
      </c>
      <c r="Q125" s="33" t="n">
        <f>17460</f>
        <v>17460.0</v>
      </c>
      <c r="R125" s="34" t="s">
        <v>51</v>
      </c>
      <c r="S125" s="35" t="n">
        <f>17399.05</f>
        <v>17399.05</v>
      </c>
      <c r="T125" s="32" t="n">
        <f>14063820</f>
        <v>1.406382E7</v>
      </c>
      <c r="U125" s="32" t="n">
        <f>22020</f>
        <v>22020.0</v>
      </c>
      <c r="V125" s="32" t="n">
        <f>243696268540</f>
        <v>2.4369626854E11</v>
      </c>
      <c r="W125" s="32" t="n">
        <f>374242640</f>
        <v>3.7424264E8</v>
      </c>
      <c r="X125" s="36" t="n">
        <f>21</f>
        <v>21.0</v>
      </c>
    </row>
    <row r="126">
      <c r="A126" s="27" t="s">
        <v>42</v>
      </c>
      <c r="B126" s="27" t="s">
        <v>425</v>
      </c>
      <c r="C126" s="27" t="s">
        <v>426</v>
      </c>
      <c r="D126" s="27" t="s">
        <v>427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10.0</v>
      </c>
      <c r="K126" s="33" t="n">
        <f>2686</f>
        <v>2686.0</v>
      </c>
      <c r="L126" s="34" t="s">
        <v>48</v>
      </c>
      <c r="M126" s="33" t="n">
        <f>2803</f>
        <v>2803.0</v>
      </c>
      <c r="N126" s="34" t="s">
        <v>50</v>
      </c>
      <c r="O126" s="33" t="n">
        <f>2597</f>
        <v>2597.0</v>
      </c>
      <c r="P126" s="34" t="s">
        <v>82</v>
      </c>
      <c r="Q126" s="33" t="n">
        <f>2690</f>
        <v>2690.0</v>
      </c>
      <c r="R126" s="34" t="s">
        <v>51</v>
      </c>
      <c r="S126" s="35" t="n">
        <f>2702.22</f>
        <v>2702.22</v>
      </c>
      <c r="T126" s="32" t="n">
        <f>4617660</f>
        <v>4617660.0</v>
      </c>
      <c r="U126" s="32" t="n">
        <f>554000</f>
        <v>554000.0</v>
      </c>
      <c r="V126" s="32" t="n">
        <f>12365570578</f>
        <v>1.2365570578E10</v>
      </c>
      <c r="W126" s="32" t="n">
        <f>1489295208</f>
        <v>1.489295208E9</v>
      </c>
      <c r="X126" s="36" t="n">
        <f>23</f>
        <v>23.0</v>
      </c>
    </row>
    <row r="127">
      <c r="A127" s="27" t="s">
        <v>42</v>
      </c>
      <c r="B127" s="27" t="s">
        <v>428</v>
      </c>
      <c r="C127" s="27" t="s">
        <v>429</v>
      </c>
      <c r="D127" s="27" t="s">
        <v>430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10.0</v>
      </c>
      <c r="K127" s="33" t="n">
        <f>940</f>
        <v>940.0</v>
      </c>
      <c r="L127" s="34" t="s">
        <v>48</v>
      </c>
      <c r="M127" s="33" t="n">
        <f>982</f>
        <v>982.0</v>
      </c>
      <c r="N127" s="34" t="s">
        <v>179</v>
      </c>
      <c r="O127" s="33" t="n">
        <f>907</f>
        <v>907.0</v>
      </c>
      <c r="P127" s="34" t="s">
        <v>62</v>
      </c>
      <c r="Q127" s="33" t="n">
        <f>974</f>
        <v>974.0</v>
      </c>
      <c r="R127" s="34" t="s">
        <v>51</v>
      </c>
      <c r="S127" s="35" t="n">
        <f>950.29</f>
        <v>950.29</v>
      </c>
      <c r="T127" s="32" t="n">
        <f>4830</f>
        <v>4830.0</v>
      </c>
      <c r="U127" s="32" t="str">
        <f>"－"</f>
        <v>－</v>
      </c>
      <c r="V127" s="32" t="n">
        <f>4568700</f>
        <v>4568700.0</v>
      </c>
      <c r="W127" s="32" t="str">
        <f>"－"</f>
        <v>－</v>
      </c>
      <c r="X127" s="36" t="n">
        <f>21</f>
        <v>21.0</v>
      </c>
    </row>
    <row r="128">
      <c r="A128" s="27" t="s">
        <v>42</v>
      </c>
      <c r="B128" s="27" t="s">
        <v>431</v>
      </c>
      <c r="C128" s="27" t="s">
        <v>432</v>
      </c>
      <c r="D128" s="27" t="s">
        <v>433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10.0</v>
      </c>
      <c r="K128" s="33" t="n">
        <f>1513</f>
        <v>1513.0</v>
      </c>
      <c r="L128" s="34" t="s">
        <v>74</v>
      </c>
      <c r="M128" s="33" t="n">
        <f>1650</f>
        <v>1650.0</v>
      </c>
      <c r="N128" s="34" t="s">
        <v>66</v>
      </c>
      <c r="O128" s="33" t="n">
        <f>1496</f>
        <v>1496.0</v>
      </c>
      <c r="P128" s="34" t="s">
        <v>366</v>
      </c>
      <c r="Q128" s="33" t="n">
        <f>1555</f>
        <v>1555.0</v>
      </c>
      <c r="R128" s="34" t="s">
        <v>175</v>
      </c>
      <c r="S128" s="35" t="n">
        <f>1546.69</f>
        <v>1546.69</v>
      </c>
      <c r="T128" s="32" t="n">
        <f>37270</f>
        <v>37270.0</v>
      </c>
      <c r="U128" s="32" t="str">
        <f>"－"</f>
        <v>－</v>
      </c>
      <c r="V128" s="32" t="n">
        <f>58893780</f>
        <v>5.889378E7</v>
      </c>
      <c r="W128" s="32" t="str">
        <f>"－"</f>
        <v>－</v>
      </c>
      <c r="X128" s="36" t="n">
        <f>13</f>
        <v>13.0</v>
      </c>
    </row>
    <row r="129">
      <c r="A129" s="27" t="s">
        <v>42</v>
      </c>
      <c r="B129" s="27" t="s">
        <v>434</v>
      </c>
      <c r="C129" s="27" t="s">
        <v>435</v>
      </c>
      <c r="D129" s="27" t="s">
        <v>436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1661</f>
        <v>1661.0</v>
      </c>
      <c r="L129" s="34" t="s">
        <v>48</v>
      </c>
      <c r="M129" s="33" t="n">
        <f>1825</f>
        <v>1825.0</v>
      </c>
      <c r="N129" s="34" t="s">
        <v>82</v>
      </c>
      <c r="O129" s="33" t="n">
        <f>1645</f>
        <v>1645.0</v>
      </c>
      <c r="P129" s="34" t="s">
        <v>50</v>
      </c>
      <c r="Q129" s="33" t="n">
        <f>1746</f>
        <v>1746.0</v>
      </c>
      <c r="R129" s="34" t="s">
        <v>51</v>
      </c>
      <c r="S129" s="35" t="n">
        <f>1713.11</f>
        <v>1713.11</v>
      </c>
      <c r="T129" s="32" t="n">
        <f>12184</f>
        <v>12184.0</v>
      </c>
      <c r="U129" s="32" t="str">
        <f>"－"</f>
        <v>－</v>
      </c>
      <c r="V129" s="32" t="n">
        <f>21868271</f>
        <v>2.1868271E7</v>
      </c>
      <c r="W129" s="32" t="str">
        <f>"－"</f>
        <v>－</v>
      </c>
      <c r="X129" s="36" t="n">
        <f>19</f>
        <v>19.0</v>
      </c>
    </row>
    <row r="130">
      <c r="A130" s="27" t="s">
        <v>42</v>
      </c>
      <c r="B130" s="27" t="s">
        <v>437</v>
      </c>
      <c r="C130" s="27" t="s">
        <v>438</v>
      </c>
      <c r="D130" s="27" t="s">
        <v>439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17180</f>
        <v>17180.0</v>
      </c>
      <c r="L130" s="34" t="s">
        <v>48</v>
      </c>
      <c r="M130" s="33" t="n">
        <f>18230</f>
        <v>18230.0</v>
      </c>
      <c r="N130" s="34" t="s">
        <v>82</v>
      </c>
      <c r="O130" s="33" t="n">
        <f>16900</f>
        <v>16900.0</v>
      </c>
      <c r="P130" s="34" t="s">
        <v>50</v>
      </c>
      <c r="Q130" s="33" t="n">
        <f>17850</f>
        <v>17850.0</v>
      </c>
      <c r="R130" s="34" t="s">
        <v>51</v>
      </c>
      <c r="S130" s="35" t="n">
        <f>17664.35</f>
        <v>17664.35</v>
      </c>
      <c r="T130" s="32" t="n">
        <f>202661</f>
        <v>202661.0</v>
      </c>
      <c r="U130" s="32" t="n">
        <f>635</f>
        <v>635.0</v>
      </c>
      <c r="V130" s="32" t="n">
        <f>3563404089</f>
        <v>3.563404089E9</v>
      </c>
      <c r="W130" s="32" t="n">
        <f>10914119</f>
        <v>1.0914119E7</v>
      </c>
      <c r="X130" s="36" t="n">
        <f>23</f>
        <v>23.0</v>
      </c>
    </row>
    <row r="131">
      <c r="A131" s="27" t="s">
        <v>42</v>
      </c>
      <c r="B131" s="27" t="s">
        <v>440</v>
      </c>
      <c r="C131" s="27" t="s">
        <v>441</v>
      </c>
      <c r="D131" s="27" t="s">
        <v>442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1567</f>
        <v>1567.0</v>
      </c>
      <c r="L131" s="34" t="s">
        <v>48</v>
      </c>
      <c r="M131" s="33" t="n">
        <f>1663</f>
        <v>1663.0</v>
      </c>
      <c r="N131" s="34" t="s">
        <v>82</v>
      </c>
      <c r="O131" s="33" t="n">
        <f>1542</f>
        <v>1542.0</v>
      </c>
      <c r="P131" s="34" t="s">
        <v>50</v>
      </c>
      <c r="Q131" s="33" t="n">
        <f>1631</f>
        <v>1631.0</v>
      </c>
      <c r="R131" s="34" t="s">
        <v>51</v>
      </c>
      <c r="S131" s="35" t="n">
        <f>1610.87</f>
        <v>1610.87</v>
      </c>
      <c r="T131" s="32" t="n">
        <f>230460</f>
        <v>230460.0</v>
      </c>
      <c r="U131" s="32" t="n">
        <f>93800</f>
        <v>93800.0</v>
      </c>
      <c r="V131" s="32" t="n">
        <f>372516364</f>
        <v>3.72516364E8</v>
      </c>
      <c r="W131" s="32" t="n">
        <f>151924108</f>
        <v>1.51924108E8</v>
      </c>
      <c r="X131" s="36" t="n">
        <f>23</f>
        <v>23.0</v>
      </c>
    </row>
    <row r="132">
      <c r="A132" s="27" t="s">
        <v>42</v>
      </c>
      <c r="B132" s="27" t="s">
        <v>443</v>
      </c>
      <c r="C132" s="27" t="s">
        <v>444</v>
      </c>
      <c r="D132" s="27" t="s">
        <v>445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1.0</v>
      </c>
      <c r="K132" s="33" t="n">
        <f>17510</f>
        <v>17510.0</v>
      </c>
      <c r="L132" s="34" t="s">
        <v>48</v>
      </c>
      <c r="M132" s="33" t="n">
        <f>18560</f>
        <v>18560.0</v>
      </c>
      <c r="N132" s="34" t="s">
        <v>49</v>
      </c>
      <c r="O132" s="33" t="n">
        <f>17210</f>
        <v>17210.0</v>
      </c>
      <c r="P132" s="34" t="s">
        <v>50</v>
      </c>
      <c r="Q132" s="33" t="n">
        <f>18210</f>
        <v>18210.0</v>
      </c>
      <c r="R132" s="34" t="s">
        <v>51</v>
      </c>
      <c r="S132" s="35" t="n">
        <f>17990.43</f>
        <v>17990.43</v>
      </c>
      <c r="T132" s="32" t="n">
        <f>26555</f>
        <v>26555.0</v>
      </c>
      <c r="U132" s="32" t="str">
        <f>"－"</f>
        <v>－</v>
      </c>
      <c r="V132" s="32" t="n">
        <f>477654570</f>
        <v>4.7765457E8</v>
      </c>
      <c r="W132" s="32" t="str">
        <f>"－"</f>
        <v>－</v>
      </c>
      <c r="X132" s="36" t="n">
        <f>23</f>
        <v>23.0</v>
      </c>
    </row>
    <row r="133">
      <c r="A133" s="27" t="s">
        <v>42</v>
      </c>
      <c r="B133" s="27" t="s">
        <v>446</v>
      </c>
      <c r="C133" s="27" t="s">
        <v>447</v>
      </c>
      <c r="D133" s="27" t="s">
        <v>448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1993</f>
        <v>1993.0</v>
      </c>
      <c r="L133" s="34" t="s">
        <v>48</v>
      </c>
      <c r="M133" s="33" t="n">
        <f>2100</f>
        <v>2100.0</v>
      </c>
      <c r="N133" s="34" t="s">
        <v>51</v>
      </c>
      <c r="O133" s="33" t="n">
        <f>1910</f>
        <v>1910.0</v>
      </c>
      <c r="P133" s="34" t="s">
        <v>75</v>
      </c>
      <c r="Q133" s="33" t="n">
        <f>2062</f>
        <v>2062.0</v>
      </c>
      <c r="R133" s="34" t="s">
        <v>51</v>
      </c>
      <c r="S133" s="35" t="n">
        <f>1995.13</f>
        <v>1995.13</v>
      </c>
      <c r="T133" s="32" t="n">
        <f>14715350</f>
        <v>1.471535E7</v>
      </c>
      <c r="U133" s="32" t="n">
        <f>3800000</f>
        <v>3800000.0</v>
      </c>
      <c r="V133" s="32" t="n">
        <f>28828944180</f>
        <v>2.882894418E10</v>
      </c>
      <c r="W133" s="32" t="n">
        <f>7414269000</f>
        <v>7.414269E9</v>
      </c>
      <c r="X133" s="36" t="n">
        <f>23</f>
        <v>23.0</v>
      </c>
    </row>
    <row r="134">
      <c r="A134" s="27" t="s">
        <v>42</v>
      </c>
      <c r="B134" s="27" t="s">
        <v>449</v>
      </c>
      <c r="C134" s="27" t="s">
        <v>450</v>
      </c>
      <c r="D134" s="27" t="s">
        <v>451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1677</f>
        <v>1677.0</v>
      </c>
      <c r="L134" s="34" t="s">
        <v>179</v>
      </c>
      <c r="M134" s="33" t="n">
        <f>1837</f>
        <v>1837.0</v>
      </c>
      <c r="N134" s="34" t="s">
        <v>179</v>
      </c>
      <c r="O134" s="33" t="n">
        <f>1654</f>
        <v>1654.0</v>
      </c>
      <c r="P134" s="34" t="s">
        <v>183</v>
      </c>
      <c r="Q134" s="33" t="n">
        <f>1750</f>
        <v>1750.0</v>
      </c>
      <c r="R134" s="34" t="s">
        <v>149</v>
      </c>
      <c r="S134" s="35" t="n">
        <f>1716.5</f>
        <v>1716.5</v>
      </c>
      <c r="T134" s="32" t="n">
        <f>1950</f>
        <v>1950.0</v>
      </c>
      <c r="U134" s="32" t="str">
        <f>"－"</f>
        <v>－</v>
      </c>
      <c r="V134" s="32" t="n">
        <f>3466830</f>
        <v>3466830.0</v>
      </c>
      <c r="W134" s="32" t="str">
        <f>"－"</f>
        <v>－</v>
      </c>
      <c r="X134" s="36" t="n">
        <f>12</f>
        <v>12.0</v>
      </c>
    </row>
    <row r="135">
      <c r="A135" s="27" t="s">
        <v>42</v>
      </c>
      <c r="B135" s="27" t="s">
        <v>452</v>
      </c>
      <c r="C135" s="27" t="s">
        <v>453</v>
      </c>
      <c r="D135" s="27" t="s">
        <v>454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10.0</v>
      </c>
      <c r="K135" s="33" t="n">
        <f>2008</f>
        <v>2008.0</v>
      </c>
      <c r="L135" s="34" t="s">
        <v>48</v>
      </c>
      <c r="M135" s="33" t="n">
        <f>2095</f>
        <v>2095.0</v>
      </c>
      <c r="N135" s="34" t="s">
        <v>51</v>
      </c>
      <c r="O135" s="33" t="n">
        <f>1908</f>
        <v>1908.0</v>
      </c>
      <c r="P135" s="34" t="s">
        <v>75</v>
      </c>
      <c r="Q135" s="33" t="n">
        <f>2053</f>
        <v>2053.0</v>
      </c>
      <c r="R135" s="34" t="s">
        <v>51</v>
      </c>
      <c r="S135" s="35" t="n">
        <f>1996.48</f>
        <v>1996.48</v>
      </c>
      <c r="T135" s="32" t="n">
        <f>1502260</f>
        <v>1502260.0</v>
      </c>
      <c r="U135" s="32" t="n">
        <f>639000</f>
        <v>639000.0</v>
      </c>
      <c r="V135" s="32" t="n">
        <f>2999641770</f>
        <v>2.99964177E9</v>
      </c>
      <c r="W135" s="32" t="n">
        <f>1285162360</f>
        <v>1.28516236E9</v>
      </c>
      <c r="X135" s="36" t="n">
        <f>23</f>
        <v>23.0</v>
      </c>
    </row>
    <row r="136">
      <c r="A136" s="27" t="s">
        <v>42</v>
      </c>
      <c r="B136" s="27" t="s">
        <v>455</v>
      </c>
      <c r="C136" s="27" t="s">
        <v>456</v>
      </c>
      <c r="D136" s="27" t="s">
        <v>457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19240</f>
        <v>19240.0</v>
      </c>
      <c r="L136" s="34" t="s">
        <v>48</v>
      </c>
      <c r="M136" s="33" t="n">
        <f>20920</f>
        <v>20920.0</v>
      </c>
      <c r="N136" s="34" t="s">
        <v>66</v>
      </c>
      <c r="O136" s="33" t="n">
        <f>19240</f>
        <v>19240.0</v>
      </c>
      <c r="P136" s="34" t="s">
        <v>48</v>
      </c>
      <c r="Q136" s="33" t="n">
        <f>20520</f>
        <v>20520.0</v>
      </c>
      <c r="R136" s="34" t="s">
        <v>51</v>
      </c>
      <c r="S136" s="35" t="n">
        <f>20210.63</f>
        <v>20210.63</v>
      </c>
      <c r="T136" s="32" t="n">
        <f>170</f>
        <v>170.0</v>
      </c>
      <c r="U136" s="32" t="n">
        <f>14</f>
        <v>14.0</v>
      </c>
      <c r="V136" s="32" t="n">
        <f>3465770</f>
        <v>3465770.0</v>
      </c>
      <c r="W136" s="32" t="n">
        <f>289100</f>
        <v>289100.0</v>
      </c>
      <c r="X136" s="36" t="n">
        <f>16</f>
        <v>16.0</v>
      </c>
    </row>
    <row r="137">
      <c r="A137" s="27" t="s">
        <v>42</v>
      </c>
      <c r="B137" s="27" t="s">
        <v>458</v>
      </c>
      <c r="C137" s="27" t="s">
        <v>459</v>
      </c>
      <c r="D137" s="27" t="s">
        <v>460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17400</f>
        <v>17400.0</v>
      </c>
      <c r="L137" s="34" t="s">
        <v>48</v>
      </c>
      <c r="M137" s="33" t="n">
        <f>18380</f>
        <v>18380.0</v>
      </c>
      <c r="N137" s="34" t="s">
        <v>49</v>
      </c>
      <c r="O137" s="33" t="n">
        <f>17090</f>
        <v>17090.0</v>
      </c>
      <c r="P137" s="34" t="s">
        <v>50</v>
      </c>
      <c r="Q137" s="33" t="n">
        <f>18040</f>
        <v>18040.0</v>
      </c>
      <c r="R137" s="34" t="s">
        <v>51</v>
      </c>
      <c r="S137" s="35" t="n">
        <f>17829.55</f>
        <v>17829.55</v>
      </c>
      <c r="T137" s="32" t="n">
        <f>7713</f>
        <v>7713.0</v>
      </c>
      <c r="U137" s="32" t="n">
        <f>4</f>
        <v>4.0</v>
      </c>
      <c r="V137" s="32" t="n">
        <f>139715300</f>
        <v>1.397153E8</v>
      </c>
      <c r="W137" s="32" t="n">
        <f>70710</f>
        <v>70710.0</v>
      </c>
      <c r="X137" s="36" t="n">
        <f>22</f>
        <v>22.0</v>
      </c>
    </row>
    <row r="138">
      <c r="A138" s="27" t="s">
        <v>42</v>
      </c>
      <c r="B138" s="27" t="s">
        <v>461</v>
      </c>
      <c r="C138" s="27" t="s">
        <v>462</v>
      </c>
      <c r="D138" s="27" t="s">
        <v>463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100.0</v>
      </c>
      <c r="K138" s="33" t="n">
        <f>143</f>
        <v>143.0</v>
      </c>
      <c r="L138" s="34" t="s">
        <v>48</v>
      </c>
      <c r="M138" s="33" t="n">
        <f>168</f>
        <v>168.0</v>
      </c>
      <c r="N138" s="34" t="s">
        <v>49</v>
      </c>
      <c r="O138" s="33" t="n">
        <f>143</f>
        <v>143.0</v>
      </c>
      <c r="P138" s="34" t="s">
        <v>48</v>
      </c>
      <c r="Q138" s="33" t="n">
        <f>157</f>
        <v>157.0</v>
      </c>
      <c r="R138" s="34" t="s">
        <v>51</v>
      </c>
      <c r="S138" s="35" t="n">
        <f>155.22</f>
        <v>155.22</v>
      </c>
      <c r="T138" s="32" t="n">
        <f>125831100</f>
        <v>1.258311E8</v>
      </c>
      <c r="U138" s="32" t="str">
        <f>"－"</f>
        <v>－</v>
      </c>
      <c r="V138" s="32" t="n">
        <f>19721624000</f>
        <v>1.9721624E10</v>
      </c>
      <c r="W138" s="32" t="str">
        <f>"－"</f>
        <v>－</v>
      </c>
      <c r="X138" s="36" t="n">
        <f>23</f>
        <v>23.0</v>
      </c>
    </row>
    <row r="139">
      <c r="A139" s="27" t="s">
        <v>42</v>
      </c>
      <c r="B139" s="27" t="s">
        <v>464</v>
      </c>
      <c r="C139" s="27" t="s">
        <v>465</v>
      </c>
      <c r="D139" s="27" t="s">
        <v>466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26680</f>
        <v>26680.0</v>
      </c>
      <c r="L139" s="34" t="s">
        <v>48</v>
      </c>
      <c r="M139" s="33" t="n">
        <f>28530</f>
        <v>28530.0</v>
      </c>
      <c r="N139" s="34" t="s">
        <v>149</v>
      </c>
      <c r="O139" s="33" t="n">
        <f>26500</f>
        <v>26500.0</v>
      </c>
      <c r="P139" s="34" t="s">
        <v>179</v>
      </c>
      <c r="Q139" s="33" t="n">
        <f>27790</f>
        <v>27790.0</v>
      </c>
      <c r="R139" s="34" t="s">
        <v>51</v>
      </c>
      <c r="S139" s="35" t="n">
        <f>27650.87</f>
        <v>27650.87</v>
      </c>
      <c r="T139" s="32" t="n">
        <f>1104</f>
        <v>1104.0</v>
      </c>
      <c r="U139" s="32" t="str">
        <f>"－"</f>
        <v>－</v>
      </c>
      <c r="V139" s="32" t="n">
        <f>30444000</f>
        <v>3.0444E7</v>
      </c>
      <c r="W139" s="32" t="str">
        <f>"－"</f>
        <v>－</v>
      </c>
      <c r="X139" s="36" t="n">
        <f>23</f>
        <v>23.0</v>
      </c>
    </row>
    <row r="140">
      <c r="A140" s="27" t="s">
        <v>42</v>
      </c>
      <c r="B140" s="27" t="s">
        <v>467</v>
      </c>
      <c r="C140" s="27" t="s">
        <v>468</v>
      </c>
      <c r="D140" s="27" t="s">
        <v>469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9810</f>
        <v>9810.0</v>
      </c>
      <c r="L140" s="34" t="s">
        <v>48</v>
      </c>
      <c r="M140" s="33" t="n">
        <f>10800</f>
        <v>10800.0</v>
      </c>
      <c r="N140" s="34" t="s">
        <v>89</v>
      </c>
      <c r="O140" s="33" t="n">
        <f>9760</f>
        <v>9760.0</v>
      </c>
      <c r="P140" s="34" t="s">
        <v>48</v>
      </c>
      <c r="Q140" s="33" t="n">
        <f>10460</f>
        <v>10460.0</v>
      </c>
      <c r="R140" s="34" t="s">
        <v>51</v>
      </c>
      <c r="S140" s="35" t="n">
        <f>10488.26</f>
        <v>10488.26</v>
      </c>
      <c r="T140" s="32" t="n">
        <f>23977</f>
        <v>23977.0</v>
      </c>
      <c r="U140" s="32" t="str">
        <f>"－"</f>
        <v>－</v>
      </c>
      <c r="V140" s="32" t="n">
        <f>250244360</f>
        <v>2.5024436E8</v>
      </c>
      <c r="W140" s="32" t="str">
        <f>"－"</f>
        <v>－</v>
      </c>
      <c r="X140" s="36" t="n">
        <f>23</f>
        <v>23.0</v>
      </c>
    </row>
    <row r="141">
      <c r="A141" s="27" t="s">
        <v>42</v>
      </c>
      <c r="B141" s="27" t="s">
        <v>470</v>
      </c>
      <c r="C141" s="27" t="s">
        <v>471</v>
      </c>
      <c r="D141" s="27" t="s">
        <v>472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21100</f>
        <v>21100.0</v>
      </c>
      <c r="L141" s="34" t="s">
        <v>48</v>
      </c>
      <c r="M141" s="33" t="n">
        <f>23780</f>
        <v>23780.0</v>
      </c>
      <c r="N141" s="34" t="s">
        <v>149</v>
      </c>
      <c r="O141" s="33" t="n">
        <f>21100</f>
        <v>21100.0</v>
      </c>
      <c r="P141" s="34" t="s">
        <v>48</v>
      </c>
      <c r="Q141" s="33" t="n">
        <f>23210</f>
        <v>23210.0</v>
      </c>
      <c r="R141" s="34" t="s">
        <v>51</v>
      </c>
      <c r="S141" s="35" t="n">
        <f>22611.3</f>
        <v>22611.3</v>
      </c>
      <c r="T141" s="32" t="n">
        <f>6311</f>
        <v>6311.0</v>
      </c>
      <c r="U141" s="32" t="str">
        <f>"－"</f>
        <v>－</v>
      </c>
      <c r="V141" s="32" t="n">
        <f>144092820</f>
        <v>1.4409282E8</v>
      </c>
      <c r="W141" s="32" t="str">
        <f>"－"</f>
        <v>－</v>
      </c>
      <c r="X141" s="36" t="n">
        <f>23</f>
        <v>23.0</v>
      </c>
    </row>
    <row r="142">
      <c r="A142" s="27" t="s">
        <v>42</v>
      </c>
      <c r="B142" s="27" t="s">
        <v>473</v>
      </c>
      <c r="C142" s="27" t="s">
        <v>474</v>
      </c>
      <c r="D142" s="27" t="s">
        <v>475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26040</f>
        <v>26040.0</v>
      </c>
      <c r="L142" s="34" t="s">
        <v>48</v>
      </c>
      <c r="M142" s="33" t="n">
        <f>28760</f>
        <v>28760.0</v>
      </c>
      <c r="N142" s="34" t="s">
        <v>51</v>
      </c>
      <c r="O142" s="33" t="n">
        <f>26040</f>
        <v>26040.0</v>
      </c>
      <c r="P142" s="34" t="s">
        <v>48</v>
      </c>
      <c r="Q142" s="33" t="n">
        <f>28180</f>
        <v>28180.0</v>
      </c>
      <c r="R142" s="34" t="s">
        <v>51</v>
      </c>
      <c r="S142" s="35" t="n">
        <f>27776.96</f>
        <v>27776.96</v>
      </c>
      <c r="T142" s="32" t="n">
        <f>3143</f>
        <v>3143.0</v>
      </c>
      <c r="U142" s="32" t="str">
        <f>"－"</f>
        <v>－</v>
      </c>
      <c r="V142" s="32" t="n">
        <f>87448010</f>
        <v>8.744801E7</v>
      </c>
      <c r="W142" s="32" t="str">
        <f>"－"</f>
        <v>－</v>
      </c>
      <c r="X142" s="36" t="n">
        <f>23</f>
        <v>23.0</v>
      </c>
    </row>
    <row r="143">
      <c r="A143" s="27" t="s">
        <v>42</v>
      </c>
      <c r="B143" s="27" t="s">
        <v>476</v>
      </c>
      <c r="C143" s="27" t="s">
        <v>477</v>
      </c>
      <c r="D143" s="27" t="s">
        <v>478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24010</f>
        <v>24010.0</v>
      </c>
      <c r="L143" s="34" t="s">
        <v>48</v>
      </c>
      <c r="M143" s="33" t="n">
        <f>25900</f>
        <v>25900.0</v>
      </c>
      <c r="N143" s="34" t="s">
        <v>82</v>
      </c>
      <c r="O143" s="33" t="n">
        <f>23450</f>
        <v>23450.0</v>
      </c>
      <c r="P143" s="34" t="s">
        <v>183</v>
      </c>
      <c r="Q143" s="33" t="n">
        <f>25060</f>
        <v>25060.0</v>
      </c>
      <c r="R143" s="34" t="s">
        <v>51</v>
      </c>
      <c r="S143" s="35" t="n">
        <f>24838.7</f>
        <v>24838.7</v>
      </c>
      <c r="T143" s="32" t="n">
        <f>6783</f>
        <v>6783.0</v>
      </c>
      <c r="U143" s="32" t="str">
        <f>"－"</f>
        <v>－</v>
      </c>
      <c r="V143" s="32" t="n">
        <f>169421600</f>
        <v>1.694216E8</v>
      </c>
      <c r="W143" s="32" t="str">
        <f>"－"</f>
        <v>－</v>
      </c>
      <c r="X143" s="36" t="n">
        <f>23</f>
        <v>23.0</v>
      </c>
    </row>
    <row r="144">
      <c r="A144" s="27" t="s">
        <v>42</v>
      </c>
      <c r="B144" s="27" t="s">
        <v>479</v>
      </c>
      <c r="C144" s="27" t="s">
        <v>480</v>
      </c>
      <c r="D144" s="27" t="s">
        <v>481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20480</f>
        <v>20480.0</v>
      </c>
      <c r="L144" s="34" t="s">
        <v>48</v>
      </c>
      <c r="M144" s="33" t="n">
        <f>22760</f>
        <v>22760.0</v>
      </c>
      <c r="N144" s="34" t="s">
        <v>51</v>
      </c>
      <c r="O144" s="33" t="n">
        <f>20420</f>
        <v>20420.0</v>
      </c>
      <c r="P144" s="34" t="s">
        <v>179</v>
      </c>
      <c r="Q144" s="33" t="n">
        <f>22650</f>
        <v>22650.0</v>
      </c>
      <c r="R144" s="34" t="s">
        <v>51</v>
      </c>
      <c r="S144" s="35" t="n">
        <f>21624.78</f>
        <v>21624.78</v>
      </c>
      <c r="T144" s="32" t="n">
        <f>4816</f>
        <v>4816.0</v>
      </c>
      <c r="U144" s="32" t="str">
        <f>"－"</f>
        <v>－</v>
      </c>
      <c r="V144" s="32" t="n">
        <f>104370640</f>
        <v>1.0437064E8</v>
      </c>
      <c r="W144" s="32" t="str">
        <f>"－"</f>
        <v>－</v>
      </c>
      <c r="X144" s="36" t="n">
        <f>23</f>
        <v>23.0</v>
      </c>
    </row>
    <row r="145">
      <c r="A145" s="27" t="s">
        <v>42</v>
      </c>
      <c r="B145" s="27" t="s">
        <v>482</v>
      </c>
      <c r="C145" s="27" t="s">
        <v>483</v>
      </c>
      <c r="D145" s="27" t="s">
        <v>484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14730</f>
        <v>14730.0</v>
      </c>
      <c r="L145" s="34" t="s">
        <v>48</v>
      </c>
      <c r="M145" s="33" t="n">
        <f>16480</f>
        <v>16480.0</v>
      </c>
      <c r="N145" s="34" t="s">
        <v>66</v>
      </c>
      <c r="O145" s="33" t="n">
        <f>14570</f>
        <v>14570.0</v>
      </c>
      <c r="P145" s="34" t="s">
        <v>48</v>
      </c>
      <c r="Q145" s="33" t="n">
        <f>16210</f>
        <v>16210.0</v>
      </c>
      <c r="R145" s="34" t="s">
        <v>51</v>
      </c>
      <c r="S145" s="35" t="n">
        <f>15713.48</f>
        <v>15713.48</v>
      </c>
      <c r="T145" s="32" t="n">
        <f>12327</f>
        <v>12327.0</v>
      </c>
      <c r="U145" s="32" t="str">
        <f>"－"</f>
        <v>－</v>
      </c>
      <c r="V145" s="32" t="n">
        <f>192672830</f>
        <v>1.9267283E8</v>
      </c>
      <c r="W145" s="32" t="str">
        <f>"－"</f>
        <v>－</v>
      </c>
      <c r="X145" s="36" t="n">
        <f>23</f>
        <v>23.0</v>
      </c>
    </row>
    <row r="146">
      <c r="A146" s="27" t="s">
        <v>42</v>
      </c>
      <c r="B146" s="27" t="s">
        <v>485</v>
      </c>
      <c r="C146" s="27" t="s">
        <v>486</v>
      </c>
      <c r="D146" s="27" t="s">
        <v>487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1.0</v>
      </c>
      <c r="K146" s="33" t="n">
        <f>39550</f>
        <v>39550.0</v>
      </c>
      <c r="L146" s="34" t="s">
        <v>48</v>
      </c>
      <c r="M146" s="33" t="n">
        <f>44250</f>
        <v>44250.0</v>
      </c>
      <c r="N146" s="34" t="s">
        <v>187</v>
      </c>
      <c r="O146" s="33" t="n">
        <f>39000</f>
        <v>39000.0</v>
      </c>
      <c r="P146" s="34" t="s">
        <v>183</v>
      </c>
      <c r="Q146" s="33" t="n">
        <f>41600</f>
        <v>41600.0</v>
      </c>
      <c r="R146" s="34" t="s">
        <v>51</v>
      </c>
      <c r="S146" s="35" t="n">
        <f>40660.87</f>
        <v>40660.87</v>
      </c>
      <c r="T146" s="32" t="n">
        <f>2909</f>
        <v>2909.0</v>
      </c>
      <c r="U146" s="32" t="str">
        <f>"－"</f>
        <v>－</v>
      </c>
      <c r="V146" s="32" t="n">
        <f>117657900</f>
        <v>1.176579E8</v>
      </c>
      <c r="W146" s="32" t="str">
        <f>"－"</f>
        <v>－</v>
      </c>
      <c r="X146" s="36" t="n">
        <f>23</f>
        <v>23.0</v>
      </c>
    </row>
    <row r="147">
      <c r="A147" s="27" t="s">
        <v>42</v>
      </c>
      <c r="B147" s="27" t="s">
        <v>488</v>
      </c>
      <c r="C147" s="27" t="s">
        <v>489</v>
      </c>
      <c r="D147" s="27" t="s">
        <v>490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1.0</v>
      </c>
      <c r="K147" s="33" t="n">
        <f>27280</f>
        <v>27280.0</v>
      </c>
      <c r="L147" s="34" t="s">
        <v>48</v>
      </c>
      <c r="M147" s="33" t="n">
        <f>28270</f>
        <v>28270.0</v>
      </c>
      <c r="N147" s="34" t="s">
        <v>70</v>
      </c>
      <c r="O147" s="33" t="n">
        <f>26170</f>
        <v>26170.0</v>
      </c>
      <c r="P147" s="34" t="s">
        <v>366</v>
      </c>
      <c r="Q147" s="33" t="n">
        <f>27810</f>
        <v>27810.0</v>
      </c>
      <c r="R147" s="34" t="s">
        <v>51</v>
      </c>
      <c r="S147" s="35" t="n">
        <f>27370.43</f>
        <v>27370.43</v>
      </c>
      <c r="T147" s="32" t="n">
        <f>9070</f>
        <v>9070.0</v>
      </c>
      <c r="U147" s="32" t="str">
        <f>"－"</f>
        <v>－</v>
      </c>
      <c r="V147" s="32" t="n">
        <f>246566620</f>
        <v>2.4656662E8</v>
      </c>
      <c r="W147" s="32" t="str">
        <f>"－"</f>
        <v>－</v>
      </c>
      <c r="X147" s="36" t="n">
        <f>23</f>
        <v>23.0</v>
      </c>
    </row>
    <row r="148">
      <c r="A148" s="27" t="s">
        <v>42</v>
      </c>
      <c r="B148" s="27" t="s">
        <v>491</v>
      </c>
      <c r="C148" s="27" t="s">
        <v>492</v>
      </c>
      <c r="D148" s="27" t="s">
        <v>493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30800</f>
        <v>30800.0</v>
      </c>
      <c r="L148" s="34" t="s">
        <v>48</v>
      </c>
      <c r="M148" s="33" t="n">
        <f>31900</f>
        <v>31900.0</v>
      </c>
      <c r="N148" s="34" t="s">
        <v>82</v>
      </c>
      <c r="O148" s="33" t="n">
        <f>29460</f>
        <v>29460.0</v>
      </c>
      <c r="P148" s="34" t="s">
        <v>50</v>
      </c>
      <c r="Q148" s="33" t="n">
        <f>30850</f>
        <v>30850.0</v>
      </c>
      <c r="R148" s="34" t="s">
        <v>51</v>
      </c>
      <c r="S148" s="35" t="n">
        <f>30759.13</f>
        <v>30759.13</v>
      </c>
      <c r="T148" s="32" t="n">
        <f>4785</f>
        <v>4785.0</v>
      </c>
      <c r="U148" s="32" t="str">
        <f>"－"</f>
        <v>－</v>
      </c>
      <c r="V148" s="32" t="n">
        <f>147067220</f>
        <v>1.4706722E8</v>
      </c>
      <c r="W148" s="32" t="str">
        <f>"－"</f>
        <v>－</v>
      </c>
      <c r="X148" s="36" t="n">
        <f>23</f>
        <v>23.0</v>
      </c>
    </row>
    <row r="149">
      <c r="A149" s="27" t="s">
        <v>42</v>
      </c>
      <c r="B149" s="27" t="s">
        <v>494</v>
      </c>
      <c r="C149" s="27" t="s">
        <v>495</v>
      </c>
      <c r="D149" s="27" t="s">
        <v>496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6190</f>
        <v>6190.0</v>
      </c>
      <c r="L149" s="34" t="s">
        <v>48</v>
      </c>
      <c r="M149" s="33" t="n">
        <f>7110</f>
        <v>7110.0</v>
      </c>
      <c r="N149" s="34" t="s">
        <v>149</v>
      </c>
      <c r="O149" s="33" t="n">
        <f>6150</f>
        <v>6150.0</v>
      </c>
      <c r="P149" s="34" t="s">
        <v>183</v>
      </c>
      <c r="Q149" s="33" t="n">
        <f>6920</f>
        <v>6920.0</v>
      </c>
      <c r="R149" s="34" t="s">
        <v>51</v>
      </c>
      <c r="S149" s="35" t="n">
        <f>6700.87</f>
        <v>6700.87</v>
      </c>
      <c r="T149" s="32" t="n">
        <f>24589</f>
        <v>24589.0</v>
      </c>
      <c r="U149" s="32" t="str">
        <f>"－"</f>
        <v>－</v>
      </c>
      <c r="V149" s="32" t="n">
        <f>164600570</f>
        <v>1.6460057E8</v>
      </c>
      <c r="W149" s="32" t="str">
        <f>"－"</f>
        <v>－</v>
      </c>
      <c r="X149" s="36" t="n">
        <f>23</f>
        <v>23.0</v>
      </c>
    </row>
    <row r="150">
      <c r="A150" s="27" t="s">
        <v>42</v>
      </c>
      <c r="B150" s="27" t="s">
        <v>497</v>
      </c>
      <c r="C150" s="27" t="s">
        <v>498</v>
      </c>
      <c r="D150" s="27" t="s">
        <v>499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15490</f>
        <v>15490.0</v>
      </c>
      <c r="L150" s="34" t="s">
        <v>48</v>
      </c>
      <c r="M150" s="33" t="n">
        <f>16450</f>
        <v>16450.0</v>
      </c>
      <c r="N150" s="34" t="s">
        <v>66</v>
      </c>
      <c r="O150" s="33" t="n">
        <f>15030</f>
        <v>15030.0</v>
      </c>
      <c r="P150" s="34" t="s">
        <v>179</v>
      </c>
      <c r="Q150" s="33" t="n">
        <f>15300</f>
        <v>15300.0</v>
      </c>
      <c r="R150" s="34" t="s">
        <v>51</v>
      </c>
      <c r="S150" s="35" t="n">
        <f>15632.17</f>
        <v>15632.17</v>
      </c>
      <c r="T150" s="32" t="n">
        <f>47169</f>
        <v>47169.0</v>
      </c>
      <c r="U150" s="32" t="n">
        <f>1</f>
        <v>1.0</v>
      </c>
      <c r="V150" s="32" t="n">
        <f>738178405</f>
        <v>7.38178405E8</v>
      </c>
      <c r="W150" s="32" t="n">
        <f>15605</f>
        <v>15605.0</v>
      </c>
      <c r="X150" s="36" t="n">
        <f>23</f>
        <v>23.0</v>
      </c>
    </row>
    <row r="151">
      <c r="A151" s="27" t="s">
        <v>42</v>
      </c>
      <c r="B151" s="27" t="s">
        <v>500</v>
      </c>
      <c r="C151" s="27" t="s">
        <v>501</v>
      </c>
      <c r="D151" s="27" t="s">
        <v>502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37300</f>
        <v>37300.0</v>
      </c>
      <c r="L151" s="34" t="s">
        <v>48</v>
      </c>
      <c r="M151" s="33" t="n">
        <f>40900</f>
        <v>40900.0</v>
      </c>
      <c r="N151" s="34" t="s">
        <v>149</v>
      </c>
      <c r="O151" s="33" t="n">
        <f>37300</f>
        <v>37300.0</v>
      </c>
      <c r="P151" s="34" t="s">
        <v>48</v>
      </c>
      <c r="Q151" s="33" t="n">
        <f>40000</f>
        <v>40000.0</v>
      </c>
      <c r="R151" s="34" t="s">
        <v>51</v>
      </c>
      <c r="S151" s="35" t="n">
        <f>39369.57</f>
        <v>39369.57</v>
      </c>
      <c r="T151" s="32" t="n">
        <f>7054</f>
        <v>7054.0</v>
      </c>
      <c r="U151" s="32" t="str">
        <f>"－"</f>
        <v>－</v>
      </c>
      <c r="V151" s="32" t="n">
        <f>278876700</f>
        <v>2.788767E8</v>
      </c>
      <c r="W151" s="32" t="str">
        <f>"－"</f>
        <v>－</v>
      </c>
      <c r="X151" s="36" t="n">
        <f>23</f>
        <v>23.0</v>
      </c>
    </row>
    <row r="152">
      <c r="A152" s="27" t="s">
        <v>42</v>
      </c>
      <c r="B152" s="27" t="s">
        <v>503</v>
      </c>
      <c r="C152" s="27" t="s">
        <v>504</v>
      </c>
      <c r="D152" s="27" t="s">
        <v>505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23730</f>
        <v>23730.0</v>
      </c>
      <c r="L152" s="34" t="s">
        <v>48</v>
      </c>
      <c r="M152" s="33" t="n">
        <f>25190</f>
        <v>25190.0</v>
      </c>
      <c r="N152" s="34" t="s">
        <v>66</v>
      </c>
      <c r="O152" s="33" t="n">
        <f>23310</f>
        <v>23310.0</v>
      </c>
      <c r="P152" s="34" t="s">
        <v>187</v>
      </c>
      <c r="Q152" s="33" t="n">
        <f>24500</f>
        <v>24500.0</v>
      </c>
      <c r="R152" s="34" t="s">
        <v>51</v>
      </c>
      <c r="S152" s="35" t="n">
        <f>24208.18</f>
        <v>24208.18</v>
      </c>
      <c r="T152" s="32" t="n">
        <f>404</f>
        <v>404.0</v>
      </c>
      <c r="U152" s="32" t="str">
        <f>"－"</f>
        <v>－</v>
      </c>
      <c r="V152" s="32" t="n">
        <f>9750740</f>
        <v>9750740.0</v>
      </c>
      <c r="W152" s="32" t="str">
        <f>"－"</f>
        <v>－</v>
      </c>
      <c r="X152" s="36" t="n">
        <f>22</f>
        <v>22.0</v>
      </c>
    </row>
    <row r="153">
      <c r="A153" s="27" t="s">
        <v>42</v>
      </c>
      <c r="B153" s="27" t="s">
        <v>506</v>
      </c>
      <c r="C153" s="27" t="s">
        <v>507</v>
      </c>
      <c r="D153" s="27" t="s">
        <v>508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7450</f>
        <v>7450.0</v>
      </c>
      <c r="L153" s="34" t="s">
        <v>48</v>
      </c>
      <c r="M153" s="33" t="n">
        <f>8870</f>
        <v>8870.0</v>
      </c>
      <c r="N153" s="34" t="s">
        <v>66</v>
      </c>
      <c r="O153" s="33" t="n">
        <f>7450</f>
        <v>7450.0</v>
      </c>
      <c r="P153" s="34" t="s">
        <v>48</v>
      </c>
      <c r="Q153" s="33" t="n">
        <f>8200</f>
        <v>8200.0</v>
      </c>
      <c r="R153" s="34" t="s">
        <v>51</v>
      </c>
      <c r="S153" s="35" t="n">
        <f>8089.13</f>
        <v>8089.13</v>
      </c>
      <c r="T153" s="32" t="n">
        <f>102495</f>
        <v>102495.0</v>
      </c>
      <c r="U153" s="32" t="n">
        <f>14</f>
        <v>14.0</v>
      </c>
      <c r="V153" s="32" t="n">
        <f>846412560</f>
        <v>8.4641256E8</v>
      </c>
      <c r="W153" s="32" t="n">
        <f>121520</f>
        <v>121520.0</v>
      </c>
      <c r="X153" s="36" t="n">
        <f>23</f>
        <v>23.0</v>
      </c>
    </row>
    <row r="154">
      <c r="A154" s="27" t="s">
        <v>42</v>
      </c>
      <c r="B154" s="27" t="s">
        <v>509</v>
      </c>
      <c r="C154" s="27" t="s">
        <v>510</v>
      </c>
      <c r="D154" s="27" t="s">
        <v>511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12650</f>
        <v>12650.0</v>
      </c>
      <c r="L154" s="34" t="s">
        <v>48</v>
      </c>
      <c r="M154" s="33" t="n">
        <f>13910</f>
        <v>13910.0</v>
      </c>
      <c r="N154" s="34" t="s">
        <v>49</v>
      </c>
      <c r="O154" s="33" t="n">
        <f>12560</f>
        <v>12560.0</v>
      </c>
      <c r="P154" s="34" t="s">
        <v>48</v>
      </c>
      <c r="Q154" s="33" t="n">
        <f>13240</f>
        <v>13240.0</v>
      </c>
      <c r="R154" s="34" t="s">
        <v>51</v>
      </c>
      <c r="S154" s="35" t="n">
        <f>13247.83</f>
        <v>13247.83</v>
      </c>
      <c r="T154" s="32" t="n">
        <f>8016</f>
        <v>8016.0</v>
      </c>
      <c r="U154" s="32" t="str">
        <f>"－"</f>
        <v>－</v>
      </c>
      <c r="V154" s="32" t="n">
        <f>107444130</f>
        <v>1.0744413E8</v>
      </c>
      <c r="W154" s="32" t="str">
        <f>"－"</f>
        <v>－</v>
      </c>
      <c r="X154" s="36" t="n">
        <f>23</f>
        <v>23.0</v>
      </c>
    </row>
    <row r="155">
      <c r="A155" s="27" t="s">
        <v>42</v>
      </c>
      <c r="B155" s="27" t="s">
        <v>512</v>
      </c>
      <c r="C155" s="27" t="s">
        <v>513</v>
      </c>
      <c r="D155" s="27" t="s">
        <v>514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28880</f>
        <v>28880.0</v>
      </c>
      <c r="L155" s="34" t="s">
        <v>48</v>
      </c>
      <c r="M155" s="33" t="n">
        <f>31700</f>
        <v>31700.0</v>
      </c>
      <c r="N155" s="34" t="s">
        <v>66</v>
      </c>
      <c r="O155" s="33" t="n">
        <f>28670</f>
        <v>28670.0</v>
      </c>
      <c r="P155" s="34" t="s">
        <v>48</v>
      </c>
      <c r="Q155" s="33" t="n">
        <f>30400</f>
        <v>30400.0</v>
      </c>
      <c r="R155" s="34" t="s">
        <v>51</v>
      </c>
      <c r="S155" s="35" t="n">
        <f>29945.65</f>
        <v>29945.65</v>
      </c>
      <c r="T155" s="32" t="n">
        <f>2168</f>
        <v>2168.0</v>
      </c>
      <c r="U155" s="32" t="str">
        <f>"－"</f>
        <v>－</v>
      </c>
      <c r="V155" s="32" t="n">
        <f>65715910</f>
        <v>6.571591E7</v>
      </c>
      <c r="W155" s="32" t="str">
        <f>"－"</f>
        <v>－</v>
      </c>
      <c r="X155" s="36" t="n">
        <f>23</f>
        <v>23.0</v>
      </c>
    </row>
    <row r="156">
      <c r="A156" s="27" t="s">
        <v>42</v>
      </c>
      <c r="B156" s="27" t="s">
        <v>515</v>
      </c>
      <c r="C156" s="27" t="s">
        <v>516</v>
      </c>
      <c r="D156" s="27" t="s">
        <v>517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1010</f>
        <v>1010.0</v>
      </c>
      <c r="L156" s="34" t="s">
        <v>48</v>
      </c>
      <c r="M156" s="33" t="n">
        <f>1125</f>
        <v>1125.0</v>
      </c>
      <c r="N156" s="34" t="s">
        <v>93</v>
      </c>
      <c r="O156" s="33" t="n">
        <f>1002</f>
        <v>1002.0</v>
      </c>
      <c r="P156" s="34" t="s">
        <v>179</v>
      </c>
      <c r="Q156" s="33" t="n">
        <f>1092</f>
        <v>1092.0</v>
      </c>
      <c r="R156" s="34" t="s">
        <v>51</v>
      </c>
      <c r="S156" s="35" t="n">
        <f>1064.91</f>
        <v>1064.91</v>
      </c>
      <c r="T156" s="32" t="n">
        <f>419430</f>
        <v>419430.0</v>
      </c>
      <c r="U156" s="32" t="n">
        <f>93010</f>
        <v>93010.0</v>
      </c>
      <c r="V156" s="32" t="n">
        <f>451722050</f>
        <v>4.5172205E8</v>
      </c>
      <c r="W156" s="32" t="n">
        <f>100544010</f>
        <v>1.0054401E8</v>
      </c>
      <c r="X156" s="36" t="n">
        <f>23</f>
        <v>23.0</v>
      </c>
    </row>
    <row r="157">
      <c r="A157" s="27" t="s">
        <v>42</v>
      </c>
      <c r="B157" s="27" t="s">
        <v>518</v>
      </c>
      <c r="C157" s="27" t="s">
        <v>519</v>
      </c>
      <c r="D157" s="27" t="s">
        <v>520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10.0</v>
      </c>
      <c r="K157" s="33" t="n">
        <f>2339</f>
        <v>2339.0</v>
      </c>
      <c r="L157" s="34" t="s">
        <v>48</v>
      </c>
      <c r="M157" s="33" t="n">
        <f>2444</f>
        <v>2444.0</v>
      </c>
      <c r="N157" s="34" t="s">
        <v>82</v>
      </c>
      <c r="O157" s="33" t="n">
        <f>2307</f>
        <v>2307.0</v>
      </c>
      <c r="P157" s="34" t="s">
        <v>183</v>
      </c>
      <c r="Q157" s="33" t="n">
        <f>2425</f>
        <v>2425.0</v>
      </c>
      <c r="R157" s="34" t="s">
        <v>51</v>
      </c>
      <c r="S157" s="35" t="n">
        <f>2377.55</f>
        <v>2377.55</v>
      </c>
      <c r="T157" s="32" t="n">
        <f>4050</f>
        <v>4050.0</v>
      </c>
      <c r="U157" s="32" t="str">
        <f>"－"</f>
        <v>－</v>
      </c>
      <c r="V157" s="32" t="n">
        <f>9784580</f>
        <v>9784580.0</v>
      </c>
      <c r="W157" s="32" t="str">
        <f>"－"</f>
        <v>－</v>
      </c>
      <c r="X157" s="36" t="n">
        <f>11</f>
        <v>11.0</v>
      </c>
    </row>
    <row r="158">
      <c r="A158" s="27" t="s">
        <v>42</v>
      </c>
      <c r="B158" s="27" t="s">
        <v>521</v>
      </c>
      <c r="C158" s="27" t="s">
        <v>522</v>
      </c>
      <c r="D158" s="27" t="s">
        <v>523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10.0</v>
      </c>
      <c r="K158" s="33" t="n">
        <f>2403</f>
        <v>2403.0</v>
      </c>
      <c r="L158" s="34" t="s">
        <v>48</v>
      </c>
      <c r="M158" s="33" t="n">
        <f>2530</f>
        <v>2530.0</v>
      </c>
      <c r="N158" s="34" t="s">
        <v>82</v>
      </c>
      <c r="O158" s="33" t="n">
        <f>2344</f>
        <v>2344.0</v>
      </c>
      <c r="P158" s="34" t="s">
        <v>50</v>
      </c>
      <c r="Q158" s="33" t="n">
        <f>2493</f>
        <v>2493.0</v>
      </c>
      <c r="R158" s="34" t="s">
        <v>51</v>
      </c>
      <c r="S158" s="35" t="n">
        <f>2447.04</f>
        <v>2447.04</v>
      </c>
      <c r="T158" s="32" t="n">
        <f>52060</f>
        <v>52060.0</v>
      </c>
      <c r="U158" s="32" t="str">
        <f>"－"</f>
        <v>－</v>
      </c>
      <c r="V158" s="32" t="n">
        <f>126695310</f>
        <v>1.2669531E8</v>
      </c>
      <c r="W158" s="32" t="str">
        <f>"－"</f>
        <v>－</v>
      </c>
      <c r="X158" s="36" t="n">
        <f>23</f>
        <v>23.0</v>
      </c>
    </row>
    <row r="159">
      <c r="A159" s="27" t="s">
        <v>42</v>
      </c>
      <c r="B159" s="27" t="s">
        <v>524</v>
      </c>
      <c r="C159" s="27" t="s">
        <v>525</v>
      </c>
      <c r="D159" s="27" t="s">
        <v>526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10.0</v>
      </c>
      <c r="K159" s="33" t="n">
        <f>1444</f>
        <v>1444.0</v>
      </c>
      <c r="L159" s="34" t="s">
        <v>48</v>
      </c>
      <c r="M159" s="33" t="n">
        <f>1529</f>
        <v>1529.0</v>
      </c>
      <c r="N159" s="34" t="s">
        <v>49</v>
      </c>
      <c r="O159" s="33" t="n">
        <f>1414</f>
        <v>1414.0</v>
      </c>
      <c r="P159" s="34" t="s">
        <v>50</v>
      </c>
      <c r="Q159" s="33" t="n">
        <f>1516</f>
        <v>1516.0</v>
      </c>
      <c r="R159" s="34" t="s">
        <v>70</v>
      </c>
      <c r="S159" s="35" t="n">
        <f>1479.95</f>
        <v>1479.95</v>
      </c>
      <c r="T159" s="32" t="n">
        <f>2740</f>
        <v>2740.0</v>
      </c>
      <c r="U159" s="32" t="str">
        <f>"－"</f>
        <v>－</v>
      </c>
      <c r="V159" s="32" t="n">
        <f>4012750</f>
        <v>4012750.0</v>
      </c>
      <c r="W159" s="32" t="str">
        <f>"－"</f>
        <v>－</v>
      </c>
      <c r="X159" s="36" t="n">
        <f>20</f>
        <v>20.0</v>
      </c>
    </row>
    <row r="160">
      <c r="A160" s="27" t="s">
        <v>42</v>
      </c>
      <c r="B160" s="27" t="s">
        <v>527</v>
      </c>
      <c r="C160" s="27" t="s">
        <v>528</v>
      </c>
      <c r="D160" s="27" t="s">
        <v>529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2922</f>
        <v>2922.0</v>
      </c>
      <c r="L160" s="34" t="s">
        <v>48</v>
      </c>
      <c r="M160" s="33" t="n">
        <f>3145</f>
        <v>3145.0</v>
      </c>
      <c r="N160" s="34" t="s">
        <v>51</v>
      </c>
      <c r="O160" s="33" t="n">
        <f>2879</f>
        <v>2879.0</v>
      </c>
      <c r="P160" s="34" t="s">
        <v>50</v>
      </c>
      <c r="Q160" s="33" t="n">
        <f>3140</f>
        <v>3140.0</v>
      </c>
      <c r="R160" s="34" t="s">
        <v>51</v>
      </c>
      <c r="S160" s="35" t="n">
        <f>3036.13</f>
        <v>3036.13</v>
      </c>
      <c r="T160" s="32" t="n">
        <f>2368799</f>
        <v>2368799.0</v>
      </c>
      <c r="U160" s="32" t="n">
        <f>22</f>
        <v>22.0</v>
      </c>
      <c r="V160" s="32" t="n">
        <f>7139140711</f>
        <v>7.139140711E9</v>
      </c>
      <c r="W160" s="32" t="n">
        <f>67040</f>
        <v>67040.0</v>
      </c>
      <c r="X160" s="36" t="n">
        <f>23</f>
        <v>23.0</v>
      </c>
    </row>
    <row r="161">
      <c r="A161" s="27" t="s">
        <v>42</v>
      </c>
      <c r="B161" s="27" t="s">
        <v>530</v>
      </c>
      <c r="C161" s="27" t="s">
        <v>531</v>
      </c>
      <c r="D161" s="27" t="s">
        <v>532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2549</f>
        <v>2549.0</v>
      </c>
      <c r="L161" s="34" t="s">
        <v>48</v>
      </c>
      <c r="M161" s="33" t="n">
        <f>2594</f>
        <v>2594.0</v>
      </c>
      <c r="N161" s="34" t="s">
        <v>51</v>
      </c>
      <c r="O161" s="33" t="n">
        <f>2546</f>
        <v>2546.0</v>
      </c>
      <c r="P161" s="34" t="s">
        <v>183</v>
      </c>
      <c r="Q161" s="33" t="n">
        <f>2594</f>
        <v>2594.0</v>
      </c>
      <c r="R161" s="34" t="s">
        <v>51</v>
      </c>
      <c r="S161" s="35" t="n">
        <f>2567.74</f>
        <v>2567.74</v>
      </c>
      <c r="T161" s="32" t="n">
        <f>515730</f>
        <v>515730.0</v>
      </c>
      <c r="U161" s="32" t="n">
        <f>9</f>
        <v>9.0</v>
      </c>
      <c r="V161" s="32" t="n">
        <f>1323372797</f>
        <v>1.323372797E9</v>
      </c>
      <c r="W161" s="32" t="n">
        <f>23122</f>
        <v>23122.0</v>
      </c>
      <c r="X161" s="36" t="n">
        <f>23</f>
        <v>23.0</v>
      </c>
    </row>
    <row r="162">
      <c r="A162" s="27" t="s">
        <v>42</v>
      </c>
      <c r="B162" s="27" t="s">
        <v>533</v>
      </c>
      <c r="C162" s="27" t="s">
        <v>534</v>
      </c>
      <c r="D162" s="27" t="s">
        <v>535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2627</f>
        <v>2627.0</v>
      </c>
      <c r="L162" s="34" t="s">
        <v>48</v>
      </c>
      <c r="M162" s="33" t="n">
        <f>2820</f>
        <v>2820.0</v>
      </c>
      <c r="N162" s="34" t="s">
        <v>51</v>
      </c>
      <c r="O162" s="33" t="n">
        <f>2600</f>
        <v>2600.0</v>
      </c>
      <c r="P162" s="34" t="s">
        <v>89</v>
      </c>
      <c r="Q162" s="33" t="n">
        <f>2817</f>
        <v>2817.0</v>
      </c>
      <c r="R162" s="34" t="s">
        <v>51</v>
      </c>
      <c r="S162" s="35" t="n">
        <f>2727.13</f>
        <v>2727.13</v>
      </c>
      <c r="T162" s="32" t="n">
        <f>288269</f>
        <v>288269.0</v>
      </c>
      <c r="U162" s="32" t="n">
        <f>218011</f>
        <v>218011.0</v>
      </c>
      <c r="V162" s="32" t="n">
        <f>792177433</f>
        <v>7.92177433E8</v>
      </c>
      <c r="W162" s="32" t="n">
        <f>600738115</f>
        <v>6.00738115E8</v>
      </c>
      <c r="X162" s="36" t="n">
        <f>23</f>
        <v>23.0</v>
      </c>
    </row>
    <row r="163">
      <c r="A163" s="27" t="s">
        <v>42</v>
      </c>
      <c r="B163" s="27" t="s">
        <v>536</v>
      </c>
      <c r="C163" s="27" t="s">
        <v>537</v>
      </c>
      <c r="D163" s="27" t="s">
        <v>538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1.0</v>
      </c>
      <c r="K163" s="33" t="n">
        <f>2321</f>
        <v>2321.0</v>
      </c>
      <c r="L163" s="34" t="s">
        <v>48</v>
      </c>
      <c r="M163" s="33" t="n">
        <f>2414</f>
        <v>2414.0</v>
      </c>
      <c r="N163" s="34" t="s">
        <v>187</v>
      </c>
      <c r="O163" s="33" t="n">
        <f>2268</f>
        <v>2268.0</v>
      </c>
      <c r="P163" s="34" t="s">
        <v>62</v>
      </c>
      <c r="Q163" s="33" t="n">
        <f>2357</f>
        <v>2357.0</v>
      </c>
      <c r="R163" s="34" t="s">
        <v>51</v>
      </c>
      <c r="S163" s="35" t="n">
        <f>2345.39</f>
        <v>2345.39</v>
      </c>
      <c r="T163" s="32" t="n">
        <f>165954</f>
        <v>165954.0</v>
      </c>
      <c r="U163" s="32" t="str">
        <f>"－"</f>
        <v>－</v>
      </c>
      <c r="V163" s="32" t="n">
        <f>389462143</f>
        <v>3.89462143E8</v>
      </c>
      <c r="W163" s="32" t="str">
        <f>"－"</f>
        <v>－</v>
      </c>
      <c r="X163" s="36" t="n">
        <f>23</f>
        <v>23.0</v>
      </c>
    </row>
    <row r="164">
      <c r="A164" s="27" t="s">
        <v>42</v>
      </c>
      <c r="B164" s="27" t="s">
        <v>539</v>
      </c>
      <c r="C164" s="27" t="s">
        <v>540</v>
      </c>
      <c r="D164" s="27" t="s">
        <v>541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1991</f>
        <v>1991.0</v>
      </c>
      <c r="L164" s="34" t="s">
        <v>48</v>
      </c>
      <c r="M164" s="33" t="n">
        <f>2200</f>
        <v>2200.0</v>
      </c>
      <c r="N164" s="34" t="s">
        <v>51</v>
      </c>
      <c r="O164" s="33" t="n">
        <f>1990</f>
        <v>1990.0</v>
      </c>
      <c r="P164" s="34" t="s">
        <v>48</v>
      </c>
      <c r="Q164" s="33" t="n">
        <f>2200</f>
        <v>2200.0</v>
      </c>
      <c r="R164" s="34" t="s">
        <v>51</v>
      </c>
      <c r="S164" s="35" t="n">
        <f>2104.65</f>
        <v>2104.65</v>
      </c>
      <c r="T164" s="32" t="n">
        <f>548317</f>
        <v>548317.0</v>
      </c>
      <c r="U164" s="32" t="str">
        <f>"－"</f>
        <v>－</v>
      </c>
      <c r="V164" s="32" t="n">
        <f>1152734082</f>
        <v>1.152734082E9</v>
      </c>
      <c r="W164" s="32" t="str">
        <f>"－"</f>
        <v>－</v>
      </c>
      <c r="X164" s="36" t="n">
        <f>23</f>
        <v>23.0</v>
      </c>
    </row>
    <row r="165">
      <c r="A165" s="27" t="s">
        <v>42</v>
      </c>
      <c r="B165" s="27" t="s">
        <v>542</v>
      </c>
      <c r="C165" s="27" t="s">
        <v>543</v>
      </c>
      <c r="D165" s="27" t="s">
        <v>544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1.0</v>
      </c>
      <c r="K165" s="33" t="n">
        <f>10910</f>
        <v>10910.0</v>
      </c>
      <c r="L165" s="34" t="s">
        <v>48</v>
      </c>
      <c r="M165" s="33" t="n">
        <f>11770</f>
        <v>11770.0</v>
      </c>
      <c r="N165" s="34" t="s">
        <v>51</v>
      </c>
      <c r="O165" s="33" t="n">
        <f>10870</f>
        <v>10870.0</v>
      </c>
      <c r="P165" s="34" t="s">
        <v>50</v>
      </c>
      <c r="Q165" s="33" t="n">
        <f>11720</f>
        <v>11720.0</v>
      </c>
      <c r="R165" s="34" t="s">
        <v>51</v>
      </c>
      <c r="S165" s="35" t="n">
        <f>11279.57</f>
        <v>11279.57</v>
      </c>
      <c r="T165" s="32" t="n">
        <f>34685</f>
        <v>34685.0</v>
      </c>
      <c r="U165" s="32" t="str">
        <f>"－"</f>
        <v>－</v>
      </c>
      <c r="V165" s="32" t="n">
        <f>393145610</f>
        <v>3.9314561E8</v>
      </c>
      <c r="W165" s="32" t="str">
        <f>"－"</f>
        <v>－</v>
      </c>
      <c r="X165" s="36" t="n">
        <f>23</f>
        <v>23.0</v>
      </c>
    </row>
    <row r="166">
      <c r="A166" s="27" t="s">
        <v>42</v>
      </c>
      <c r="B166" s="27" t="s">
        <v>545</v>
      </c>
      <c r="C166" s="27" t="s">
        <v>546</v>
      </c>
      <c r="D166" s="27" t="s">
        <v>547</v>
      </c>
      <c r="E166" s="28" t="s">
        <v>46</v>
      </c>
      <c r="F166" s="29" t="s">
        <v>46</v>
      </c>
      <c r="G166" s="30" t="s">
        <v>46</v>
      </c>
      <c r="H166" s="31" t="s">
        <v>548</v>
      </c>
      <c r="I166" s="31"/>
      <c r="J166" s="32" t="n">
        <v>100.0</v>
      </c>
      <c r="K166" s="33" t="n">
        <f>129</f>
        <v>129.0</v>
      </c>
      <c r="L166" s="34" t="s">
        <v>48</v>
      </c>
      <c r="M166" s="33" t="n">
        <f>143</f>
        <v>143.0</v>
      </c>
      <c r="N166" s="34" t="s">
        <v>82</v>
      </c>
      <c r="O166" s="33" t="n">
        <f>127</f>
        <v>127.0</v>
      </c>
      <c r="P166" s="34" t="s">
        <v>48</v>
      </c>
      <c r="Q166" s="33" t="n">
        <f>141</f>
        <v>141.0</v>
      </c>
      <c r="R166" s="34" t="s">
        <v>51</v>
      </c>
      <c r="S166" s="35" t="n">
        <f>136</f>
        <v>136.0</v>
      </c>
      <c r="T166" s="32" t="n">
        <f>353000</f>
        <v>353000.0</v>
      </c>
      <c r="U166" s="32" t="str">
        <f>"－"</f>
        <v>－</v>
      </c>
      <c r="V166" s="32" t="n">
        <f>48486700</f>
        <v>4.84867E7</v>
      </c>
      <c r="W166" s="32" t="str">
        <f>"－"</f>
        <v>－</v>
      </c>
      <c r="X166" s="36" t="n">
        <f>23</f>
        <v>23.0</v>
      </c>
    </row>
    <row r="167">
      <c r="A167" s="27" t="s">
        <v>42</v>
      </c>
      <c r="B167" s="27" t="s">
        <v>549</v>
      </c>
      <c r="C167" s="27" t="s">
        <v>550</v>
      </c>
      <c r="D167" s="27" t="s">
        <v>551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1267</f>
        <v>1267.0</v>
      </c>
      <c r="L167" s="34" t="s">
        <v>48</v>
      </c>
      <c r="M167" s="33" t="n">
        <f>1405</f>
        <v>1405.0</v>
      </c>
      <c r="N167" s="34" t="s">
        <v>89</v>
      </c>
      <c r="O167" s="33" t="n">
        <f>1197</f>
        <v>1197.0</v>
      </c>
      <c r="P167" s="34" t="s">
        <v>191</v>
      </c>
      <c r="Q167" s="33" t="n">
        <f>1295</f>
        <v>1295.0</v>
      </c>
      <c r="R167" s="34" t="s">
        <v>51</v>
      </c>
      <c r="S167" s="35" t="n">
        <f>1297.35</f>
        <v>1297.35</v>
      </c>
      <c r="T167" s="32" t="n">
        <f>60154587</f>
        <v>6.0154587E7</v>
      </c>
      <c r="U167" s="32" t="n">
        <f>15967</f>
        <v>15967.0</v>
      </c>
      <c r="V167" s="32" t="n">
        <f>78287423503</f>
        <v>7.8287423503E10</v>
      </c>
      <c r="W167" s="32" t="n">
        <f>20122077</f>
        <v>2.0122077E7</v>
      </c>
      <c r="X167" s="36" t="n">
        <f>23</f>
        <v>23.0</v>
      </c>
    </row>
    <row r="168">
      <c r="A168" s="27" t="s">
        <v>42</v>
      </c>
      <c r="B168" s="27" t="s">
        <v>552</v>
      </c>
      <c r="C168" s="27" t="s">
        <v>553</v>
      </c>
      <c r="D168" s="27" t="s">
        <v>554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1.0</v>
      </c>
      <c r="K168" s="33" t="n">
        <f>17950</f>
        <v>17950.0</v>
      </c>
      <c r="L168" s="34" t="s">
        <v>48</v>
      </c>
      <c r="M168" s="33" t="n">
        <f>18400</f>
        <v>18400.0</v>
      </c>
      <c r="N168" s="34" t="s">
        <v>62</v>
      </c>
      <c r="O168" s="33" t="n">
        <f>17600</f>
        <v>17600.0</v>
      </c>
      <c r="P168" s="34" t="s">
        <v>89</v>
      </c>
      <c r="Q168" s="33" t="n">
        <f>17710</f>
        <v>17710.0</v>
      </c>
      <c r="R168" s="34" t="s">
        <v>51</v>
      </c>
      <c r="S168" s="35" t="n">
        <f>17915.22</f>
        <v>17915.22</v>
      </c>
      <c r="T168" s="32" t="n">
        <f>11405</f>
        <v>11405.0</v>
      </c>
      <c r="U168" s="32" t="str">
        <f>"－"</f>
        <v>－</v>
      </c>
      <c r="V168" s="32" t="n">
        <f>204096680</f>
        <v>2.0409668E8</v>
      </c>
      <c r="W168" s="32" t="str">
        <f>"－"</f>
        <v>－</v>
      </c>
      <c r="X168" s="36" t="n">
        <f>23</f>
        <v>23.0</v>
      </c>
    </row>
    <row r="169">
      <c r="A169" s="27" t="s">
        <v>42</v>
      </c>
      <c r="B169" s="27" t="s">
        <v>555</v>
      </c>
      <c r="C169" s="27" t="s">
        <v>556</v>
      </c>
      <c r="D169" s="27" t="s">
        <v>557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2695</f>
        <v>2695.0</v>
      </c>
      <c r="L169" s="34" t="s">
        <v>48</v>
      </c>
      <c r="M169" s="33" t="n">
        <f>2714</f>
        <v>2714.0</v>
      </c>
      <c r="N169" s="34" t="s">
        <v>82</v>
      </c>
      <c r="O169" s="33" t="n">
        <f>2460</f>
        <v>2460.0</v>
      </c>
      <c r="P169" s="34" t="s">
        <v>51</v>
      </c>
      <c r="Q169" s="33" t="n">
        <f>2468</f>
        <v>2468.0</v>
      </c>
      <c r="R169" s="34" t="s">
        <v>51</v>
      </c>
      <c r="S169" s="35" t="n">
        <f>2608.52</f>
        <v>2608.52</v>
      </c>
      <c r="T169" s="32" t="n">
        <f>75660</f>
        <v>75660.0</v>
      </c>
      <c r="U169" s="32" t="str">
        <f>"－"</f>
        <v>－</v>
      </c>
      <c r="V169" s="32" t="n">
        <f>197257950</f>
        <v>1.9725795E8</v>
      </c>
      <c r="W169" s="32" t="str">
        <f>"－"</f>
        <v>－</v>
      </c>
      <c r="X169" s="36" t="n">
        <f>23</f>
        <v>23.0</v>
      </c>
    </row>
    <row r="170">
      <c r="A170" s="27" t="s">
        <v>42</v>
      </c>
      <c r="B170" s="27" t="s">
        <v>558</v>
      </c>
      <c r="C170" s="27" t="s">
        <v>559</v>
      </c>
      <c r="D170" s="27" t="s">
        <v>560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1.0</v>
      </c>
      <c r="K170" s="33" t="n">
        <f>11850</f>
        <v>11850.0</v>
      </c>
      <c r="L170" s="34" t="s">
        <v>48</v>
      </c>
      <c r="M170" s="33" t="n">
        <f>12550</f>
        <v>12550.0</v>
      </c>
      <c r="N170" s="34" t="s">
        <v>406</v>
      </c>
      <c r="O170" s="33" t="n">
        <f>11110</f>
        <v>11110.0</v>
      </c>
      <c r="P170" s="34" t="s">
        <v>50</v>
      </c>
      <c r="Q170" s="33" t="n">
        <f>11960</f>
        <v>11960.0</v>
      </c>
      <c r="R170" s="34" t="s">
        <v>51</v>
      </c>
      <c r="S170" s="35" t="n">
        <f>11998.7</f>
        <v>11998.7</v>
      </c>
      <c r="T170" s="32" t="n">
        <f>9988</f>
        <v>9988.0</v>
      </c>
      <c r="U170" s="32" t="str">
        <f>"－"</f>
        <v>－</v>
      </c>
      <c r="V170" s="32" t="n">
        <f>119189120</f>
        <v>1.1918912E8</v>
      </c>
      <c r="W170" s="32" t="str">
        <f>"－"</f>
        <v>－</v>
      </c>
      <c r="X170" s="36" t="n">
        <f>23</f>
        <v>23.0</v>
      </c>
    </row>
    <row r="171">
      <c r="A171" s="27" t="s">
        <v>42</v>
      </c>
      <c r="B171" s="27" t="s">
        <v>561</v>
      </c>
      <c r="C171" s="27" t="s">
        <v>562</v>
      </c>
      <c r="D171" s="27" t="s">
        <v>563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1.0</v>
      </c>
      <c r="K171" s="33" t="n">
        <f>23260</f>
        <v>23260.0</v>
      </c>
      <c r="L171" s="34" t="s">
        <v>48</v>
      </c>
      <c r="M171" s="33" t="n">
        <f>28220</f>
        <v>28220.0</v>
      </c>
      <c r="N171" s="34" t="s">
        <v>149</v>
      </c>
      <c r="O171" s="33" t="n">
        <f>23260</f>
        <v>23260.0</v>
      </c>
      <c r="P171" s="34" t="s">
        <v>48</v>
      </c>
      <c r="Q171" s="33" t="n">
        <f>27240</f>
        <v>27240.0</v>
      </c>
      <c r="R171" s="34" t="s">
        <v>51</v>
      </c>
      <c r="S171" s="35" t="n">
        <f>25274.76</f>
        <v>25274.76</v>
      </c>
      <c r="T171" s="32" t="n">
        <f>1536</f>
        <v>1536.0</v>
      </c>
      <c r="U171" s="32" t="str">
        <f>"－"</f>
        <v>－</v>
      </c>
      <c r="V171" s="32" t="n">
        <f>41225560</f>
        <v>4.122556E7</v>
      </c>
      <c r="W171" s="32" t="str">
        <f>"－"</f>
        <v>－</v>
      </c>
      <c r="X171" s="36" t="n">
        <f>21</f>
        <v>21.0</v>
      </c>
    </row>
    <row r="172">
      <c r="A172" s="27" t="s">
        <v>42</v>
      </c>
      <c r="B172" s="27" t="s">
        <v>564</v>
      </c>
      <c r="C172" s="27" t="s">
        <v>565</v>
      </c>
      <c r="D172" s="27" t="s">
        <v>566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1.0</v>
      </c>
      <c r="K172" s="33" t="n">
        <f>17190</f>
        <v>17190.0</v>
      </c>
      <c r="L172" s="34" t="s">
        <v>48</v>
      </c>
      <c r="M172" s="33" t="n">
        <f>17710</f>
        <v>17710.0</v>
      </c>
      <c r="N172" s="34" t="s">
        <v>149</v>
      </c>
      <c r="O172" s="33" t="n">
        <f>16100</f>
        <v>16100.0</v>
      </c>
      <c r="P172" s="34" t="s">
        <v>61</v>
      </c>
      <c r="Q172" s="33" t="n">
        <f>17230</f>
        <v>17230.0</v>
      </c>
      <c r="R172" s="34" t="s">
        <v>51</v>
      </c>
      <c r="S172" s="35" t="n">
        <f>17068.57</f>
        <v>17068.57</v>
      </c>
      <c r="T172" s="32" t="n">
        <f>385</f>
        <v>385.0</v>
      </c>
      <c r="U172" s="32" t="str">
        <f>"－"</f>
        <v>－</v>
      </c>
      <c r="V172" s="32" t="n">
        <f>6518890</f>
        <v>6518890.0</v>
      </c>
      <c r="W172" s="32" t="str">
        <f>"－"</f>
        <v>－</v>
      </c>
      <c r="X172" s="36" t="n">
        <f>14</f>
        <v>14.0</v>
      </c>
    </row>
    <row r="173">
      <c r="A173" s="27" t="s">
        <v>42</v>
      </c>
      <c r="B173" s="27" t="s">
        <v>567</v>
      </c>
      <c r="C173" s="27" t="s">
        <v>568</v>
      </c>
      <c r="D173" s="27" t="s">
        <v>569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10.0</v>
      </c>
      <c r="K173" s="33" t="n">
        <f>50700</f>
        <v>50700.0</v>
      </c>
      <c r="L173" s="34" t="s">
        <v>48</v>
      </c>
      <c r="M173" s="33" t="n">
        <f>51800</f>
        <v>51800.0</v>
      </c>
      <c r="N173" s="34" t="s">
        <v>187</v>
      </c>
      <c r="O173" s="33" t="n">
        <f>50700</f>
        <v>50700.0</v>
      </c>
      <c r="P173" s="34" t="s">
        <v>48</v>
      </c>
      <c r="Q173" s="33" t="n">
        <f>51700</f>
        <v>51700.0</v>
      </c>
      <c r="R173" s="34" t="s">
        <v>51</v>
      </c>
      <c r="S173" s="35" t="n">
        <f>51326.09</f>
        <v>51326.09</v>
      </c>
      <c r="T173" s="32" t="n">
        <f>14370</f>
        <v>14370.0</v>
      </c>
      <c r="U173" s="32" t="str">
        <f>"－"</f>
        <v>－</v>
      </c>
      <c r="V173" s="32" t="n">
        <f>737904000</f>
        <v>7.37904E8</v>
      </c>
      <c r="W173" s="32" t="str">
        <f>"－"</f>
        <v>－</v>
      </c>
      <c r="X173" s="36" t="n">
        <f>23</f>
        <v>23.0</v>
      </c>
    </row>
    <row r="174">
      <c r="A174" s="27" t="s">
        <v>42</v>
      </c>
      <c r="B174" s="27" t="s">
        <v>570</v>
      </c>
      <c r="C174" s="27" t="s">
        <v>571</v>
      </c>
      <c r="D174" s="27" t="s">
        <v>572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100.0</v>
      </c>
      <c r="K174" s="33" t="n">
        <f>188</f>
        <v>188.0</v>
      </c>
      <c r="L174" s="34" t="s">
        <v>48</v>
      </c>
      <c r="M174" s="33" t="n">
        <f>207</f>
        <v>207.0</v>
      </c>
      <c r="N174" s="34" t="s">
        <v>187</v>
      </c>
      <c r="O174" s="33" t="n">
        <f>187</f>
        <v>187.0</v>
      </c>
      <c r="P174" s="34" t="s">
        <v>48</v>
      </c>
      <c r="Q174" s="33" t="n">
        <f>198</f>
        <v>198.0</v>
      </c>
      <c r="R174" s="34" t="s">
        <v>51</v>
      </c>
      <c r="S174" s="35" t="n">
        <f>198.43</f>
        <v>198.43</v>
      </c>
      <c r="T174" s="32" t="n">
        <f>15830200</f>
        <v>1.58302E7</v>
      </c>
      <c r="U174" s="32" t="n">
        <f>26000</f>
        <v>26000.0</v>
      </c>
      <c r="V174" s="32" t="n">
        <f>3136920700</f>
        <v>3.1369207E9</v>
      </c>
      <c r="W174" s="32" t="n">
        <f>5098300</f>
        <v>5098300.0</v>
      </c>
      <c r="X174" s="36" t="n">
        <f>23</f>
        <v>23.0</v>
      </c>
    </row>
    <row r="175">
      <c r="A175" s="27" t="s">
        <v>42</v>
      </c>
      <c r="B175" s="27" t="s">
        <v>573</v>
      </c>
      <c r="C175" s="27" t="s">
        <v>574</v>
      </c>
      <c r="D175" s="27" t="s">
        <v>575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29180</f>
        <v>29180.0</v>
      </c>
      <c r="L175" s="34" t="s">
        <v>48</v>
      </c>
      <c r="M175" s="33" t="n">
        <f>32350</f>
        <v>32350.0</v>
      </c>
      <c r="N175" s="34" t="s">
        <v>51</v>
      </c>
      <c r="O175" s="33" t="n">
        <f>29160</f>
        <v>29160.0</v>
      </c>
      <c r="P175" s="34" t="s">
        <v>50</v>
      </c>
      <c r="Q175" s="33" t="n">
        <f>32250</f>
        <v>32250.0</v>
      </c>
      <c r="R175" s="34" t="s">
        <v>51</v>
      </c>
      <c r="S175" s="35" t="n">
        <f>30920.43</f>
        <v>30920.43</v>
      </c>
      <c r="T175" s="32" t="n">
        <f>11950</f>
        <v>11950.0</v>
      </c>
      <c r="U175" s="32" t="str">
        <f>"－"</f>
        <v>－</v>
      </c>
      <c r="V175" s="32" t="n">
        <f>370700800</f>
        <v>3.707008E8</v>
      </c>
      <c r="W175" s="32" t="str">
        <f>"－"</f>
        <v>－</v>
      </c>
      <c r="X175" s="36" t="n">
        <f>23</f>
        <v>23.0</v>
      </c>
    </row>
    <row r="176">
      <c r="A176" s="27" t="s">
        <v>42</v>
      </c>
      <c r="B176" s="27" t="s">
        <v>576</v>
      </c>
      <c r="C176" s="27" t="s">
        <v>577</v>
      </c>
      <c r="D176" s="27" t="s">
        <v>578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3025</f>
        <v>3025.0</v>
      </c>
      <c r="L176" s="34" t="s">
        <v>48</v>
      </c>
      <c r="M176" s="33" t="n">
        <f>3245</f>
        <v>3245.0</v>
      </c>
      <c r="N176" s="34" t="s">
        <v>51</v>
      </c>
      <c r="O176" s="33" t="n">
        <f>2987</f>
        <v>2987.0</v>
      </c>
      <c r="P176" s="34" t="s">
        <v>50</v>
      </c>
      <c r="Q176" s="33" t="n">
        <f>3235</f>
        <v>3235.0</v>
      </c>
      <c r="R176" s="34" t="s">
        <v>51</v>
      </c>
      <c r="S176" s="35" t="n">
        <f>3139.57</f>
        <v>3139.57</v>
      </c>
      <c r="T176" s="32" t="n">
        <f>396490</f>
        <v>396490.0</v>
      </c>
      <c r="U176" s="32" t="n">
        <f>314050</f>
        <v>314050.0</v>
      </c>
      <c r="V176" s="32" t="n">
        <f>1262940000</f>
        <v>1.26294E9</v>
      </c>
      <c r="W176" s="32" t="n">
        <f>1004720980</f>
        <v>1.00472098E9</v>
      </c>
      <c r="X176" s="36" t="n">
        <f>23</f>
        <v>23.0</v>
      </c>
    </row>
    <row r="177">
      <c r="A177" s="27" t="s">
        <v>42</v>
      </c>
      <c r="B177" s="27" t="s">
        <v>579</v>
      </c>
      <c r="C177" s="27" t="s">
        <v>580</v>
      </c>
      <c r="D177" s="27" t="s">
        <v>581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1783</f>
        <v>1783.0</v>
      </c>
      <c r="L177" s="34" t="s">
        <v>48</v>
      </c>
      <c r="M177" s="33" t="n">
        <f>1870</f>
        <v>1870.0</v>
      </c>
      <c r="N177" s="34" t="s">
        <v>187</v>
      </c>
      <c r="O177" s="33" t="n">
        <f>1738</f>
        <v>1738.0</v>
      </c>
      <c r="P177" s="34" t="s">
        <v>62</v>
      </c>
      <c r="Q177" s="33" t="n">
        <f>1816</f>
        <v>1816.0</v>
      </c>
      <c r="R177" s="34" t="s">
        <v>51</v>
      </c>
      <c r="S177" s="35" t="n">
        <f>1809.83</f>
        <v>1809.83</v>
      </c>
      <c r="T177" s="32" t="n">
        <f>314900</f>
        <v>314900.0</v>
      </c>
      <c r="U177" s="32" t="n">
        <f>90</f>
        <v>90.0</v>
      </c>
      <c r="V177" s="32" t="n">
        <f>568424565</f>
        <v>5.68424565E8</v>
      </c>
      <c r="W177" s="32" t="n">
        <f>163795</f>
        <v>163795.0</v>
      </c>
      <c r="X177" s="36" t="n">
        <f>23</f>
        <v>23.0</v>
      </c>
    </row>
    <row r="178">
      <c r="A178" s="27" t="s">
        <v>42</v>
      </c>
      <c r="B178" s="27" t="s">
        <v>582</v>
      </c>
      <c r="C178" s="27" t="s">
        <v>583</v>
      </c>
      <c r="D178" s="27" t="s">
        <v>584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100.0</v>
      </c>
      <c r="K178" s="33" t="n">
        <f>218</f>
        <v>218.0</v>
      </c>
      <c r="L178" s="34" t="s">
        <v>48</v>
      </c>
      <c r="M178" s="33" t="n">
        <f>228</f>
        <v>228.0</v>
      </c>
      <c r="N178" s="34" t="s">
        <v>187</v>
      </c>
      <c r="O178" s="33" t="n">
        <f>203</f>
        <v>203.0</v>
      </c>
      <c r="P178" s="34" t="s">
        <v>50</v>
      </c>
      <c r="Q178" s="33" t="n">
        <f>220</f>
        <v>220.0</v>
      </c>
      <c r="R178" s="34" t="s">
        <v>51</v>
      </c>
      <c r="S178" s="35" t="n">
        <f>218.48</f>
        <v>218.48</v>
      </c>
      <c r="T178" s="32" t="n">
        <f>648300</f>
        <v>648300.0</v>
      </c>
      <c r="U178" s="32" t="str">
        <f>"－"</f>
        <v>－</v>
      </c>
      <c r="V178" s="32" t="n">
        <f>141402700</f>
        <v>1.414027E8</v>
      </c>
      <c r="W178" s="32" t="str">
        <f>"－"</f>
        <v>－</v>
      </c>
      <c r="X178" s="36" t="n">
        <f>23</f>
        <v>23.0</v>
      </c>
    </row>
    <row r="179">
      <c r="A179" s="27" t="s">
        <v>42</v>
      </c>
      <c r="B179" s="27" t="s">
        <v>585</v>
      </c>
      <c r="C179" s="27" t="s">
        <v>586</v>
      </c>
      <c r="D179" s="27" t="s">
        <v>587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10.0</v>
      </c>
      <c r="K179" s="33" t="n">
        <f>974</f>
        <v>974.0</v>
      </c>
      <c r="L179" s="34" t="s">
        <v>48</v>
      </c>
      <c r="M179" s="33" t="n">
        <f>986</f>
        <v>986.0</v>
      </c>
      <c r="N179" s="34" t="s">
        <v>82</v>
      </c>
      <c r="O179" s="33" t="n">
        <f>952</f>
        <v>952.0</v>
      </c>
      <c r="P179" s="34" t="s">
        <v>191</v>
      </c>
      <c r="Q179" s="33" t="n">
        <f>964</f>
        <v>964.0</v>
      </c>
      <c r="R179" s="34" t="s">
        <v>51</v>
      </c>
      <c r="S179" s="35" t="n">
        <f>964.58</f>
        <v>964.58</v>
      </c>
      <c r="T179" s="32" t="n">
        <f>1690</f>
        <v>1690.0</v>
      </c>
      <c r="U179" s="32" t="str">
        <f>"－"</f>
        <v>－</v>
      </c>
      <c r="V179" s="32" t="n">
        <f>1632720</f>
        <v>1632720.0</v>
      </c>
      <c r="W179" s="32" t="str">
        <f>"－"</f>
        <v>－</v>
      </c>
      <c r="X179" s="36" t="n">
        <f>12</f>
        <v>12.0</v>
      </c>
    </row>
    <row r="180">
      <c r="A180" s="27" t="s">
        <v>42</v>
      </c>
      <c r="B180" s="27" t="s">
        <v>588</v>
      </c>
      <c r="C180" s="27" t="s">
        <v>589</v>
      </c>
      <c r="D180" s="27" t="s">
        <v>590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10.0</v>
      </c>
      <c r="K180" s="33" t="n">
        <f>282</f>
        <v>282.0</v>
      </c>
      <c r="L180" s="34" t="s">
        <v>48</v>
      </c>
      <c r="M180" s="33" t="n">
        <f>307</f>
        <v>307.0</v>
      </c>
      <c r="N180" s="34" t="s">
        <v>89</v>
      </c>
      <c r="O180" s="33" t="n">
        <f>266</f>
        <v>266.0</v>
      </c>
      <c r="P180" s="34" t="s">
        <v>191</v>
      </c>
      <c r="Q180" s="33" t="n">
        <f>288</f>
        <v>288.0</v>
      </c>
      <c r="R180" s="34" t="s">
        <v>51</v>
      </c>
      <c r="S180" s="35" t="n">
        <f>286.04</f>
        <v>286.04</v>
      </c>
      <c r="T180" s="32" t="n">
        <f>64400</f>
        <v>64400.0</v>
      </c>
      <c r="U180" s="32" t="str">
        <f>"－"</f>
        <v>－</v>
      </c>
      <c r="V180" s="32" t="n">
        <f>18764260</f>
        <v>1.876426E7</v>
      </c>
      <c r="W180" s="32" t="str">
        <f>"－"</f>
        <v>－</v>
      </c>
      <c r="X180" s="36" t="n">
        <f>23</f>
        <v>23.0</v>
      </c>
    </row>
    <row r="181">
      <c r="A181" s="27" t="s">
        <v>42</v>
      </c>
      <c r="B181" s="27" t="s">
        <v>591</v>
      </c>
      <c r="C181" s="27" t="s">
        <v>592</v>
      </c>
      <c r="D181" s="27" t="s">
        <v>593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10.0</v>
      </c>
      <c r="K181" s="33" t="n">
        <f>1539</f>
        <v>1539.0</v>
      </c>
      <c r="L181" s="34" t="s">
        <v>48</v>
      </c>
      <c r="M181" s="33" t="n">
        <f>1773</f>
        <v>1773.0</v>
      </c>
      <c r="N181" s="34" t="s">
        <v>48</v>
      </c>
      <c r="O181" s="33" t="n">
        <f>1484</f>
        <v>1484.0</v>
      </c>
      <c r="P181" s="34" t="s">
        <v>50</v>
      </c>
      <c r="Q181" s="33" t="n">
        <f>1598</f>
        <v>1598.0</v>
      </c>
      <c r="R181" s="34" t="s">
        <v>51</v>
      </c>
      <c r="S181" s="35" t="n">
        <f>1565</f>
        <v>1565.0</v>
      </c>
      <c r="T181" s="32" t="n">
        <f>8560</f>
        <v>8560.0</v>
      </c>
      <c r="U181" s="32" t="str">
        <f>"－"</f>
        <v>－</v>
      </c>
      <c r="V181" s="32" t="n">
        <f>13511980</f>
        <v>1.351198E7</v>
      </c>
      <c r="W181" s="32" t="str">
        <f>"－"</f>
        <v>－</v>
      </c>
      <c r="X181" s="36" t="n">
        <f>21</f>
        <v>21.0</v>
      </c>
    </row>
    <row r="182">
      <c r="A182" s="27" t="s">
        <v>42</v>
      </c>
      <c r="B182" s="27" t="s">
        <v>594</v>
      </c>
      <c r="C182" s="27" t="s">
        <v>595</v>
      </c>
      <c r="D182" s="27" t="s">
        <v>596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10.0</v>
      </c>
      <c r="K182" s="33" t="n">
        <f>563</f>
        <v>563.0</v>
      </c>
      <c r="L182" s="34" t="s">
        <v>48</v>
      </c>
      <c r="M182" s="33" t="n">
        <f>590</f>
        <v>590.0</v>
      </c>
      <c r="N182" s="34" t="s">
        <v>89</v>
      </c>
      <c r="O182" s="33" t="n">
        <f>541</f>
        <v>541.0</v>
      </c>
      <c r="P182" s="34" t="s">
        <v>149</v>
      </c>
      <c r="Q182" s="33" t="n">
        <f>551</f>
        <v>551.0</v>
      </c>
      <c r="R182" s="34" t="s">
        <v>51</v>
      </c>
      <c r="S182" s="35" t="n">
        <f>559.3</f>
        <v>559.3</v>
      </c>
      <c r="T182" s="32" t="n">
        <f>90430</f>
        <v>90430.0</v>
      </c>
      <c r="U182" s="32" t="str">
        <f>"－"</f>
        <v>－</v>
      </c>
      <c r="V182" s="32" t="n">
        <f>50838020</f>
        <v>5.083802E7</v>
      </c>
      <c r="W182" s="32" t="str">
        <f>"－"</f>
        <v>－</v>
      </c>
      <c r="X182" s="36" t="n">
        <f>23</f>
        <v>23.0</v>
      </c>
    </row>
    <row r="183">
      <c r="A183" s="27" t="s">
        <v>42</v>
      </c>
      <c r="B183" s="27" t="s">
        <v>597</v>
      </c>
      <c r="C183" s="27" t="s">
        <v>598</v>
      </c>
      <c r="D183" s="27" t="s">
        <v>599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10.0</v>
      </c>
      <c r="K183" s="33" t="n">
        <f>404</f>
        <v>404.0</v>
      </c>
      <c r="L183" s="34" t="s">
        <v>48</v>
      </c>
      <c r="M183" s="33" t="n">
        <f>423</f>
        <v>423.0</v>
      </c>
      <c r="N183" s="34" t="s">
        <v>89</v>
      </c>
      <c r="O183" s="33" t="n">
        <f>394</f>
        <v>394.0</v>
      </c>
      <c r="P183" s="34" t="s">
        <v>179</v>
      </c>
      <c r="Q183" s="33" t="n">
        <f>402</f>
        <v>402.0</v>
      </c>
      <c r="R183" s="34" t="s">
        <v>51</v>
      </c>
      <c r="S183" s="35" t="n">
        <f>409.52</f>
        <v>409.52</v>
      </c>
      <c r="T183" s="32" t="n">
        <f>368600</f>
        <v>368600.0</v>
      </c>
      <c r="U183" s="32" t="str">
        <f>"－"</f>
        <v>－</v>
      </c>
      <c r="V183" s="32" t="n">
        <f>150314490</f>
        <v>1.5031449E8</v>
      </c>
      <c r="W183" s="32" t="str">
        <f>"－"</f>
        <v>－</v>
      </c>
      <c r="X183" s="36" t="n">
        <f>23</f>
        <v>23.0</v>
      </c>
    </row>
    <row r="184">
      <c r="A184" s="27" t="s">
        <v>42</v>
      </c>
      <c r="B184" s="27" t="s">
        <v>600</v>
      </c>
      <c r="C184" s="27" t="s">
        <v>601</v>
      </c>
      <c r="D184" s="27" t="s">
        <v>602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100.0</v>
      </c>
      <c r="K184" s="33" t="n">
        <f>2</f>
        <v>2.0</v>
      </c>
      <c r="L184" s="34" t="s">
        <v>48</v>
      </c>
      <c r="M184" s="33" t="n">
        <f>2</f>
        <v>2.0</v>
      </c>
      <c r="N184" s="34" t="s">
        <v>48</v>
      </c>
      <c r="O184" s="33" t="n">
        <f>1</f>
        <v>1.0</v>
      </c>
      <c r="P184" s="34" t="s">
        <v>48</v>
      </c>
      <c r="Q184" s="33" t="n">
        <f>1</f>
        <v>1.0</v>
      </c>
      <c r="R184" s="34" t="s">
        <v>51</v>
      </c>
      <c r="S184" s="35" t="n">
        <f>1.65</f>
        <v>1.65</v>
      </c>
      <c r="T184" s="32" t="n">
        <f>149223000</f>
        <v>1.49223E8</v>
      </c>
      <c r="U184" s="32" t="str">
        <f>"－"</f>
        <v>－</v>
      </c>
      <c r="V184" s="32" t="n">
        <f>244778600</f>
        <v>2.447786E8</v>
      </c>
      <c r="W184" s="32" t="str">
        <f>"－"</f>
        <v>－</v>
      </c>
      <c r="X184" s="36" t="n">
        <f>23</f>
        <v>23.0</v>
      </c>
    </row>
    <row r="185">
      <c r="A185" s="27" t="s">
        <v>42</v>
      </c>
      <c r="B185" s="27" t="s">
        <v>603</v>
      </c>
      <c r="C185" s="27" t="s">
        <v>604</v>
      </c>
      <c r="D185" s="27" t="s">
        <v>605</v>
      </c>
      <c r="E185" s="28" t="s">
        <v>46</v>
      </c>
      <c r="F185" s="29" t="s">
        <v>46</v>
      </c>
      <c r="G185" s="30" t="s">
        <v>46</v>
      </c>
      <c r="H185" s="31"/>
      <c r="I185" s="31" t="s">
        <v>47</v>
      </c>
      <c r="J185" s="32" t="n">
        <v>10.0</v>
      </c>
      <c r="K185" s="33" t="n">
        <f>587</f>
        <v>587.0</v>
      </c>
      <c r="L185" s="34" t="s">
        <v>48</v>
      </c>
      <c r="M185" s="33" t="n">
        <f>653</f>
        <v>653.0</v>
      </c>
      <c r="N185" s="34" t="s">
        <v>89</v>
      </c>
      <c r="O185" s="33" t="n">
        <f>562</f>
        <v>562.0</v>
      </c>
      <c r="P185" s="34" t="s">
        <v>61</v>
      </c>
      <c r="Q185" s="33" t="n">
        <f>609</f>
        <v>609.0</v>
      </c>
      <c r="R185" s="34" t="s">
        <v>51</v>
      </c>
      <c r="S185" s="35" t="n">
        <f>606.22</f>
        <v>606.22</v>
      </c>
      <c r="T185" s="32" t="n">
        <f>1305920</f>
        <v>1305920.0</v>
      </c>
      <c r="U185" s="32" t="str">
        <f>"－"</f>
        <v>－</v>
      </c>
      <c r="V185" s="32" t="n">
        <f>797233580</f>
        <v>7.9723358E8</v>
      </c>
      <c r="W185" s="32" t="str">
        <f>"－"</f>
        <v>－</v>
      </c>
      <c r="X185" s="36" t="n">
        <f>23</f>
        <v>23.0</v>
      </c>
    </row>
    <row r="186">
      <c r="A186" s="27" t="s">
        <v>42</v>
      </c>
      <c r="B186" s="27" t="s">
        <v>606</v>
      </c>
      <c r="C186" s="27" t="s">
        <v>607</v>
      </c>
      <c r="D186" s="27" t="s">
        <v>608</v>
      </c>
      <c r="E186" s="28" t="s">
        <v>46</v>
      </c>
      <c r="F186" s="29" t="s">
        <v>46</v>
      </c>
      <c r="G186" s="30" t="s">
        <v>46</v>
      </c>
      <c r="H186" s="31"/>
      <c r="I186" s="31" t="s">
        <v>47</v>
      </c>
      <c r="J186" s="32" t="n">
        <v>1.0</v>
      </c>
      <c r="K186" s="33" t="n">
        <f>2540</f>
        <v>2540.0</v>
      </c>
      <c r="L186" s="34" t="s">
        <v>48</v>
      </c>
      <c r="M186" s="33" t="n">
        <f>2945</f>
        <v>2945.0</v>
      </c>
      <c r="N186" s="34" t="s">
        <v>171</v>
      </c>
      <c r="O186" s="33" t="n">
        <f>2513</f>
        <v>2513.0</v>
      </c>
      <c r="P186" s="34" t="s">
        <v>191</v>
      </c>
      <c r="Q186" s="33" t="n">
        <f>2742</f>
        <v>2742.0</v>
      </c>
      <c r="R186" s="34" t="s">
        <v>51</v>
      </c>
      <c r="S186" s="35" t="n">
        <f>2724.41</f>
        <v>2724.41</v>
      </c>
      <c r="T186" s="32" t="n">
        <f>7417</f>
        <v>7417.0</v>
      </c>
      <c r="U186" s="32" t="str">
        <f>"－"</f>
        <v>－</v>
      </c>
      <c r="V186" s="32" t="n">
        <f>20158937</f>
        <v>2.0158937E7</v>
      </c>
      <c r="W186" s="32" t="str">
        <f>"－"</f>
        <v>－</v>
      </c>
      <c r="X186" s="36" t="n">
        <f>22</f>
        <v>22.0</v>
      </c>
    </row>
    <row r="187">
      <c r="A187" s="27" t="s">
        <v>42</v>
      </c>
      <c r="B187" s="27" t="s">
        <v>609</v>
      </c>
      <c r="C187" s="27" t="s">
        <v>610</v>
      </c>
      <c r="D187" s="27" t="s">
        <v>611</v>
      </c>
      <c r="E187" s="28" t="s">
        <v>46</v>
      </c>
      <c r="F187" s="29" t="s">
        <v>46</v>
      </c>
      <c r="G187" s="30" t="s">
        <v>46</v>
      </c>
      <c r="H187" s="31"/>
      <c r="I187" s="31" t="s">
        <v>47</v>
      </c>
      <c r="J187" s="32" t="n">
        <v>100.0</v>
      </c>
      <c r="K187" s="33" t="n">
        <f>338</f>
        <v>338.0</v>
      </c>
      <c r="L187" s="34" t="s">
        <v>48</v>
      </c>
      <c r="M187" s="33" t="n">
        <f>408</f>
        <v>408.0</v>
      </c>
      <c r="N187" s="34" t="s">
        <v>89</v>
      </c>
      <c r="O187" s="33" t="n">
        <f>322</f>
        <v>322.0</v>
      </c>
      <c r="P187" s="34" t="s">
        <v>179</v>
      </c>
      <c r="Q187" s="33" t="n">
        <f>350</f>
        <v>350.0</v>
      </c>
      <c r="R187" s="34" t="s">
        <v>51</v>
      </c>
      <c r="S187" s="35" t="n">
        <f>342.45</f>
        <v>342.45</v>
      </c>
      <c r="T187" s="32" t="n">
        <f>33600</f>
        <v>33600.0</v>
      </c>
      <c r="U187" s="32" t="str">
        <f>"－"</f>
        <v>－</v>
      </c>
      <c r="V187" s="32" t="n">
        <f>11883600</f>
        <v>1.18836E7</v>
      </c>
      <c r="W187" s="32" t="str">
        <f>"－"</f>
        <v>－</v>
      </c>
      <c r="X187" s="36" t="n">
        <f>22</f>
        <v>22.0</v>
      </c>
    </row>
    <row r="188">
      <c r="A188" s="27" t="s">
        <v>42</v>
      </c>
      <c r="B188" s="27" t="s">
        <v>612</v>
      </c>
      <c r="C188" s="27" t="s">
        <v>613</v>
      </c>
      <c r="D188" s="27" t="s">
        <v>614</v>
      </c>
      <c r="E188" s="28" t="s">
        <v>46</v>
      </c>
      <c r="F188" s="29" t="s">
        <v>46</v>
      </c>
      <c r="G188" s="30" t="s">
        <v>46</v>
      </c>
      <c r="H188" s="31"/>
      <c r="I188" s="31" t="s">
        <v>47</v>
      </c>
      <c r="J188" s="32" t="n">
        <v>10.0</v>
      </c>
      <c r="K188" s="33" t="n">
        <f>4000</f>
        <v>4000.0</v>
      </c>
      <c r="L188" s="34" t="s">
        <v>48</v>
      </c>
      <c r="M188" s="33" t="n">
        <f>4095</f>
        <v>4095.0</v>
      </c>
      <c r="N188" s="34" t="s">
        <v>171</v>
      </c>
      <c r="O188" s="33" t="n">
        <f>3740</f>
        <v>3740.0</v>
      </c>
      <c r="P188" s="34" t="s">
        <v>50</v>
      </c>
      <c r="Q188" s="33" t="n">
        <f>3935</f>
        <v>3935.0</v>
      </c>
      <c r="R188" s="34" t="s">
        <v>51</v>
      </c>
      <c r="S188" s="35" t="n">
        <f>3950</f>
        <v>3950.0</v>
      </c>
      <c r="T188" s="32" t="n">
        <f>58810</f>
        <v>58810.0</v>
      </c>
      <c r="U188" s="32" t="str">
        <f>"－"</f>
        <v>－</v>
      </c>
      <c r="V188" s="32" t="n">
        <f>231693750</f>
        <v>2.3169375E8</v>
      </c>
      <c r="W188" s="32" t="str">
        <f>"－"</f>
        <v>－</v>
      </c>
      <c r="X188" s="36" t="n">
        <f>23</f>
        <v>23.0</v>
      </c>
    </row>
    <row r="189">
      <c r="A189" s="27" t="s">
        <v>42</v>
      </c>
      <c r="B189" s="27" t="s">
        <v>615</v>
      </c>
      <c r="C189" s="27" t="s">
        <v>616</v>
      </c>
      <c r="D189" s="27" t="s">
        <v>617</v>
      </c>
      <c r="E189" s="28" t="s">
        <v>46</v>
      </c>
      <c r="F189" s="29" t="s">
        <v>46</v>
      </c>
      <c r="G189" s="30" t="s">
        <v>46</v>
      </c>
      <c r="H189" s="31"/>
      <c r="I189" s="31" t="s">
        <v>47</v>
      </c>
      <c r="J189" s="32" t="n">
        <v>10.0</v>
      </c>
      <c r="K189" s="33" t="n">
        <f>1885</f>
        <v>1885.0</v>
      </c>
      <c r="L189" s="34" t="s">
        <v>48</v>
      </c>
      <c r="M189" s="33" t="n">
        <f>2029</f>
        <v>2029.0</v>
      </c>
      <c r="N189" s="34" t="s">
        <v>97</v>
      </c>
      <c r="O189" s="33" t="n">
        <f>1650</f>
        <v>1650.0</v>
      </c>
      <c r="P189" s="34" t="s">
        <v>187</v>
      </c>
      <c r="Q189" s="33" t="n">
        <f>1678</f>
        <v>1678.0</v>
      </c>
      <c r="R189" s="34" t="s">
        <v>51</v>
      </c>
      <c r="S189" s="35" t="n">
        <f>1768.65</f>
        <v>1768.65</v>
      </c>
      <c r="T189" s="32" t="n">
        <f>84500</f>
        <v>84500.0</v>
      </c>
      <c r="U189" s="32" t="str">
        <f>"－"</f>
        <v>－</v>
      </c>
      <c r="V189" s="32" t="n">
        <f>153233330</f>
        <v>1.5323333E8</v>
      </c>
      <c r="W189" s="32" t="str">
        <f>"－"</f>
        <v>－</v>
      </c>
      <c r="X189" s="36" t="n">
        <f>23</f>
        <v>23.0</v>
      </c>
    </row>
    <row r="190">
      <c r="A190" s="27" t="s">
        <v>42</v>
      </c>
      <c r="B190" s="27" t="s">
        <v>618</v>
      </c>
      <c r="C190" s="27" t="s">
        <v>619</v>
      </c>
      <c r="D190" s="27" t="s">
        <v>620</v>
      </c>
      <c r="E190" s="28" t="s">
        <v>46</v>
      </c>
      <c r="F190" s="29" t="s">
        <v>46</v>
      </c>
      <c r="G190" s="30" t="s">
        <v>46</v>
      </c>
      <c r="H190" s="31"/>
      <c r="I190" s="31" t="s">
        <v>47</v>
      </c>
      <c r="J190" s="32" t="n">
        <v>100.0</v>
      </c>
      <c r="K190" s="33" t="n">
        <f>78</f>
        <v>78.0</v>
      </c>
      <c r="L190" s="34" t="s">
        <v>48</v>
      </c>
      <c r="M190" s="33" t="n">
        <f>80</f>
        <v>80.0</v>
      </c>
      <c r="N190" s="34" t="s">
        <v>48</v>
      </c>
      <c r="O190" s="33" t="n">
        <f>74</f>
        <v>74.0</v>
      </c>
      <c r="P190" s="34" t="s">
        <v>175</v>
      </c>
      <c r="Q190" s="33" t="n">
        <f>74</f>
        <v>74.0</v>
      </c>
      <c r="R190" s="34" t="s">
        <v>51</v>
      </c>
      <c r="S190" s="35" t="n">
        <f>77.3</f>
        <v>77.3</v>
      </c>
      <c r="T190" s="32" t="n">
        <f>5522300</f>
        <v>5522300.0</v>
      </c>
      <c r="U190" s="32" t="str">
        <f>"－"</f>
        <v>－</v>
      </c>
      <c r="V190" s="32" t="n">
        <f>426398900</f>
        <v>4.263989E8</v>
      </c>
      <c r="W190" s="32" t="str">
        <f>"－"</f>
        <v>－</v>
      </c>
      <c r="X190" s="36" t="n">
        <f>23</f>
        <v>23.0</v>
      </c>
    </row>
    <row r="191">
      <c r="A191" s="27" t="s">
        <v>42</v>
      </c>
      <c r="B191" s="27" t="s">
        <v>621</v>
      </c>
      <c r="C191" s="27" t="s">
        <v>622</v>
      </c>
      <c r="D191" s="27" t="s">
        <v>623</v>
      </c>
      <c r="E191" s="28" t="s">
        <v>46</v>
      </c>
      <c r="F191" s="29" t="s">
        <v>46</v>
      </c>
      <c r="G191" s="30" t="s">
        <v>46</v>
      </c>
      <c r="H191" s="31"/>
      <c r="I191" s="31" t="s">
        <v>47</v>
      </c>
      <c r="J191" s="32" t="n">
        <v>100.0</v>
      </c>
      <c r="K191" s="33" t="n">
        <f>101</f>
        <v>101.0</v>
      </c>
      <c r="L191" s="34" t="s">
        <v>48</v>
      </c>
      <c r="M191" s="33" t="n">
        <f>105</f>
        <v>105.0</v>
      </c>
      <c r="N191" s="34" t="s">
        <v>89</v>
      </c>
      <c r="O191" s="33" t="n">
        <f>98</f>
        <v>98.0</v>
      </c>
      <c r="P191" s="34" t="s">
        <v>179</v>
      </c>
      <c r="Q191" s="33" t="n">
        <f>102</f>
        <v>102.0</v>
      </c>
      <c r="R191" s="34" t="s">
        <v>51</v>
      </c>
      <c r="S191" s="35" t="n">
        <f>101.78</f>
        <v>101.78</v>
      </c>
      <c r="T191" s="32" t="n">
        <f>2121100</f>
        <v>2121100.0</v>
      </c>
      <c r="U191" s="32" t="str">
        <f>"－"</f>
        <v>－</v>
      </c>
      <c r="V191" s="32" t="n">
        <f>215842000</f>
        <v>2.15842E8</v>
      </c>
      <c r="W191" s="32" t="str">
        <f>"－"</f>
        <v>－</v>
      </c>
      <c r="X191" s="36" t="n">
        <f>23</f>
        <v>23.0</v>
      </c>
    </row>
    <row r="192">
      <c r="A192" s="27" t="s">
        <v>42</v>
      </c>
      <c r="B192" s="27" t="s">
        <v>624</v>
      </c>
      <c r="C192" s="27" t="s">
        <v>625</v>
      </c>
      <c r="D192" s="27" t="s">
        <v>626</v>
      </c>
      <c r="E192" s="28" t="s">
        <v>46</v>
      </c>
      <c r="F192" s="29" t="s">
        <v>46</v>
      </c>
      <c r="G192" s="30" t="s">
        <v>46</v>
      </c>
      <c r="H192" s="31"/>
      <c r="I192" s="31" t="s">
        <v>47</v>
      </c>
      <c r="J192" s="32" t="n">
        <v>10.0</v>
      </c>
      <c r="K192" s="33" t="n">
        <f>2600</f>
        <v>2600.0</v>
      </c>
      <c r="L192" s="34" t="s">
        <v>48</v>
      </c>
      <c r="M192" s="33" t="n">
        <f>2743</f>
        <v>2743.0</v>
      </c>
      <c r="N192" s="34" t="s">
        <v>89</v>
      </c>
      <c r="O192" s="33" t="n">
        <f>2548</f>
        <v>2548.0</v>
      </c>
      <c r="P192" s="34" t="s">
        <v>179</v>
      </c>
      <c r="Q192" s="33" t="n">
        <f>2623</f>
        <v>2623.0</v>
      </c>
      <c r="R192" s="34" t="s">
        <v>51</v>
      </c>
      <c r="S192" s="35" t="n">
        <f>2658.26</f>
        <v>2658.26</v>
      </c>
      <c r="T192" s="32" t="n">
        <f>26300</f>
        <v>26300.0</v>
      </c>
      <c r="U192" s="32" t="str">
        <f>"－"</f>
        <v>－</v>
      </c>
      <c r="V192" s="32" t="n">
        <f>69896280</f>
        <v>6.989628E7</v>
      </c>
      <c r="W192" s="32" t="str">
        <f>"－"</f>
        <v>－</v>
      </c>
      <c r="X192" s="36" t="n">
        <f>23</f>
        <v>23.0</v>
      </c>
    </row>
    <row r="193">
      <c r="A193" s="27" t="s">
        <v>42</v>
      </c>
      <c r="B193" s="27" t="s">
        <v>627</v>
      </c>
      <c r="C193" s="27" t="s">
        <v>628</v>
      </c>
      <c r="D193" s="27" t="s">
        <v>629</v>
      </c>
      <c r="E193" s="28" t="s">
        <v>46</v>
      </c>
      <c r="F193" s="29" t="s">
        <v>46</v>
      </c>
      <c r="G193" s="30" t="s">
        <v>46</v>
      </c>
      <c r="H193" s="31"/>
      <c r="I193" s="31" t="s">
        <v>47</v>
      </c>
      <c r="J193" s="32" t="n">
        <v>10.0</v>
      </c>
      <c r="K193" s="33" t="n">
        <f>1683</f>
        <v>1683.0</v>
      </c>
      <c r="L193" s="34" t="s">
        <v>48</v>
      </c>
      <c r="M193" s="33" t="n">
        <f>1830</f>
        <v>1830.0</v>
      </c>
      <c r="N193" s="34" t="s">
        <v>93</v>
      </c>
      <c r="O193" s="33" t="n">
        <f>1678</f>
        <v>1678.0</v>
      </c>
      <c r="P193" s="34" t="s">
        <v>179</v>
      </c>
      <c r="Q193" s="33" t="n">
        <f>1804</f>
        <v>1804.0</v>
      </c>
      <c r="R193" s="34" t="s">
        <v>51</v>
      </c>
      <c r="S193" s="35" t="n">
        <f>1763.26</f>
        <v>1763.26</v>
      </c>
      <c r="T193" s="32" t="n">
        <f>65650</f>
        <v>65650.0</v>
      </c>
      <c r="U193" s="32" t="str">
        <f>"－"</f>
        <v>－</v>
      </c>
      <c r="V193" s="32" t="n">
        <f>116476410</f>
        <v>1.1647641E8</v>
      </c>
      <c r="W193" s="32" t="str">
        <f>"－"</f>
        <v>－</v>
      </c>
      <c r="X193" s="36" t="n">
        <f>23</f>
        <v>23.0</v>
      </c>
    </row>
    <row r="194">
      <c r="A194" s="27" t="s">
        <v>42</v>
      </c>
      <c r="B194" s="27" t="s">
        <v>630</v>
      </c>
      <c r="C194" s="27" t="s">
        <v>631</v>
      </c>
      <c r="D194" s="27" t="s">
        <v>632</v>
      </c>
      <c r="E194" s="28" t="s">
        <v>46</v>
      </c>
      <c r="F194" s="29" t="s">
        <v>46</v>
      </c>
      <c r="G194" s="30" t="s">
        <v>46</v>
      </c>
      <c r="H194" s="31"/>
      <c r="I194" s="31" t="s">
        <v>47</v>
      </c>
      <c r="J194" s="32" t="n">
        <v>10.0</v>
      </c>
      <c r="K194" s="33" t="n">
        <f>154</f>
        <v>154.0</v>
      </c>
      <c r="L194" s="34" t="s">
        <v>48</v>
      </c>
      <c r="M194" s="33" t="n">
        <f>172</f>
        <v>172.0</v>
      </c>
      <c r="N194" s="34" t="s">
        <v>89</v>
      </c>
      <c r="O194" s="33" t="n">
        <f>147</f>
        <v>147.0</v>
      </c>
      <c r="P194" s="34" t="s">
        <v>61</v>
      </c>
      <c r="Q194" s="33" t="n">
        <f>159</f>
        <v>159.0</v>
      </c>
      <c r="R194" s="34" t="s">
        <v>51</v>
      </c>
      <c r="S194" s="35" t="n">
        <f>159.17</f>
        <v>159.17</v>
      </c>
      <c r="T194" s="32" t="n">
        <f>225456360</f>
        <v>2.2545636E8</v>
      </c>
      <c r="U194" s="32" t="n">
        <f>225840</f>
        <v>225840.0</v>
      </c>
      <c r="V194" s="32" t="n">
        <f>35920148833</f>
        <v>3.5920148833E10</v>
      </c>
      <c r="W194" s="32" t="n">
        <f>35924263</f>
        <v>3.5924263E7</v>
      </c>
      <c r="X194" s="36" t="n">
        <f>23</f>
        <v>23.0</v>
      </c>
    </row>
    <row r="195">
      <c r="A195" s="27" t="s">
        <v>42</v>
      </c>
      <c r="B195" s="27" t="s">
        <v>633</v>
      </c>
      <c r="C195" s="27" t="s">
        <v>634</v>
      </c>
      <c r="D195" s="27" t="s">
        <v>635</v>
      </c>
      <c r="E195" s="28" t="s">
        <v>46</v>
      </c>
      <c r="F195" s="29" t="s">
        <v>46</v>
      </c>
      <c r="G195" s="30" t="s">
        <v>46</v>
      </c>
      <c r="H195" s="31"/>
      <c r="I195" s="31" t="s">
        <v>636</v>
      </c>
      <c r="J195" s="32" t="n">
        <v>1.0</v>
      </c>
      <c r="K195" s="33" t="n">
        <f>11960</f>
        <v>11960.0</v>
      </c>
      <c r="L195" s="34" t="s">
        <v>48</v>
      </c>
      <c r="M195" s="33" t="n">
        <f>12700</f>
        <v>12700.0</v>
      </c>
      <c r="N195" s="34" t="s">
        <v>89</v>
      </c>
      <c r="O195" s="33" t="n">
        <f>11000</f>
        <v>11000.0</v>
      </c>
      <c r="P195" s="34" t="s">
        <v>62</v>
      </c>
      <c r="Q195" s="33" t="n">
        <f>11920</f>
        <v>11920.0</v>
      </c>
      <c r="R195" s="34" t="s">
        <v>51</v>
      </c>
      <c r="S195" s="35" t="n">
        <f>11960.87</f>
        <v>11960.87</v>
      </c>
      <c r="T195" s="32" t="n">
        <f>13368</f>
        <v>13368.0</v>
      </c>
      <c r="U195" s="32" t="str">
        <f>"－"</f>
        <v>－</v>
      </c>
      <c r="V195" s="32" t="n">
        <f>161194280</f>
        <v>1.6119428E8</v>
      </c>
      <c r="W195" s="32" t="str">
        <f>"－"</f>
        <v>－</v>
      </c>
      <c r="X195" s="36" t="n">
        <f>23</f>
        <v>23.0</v>
      </c>
    </row>
    <row r="196">
      <c r="A196" s="27" t="s">
        <v>42</v>
      </c>
      <c r="B196" s="27" t="s">
        <v>637</v>
      </c>
      <c r="C196" s="27" t="s">
        <v>638</v>
      </c>
      <c r="D196" s="27" t="s">
        <v>639</v>
      </c>
      <c r="E196" s="28" t="s">
        <v>46</v>
      </c>
      <c r="F196" s="29" t="s">
        <v>46</v>
      </c>
      <c r="G196" s="30" t="s">
        <v>46</v>
      </c>
      <c r="H196" s="31"/>
      <c r="I196" s="31" t="s">
        <v>636</v>
      </c>
      <c r="J196" s="32" t="n">
        <v>1.0</v>
      </c>
      <c r="K196" s="33" t="n">
        <f>5080</f>
        <v>5080.0</v>
      </c>
      <c r="L196" s="34" t="s">
        <v>48</v>
      </c>
      <c r="M196" s="33" t="n">
        <f>5550</f>
        <v>5550.0</v>
      </c>
      <c r="N196" s="34" t="s">
        <v>62</v>
      </c>
      <c r="O196" s="33" t="n">
        <f>5050</f>
        <v>5050.0</v>
      </c>
      <c r="P196" s="34" t="s">
        <v>183</v>
      </c>
      <c r="Q196" s="33" t="n">
        <f>5370</f>
        <v>5370.0</v>
      </c>
      <c r="R196" s="34" t="s">
        <v>51</v>
      </c>
      <c r="S196" s="35" t="n">
        <f>5232.17</f>
        <v>5232.17</v>
      </c>
      <c r="T196" s="32" t="n">
        <f>4156</f>
        <v>4156.0</v>
      </c>
      <c r="U196" s="32" t="str">
        <f>"－"</f>
        <v>－</v>
      </c>
      <c r="V196" s="32" t="n">
        <f>21973820</f>
        <v>2.197382E7</v>
      </c>
      <c r="W196" s="32" t="str">
        <f>"－"</f>
        <v>－</v>
      </c>
      <c r="X196" s="36" t="n">
        <f>23</f>
        <v>23.0</v>
      </c>
    </row>
    <row r="197">
      <c r="A197" s="27" t="s">
        <v>42</v>
      </c>
      <c r="B197" s="27" t="s">
        <v>640</v>
      </c>
      <c r="C197" s="27" t="s">
        <v>641</v>
      </c>
      <c r="D197" s="27" t="s">
        <v>642</v>
      </c>
      <c r="E197" s="28" t="s">
        <v>46</v>
      </c>
      <c r="F197" s="29" t="s">
        <v>46</v>
      </c>
      <c r="G197" s="30" t="s">
        <v>46</v>
      </c>
      <c r="H197" s="31"/>
      <c r="I197" s="31" t="s">
        <v>636</v>
      </c>
      <c r="J197" s="32" t="n">
        <v>1.0</v>
      </c>
      <c r="K197" s="33" t="n">
        <f>18420</f>
        <v>18420.0</v>
      </c>
      <c r="L197" s="34" t="s">
        <v>48</v>
      </c>
      <c r="M197" s="33" t="n">
        <f>19150</f>
        <v>19150.0</v>
      </c>
      <c r="N197" s="34" t="s">
        <v>51</v>
      </c>
      <c r="O197" s="33" t="n">
        <f>17200</f>
        <v>17200.0</v>
      </c>
      <c r="P197" s="34" t="s">
        <v>191</v>
      </c>
      <c r="Q197" s="33" t="n">
        <f>18990</f>
        <v>18990.0</v>
      </c>
      <c r="R197" s="34" t="s">
        <v>51</v>
      </c>
      <c r="S197" s="35" t="n">
        <f>18250.87</f>
        <v>18250.87</v>
      </c>
      <c r="T197" s="32" t="n">
        <f>1672</f>
        <v>1672.0</v>
      </c>
      <c r="U197" s="32" t="str">
        <f>"－"</f>
        <v>－</v>
      </c>
      <c r="V197" s="32" t="n">
        <f>30531890</f>
        <v>3.053189E7</v>
      </c>
      <c r="W197" s="32" t="str">
        <f>"－"</f>
        <v>－</v>
      </c>
      <c r="X197" s="36" t="n">
        <f>23</f>
        <v>23.0</v>
      </c>
    </row>
    <row r="198">
      <c r="A198" s="27" t="s">
        <v>42</v>
      </c>
      <c r="B198" s="27" t="s">
        <v>643</v>
      </c>
      <c r="C198" s="27" t="s">
        <v>644</v>
      </c>
      <c r="D198" s="27" t="s">
        <v>645</v>
      </c>
      <c r="E198" s="28" t="s">
        <v>46</v>
      </c>
      <c r="F198" s="29" t="s">
        <v>46</v>
      </c>
      <c r="G198" s="30" t="s">
        <v>46</v>
      </c>
      <c r="H198" s="31"/>
      <c r="I198" s="31" t="s">
        <v>636</v>
      </c>
      <c r="J198" s="32" t="n">
        <v>1.0</v>
      </c>
      <c r="K198" s="33" t="n">
        <f>6080</f>
        <v>6080.0</v>
      </c>
      <c r="L198" s="34" t="s">
        <v>48</v>
      </c>
      <c r="M198" s="33" t="n">
        <f>6140</f>
        <v>6140.0</v>
      </c>
      <c r="N198" s="34" t="s">
        <v>75</v>
      </c>
      <c r="O198" s="33" t="n">
        <f>5920</f>
        <v>5920.0</v>
      </c>
      <c r="P198" s="34" t="s">
        <v>179</v>
      </c>
      <c r="Q198" s="33" t="n">
        <f>6020</f>
        <v>6020.0</v>
      </c>
      <c r="R198" s="34" t="s">
        <v>51</v>
      </c>
      <c r="S198" s="35" t="n">
        <f>6020</f>
        <v>6020.0</v>
      </c>
      <c r="T198" s="32" t="n">
        <f>9046</f>
        <v>9046.0</v>
      </c>
      <c r="U198" s="32" t="str">
        <f>"－"</f>
        <v>－</v>
      </c>
      <c r="V198" s="32" t="n">
        <f>54518230</f>
        <v>5.451823E7</v>
      </c>
      <c r="W198" s="32" t="str">
        <f>"－"</f>
        <v>－</v>
      </c>
      <c r="X198" s="36" t="n">
        <f>23</f>
        <v>23.0</v>
      </c>
    </row>
    <row r="199">
      <c r="A199" s="27" t="s">
        <v>42</v>
      </c>
      <c r="B199" s="27" t="s">
        <v>646</v>
      </c>
      <c r="C199" s="27" t="s">
        <v>647</v>
      </c>
      <c r="D199" s="27" t="s">
        <v>648</v>
      </c>
      <c r="E199" s="28" t="s">
        <v>46</v>
      </c>
      <c r="F199" s="29" t="s">
        <v>46</v>
      </c>
      <c r="G199" s="30" t="s">
        <v>46</v>
      </c>
      <c r="H199" s="31"/>
      <c r="I199" s="31" t="s">
        <v>636</v>
      </c>
      <c r="J199" s="32" t="n">
        <v>1.0</v>
      </c>
      <c r="K199" s="33" t="n">
        <f>367</f>
        <v>367.0</v>
      </c>
      <c r="L199" s="34" t="s">
        <v>48</v>
      </c>
      <c r="M199" s="33" t="n">
        <f>373</f>
        <v>373.0</v>
      </c>
      <c r="N199" s="34" t="s">
        <v>48</v>
      </c>
      <c r="O199" s="33" t="n">
        <f>268</f>
        <v>268.0</v>
      </c>
      <c r="P199" s="34" t="s">
        <v>149</v>
      </c>
      <c r="Q199" s="33" t="n">
        <f>287</f>
        <v>287.0</v>
      </c>
      <c r="R199" s="34" t="s">
        <v>51</v>
      </c>
      <c r="S199" s="35" t="n">
        <f>325.48</f>
        <v>325.48</v>
      </c>
      <c r="T199" s="32" t="n">
        <f>42430129</f>
        <v>4.2430129E7</v>
      </c>
      <c r="U199" s="32" t="n">
        <f>13208</f>
        <v>13208.0</v>
      </c>
      <c r="V199" s="32" t="n">
        <f>13840825843</f>
        <v>1.3840825843E10</v>
      </c>
      <c r="W199" s="32" t="n">
        <f>3750899</f>
        <v>3750899.0</v>
      </c>
      <c r="X199" s="36" t="n">
        <f>23</f>
        <v>23.0</v>
      </c>
    </row>
    <row r="200">
      <c r="A200" s="27" t="s">
        <v>42</v>
      </c>
      <c r="B200" s="27" t="s">
        <v>649</v>
      </c>
      <c r="C200" s="27" t="s">
        <v>650</v>
      </c>
      <c r="D200" s="27" t="s">
        <v>651</v>
      </c>
      <c r="E200" s="28" t="s">
        <v>46</v>
      </c>
      <c r="F200" s="29" t="s">
        <v>46</v>
      </c>
      <c r="G200" s="30" t="s">
        <v>46</v>
      </c>
      <c r="H200" s="31"/>
      <c r="I200" s="31" t="s">
        <v>636</v>
      </c>
      <c r="J200" s="32" t="n">
        <v>1.0</v>
      </c>
      <c r="K200" s="33" t="n">
        <f>15880</f>
        <v>15880.0</v>
      </c>
      <c r="L200" s="34" t="s">
        <v>48</v>
      </c>
      <c r="M200" s="33" t="n">
        <f>16760</f>
        <v>16760.0</v>
      </c>
      <c r="N200" s="34" t="s">
        <v>82</v>
      </c>
      <c r="O200" s="33" t="n">
        <f>15180</f>
        <v>15180.0</v>
      </c>
      <c r="P200" s="34" t="s">
        <v>50</v>
      </c>
      <c r="Q200" s="33" t="n">
        <f>15850</f>
        <v>15850.0</v>
      </c>
      <c r="R200" s="34" t="s">
        <v>51</v>
      </c>
      <c r="S200" s="35" t="n">
        <f>16066.96</f>
        <v>16066.96</v>
      </c>
      <c r="T200" s="32" t="n">
        <f>52741</f>
        <v>52741.0</v>
      </c>
      <c r="U200" s="32" t="n">
        <f>10</f>
        <v>10.0</v>
      </c>
      <c r="V200" s="32" t="n">
        <f>844262750</f>
        <v>8.4426275E8</v>
      </c>
      <c r="W200" s="32" t="n">
        <f>159930</f>
        <v>159930.0</v>
      </c>
      <c r="X200" s="36" t="n">
        <f>23</f>
        <v>23.0</v>
      </c>
    </row>
    <row r="201">
      <c r="A201" s="27" t="s">
        <v>42</v>
      </c>
      <c r="B201" s="27" t="s">
        <v>652</v>
      </c>
      <c r="C201" s="27" t="s">
        <v>653</v>
      </c>
      <c r="D201" s="27" t="s">
        <v>654</v>
      </c>
      <c r="E201" s="28" t="s">
        <v>46</v>
      </c>
      <c r="F201" s="29" t="s">
        <v>46</v>
      </c>
      <c r="G201" s="30" t="s">
        <v>46</v>
      </c>
      <c r="H201" s="31"/>
      <c r="I201" s="31" t="s">
        <v>636</v>
      </c>
      <c r="J201" s="32" t="n">
        <v>1.0</v>
      </c>
      <c r="K201" s="33" t="n">
        <f>6000</f>
        <v>6000.0</v>
      </c>
      <c r="L201" s="34" t="s">
        <v>48</v>
      </c>
      <c r="M201" s="33" t="n">
        <f>6100</f>
        <v>6100.0</v>
      </c>
      <c r="N201" s="34" t="s">
        <v>50</v>
      </c>
      <c r="O201" s="33" t="n">
        <f>5750</f>
        <v>5750.0</v>
      </c>
      <c r="P201" s="34" t="s">
        <v>82</v>
      </c>
      <c r="Q201" s="33" t="n">
        <f>5890</f>
        <v>5890.0</v>
      </c>
      <c r="R201" s="34" t="s">
        <v>51</v>
      </c>
      <c r="S201" s="35" t="n">
        <f>5882.17</f>
        <v>5882.17</v>
      </c>
      <c r="T201" s="32" t="n">
        <f>14647</f>
        <v>14647.0</v>
      </c>
      <c r="U201" s="32" t="str">
        <f>"－"</f>
        <v>－</v>
      </c>
      <c r="V201" s="32" t="n">
        <f>86873170</f>
        <v>8.687317E7</v>
      </c>
      <c r="W201" s="32" t="str">
        <f>"－"</f>
        <v>－</v>
      </c>
      <c r="X201" s="36" t="n">
        <f>23</f>
        <v>23.0</v>
      </c>
    </row>
    <row r="202">
      <c r="A202" s="27" t="s">
        <v>42</v>
      </c>
      <c r="B202" s="27" t="s">
        <v>655</v>
      </c>
      <c r="C202" s="27" t="s">
        <v>656</v>
      </c>
      <c r="D202" s="27" t="s">
        <v>657</v>
      </c>
      <c r="E202" s="28" t="s">
        <v>46</v>
      </c>
      <c r="F202" s="29" t="s">
        <v>46</v>
      </c>
      <c r="G202" s="30" t="s">
        <v>46</v>
      </c>
      <c r="H202" s="31"/>
      <c r="I202" s="31" t="s">
        <v>636</v>
      </c>
      <c r="J202" s="32" t="n">
        <v>1.0</v>
      </c>
      <c r="K202" s="33" t="n">
        <f>454</f>
        <v>454.0</v>
      </c>
      <c r="L202" s="34" t="s">
        <v>48</v>
      </c>
      <c r="M202" s="33" t="n">
        <f>548</f>
        <v>548.0</v>
      </c>
      <c r="N202" s="34" t="s">
        <v>89</v>
      </c>
      <c r="O202" s="33" t="n">
        <f>419</f>
        <v>419.0</v>
      </c>
      <c r="P202" s="34" t="s">
        <v>61</v>
      </c>
      <c r="Q202" s="33" t="n">
        <f>480</f>
        <v>480.0</v>
      </c>
      <c r="R202" s="34" t="s">
        <v>51</v>
      </c>
      <c r="S202" s="35" t="n">
        <f>479.04</f>
        <v>479.04</v>
      </c>
      <c r="T202" s="32" t="n">
        <f>382865313</f>
        <v>3.82865313E8</v>
      </c>
      <c r="U202" s="32" t="n">
        <f>484886</f>
        <v>484886.0</v>
      </c>
      <c r="V202" s="32" t="n">
        <f>185025391589</f>
        <v>1.85025391589E11</v>
      </c>
      <c r="W202" s="32" t="n">
        <f>252998704</f>
        <v>2.52998704E8</v>
      </c>
      <c r="X202" s="36" t="n">
        <f>23</f>
        <v>23.0</v>
      </c>
    </row>
    <row r="203">
      <c r="A203" s="27" t="s">
        <v>42</v>
      </c>
      <c r="B203" s="27" t="s">
        <v>658</v>
      </c>
      <c r="C203" s="27" t="s">
        <v>659</v>
      </c>
      <c r="D203" s="27" t="s">
        <v>660</v>
      </c>
      <c r="E203" s="28" t="s">
        <v>46</v>
      </c>
      <c r="F203" s="29" t="s">
        <v>46</v>
      </c>
      <c r="G203" s="30" t="s">
        <v>46</v>
      </c>
      <c r="H203" s="31"/>
      <c r="I203" s="31" t="s">
        <v>636</v>
      </c>
      <c r="J203" s="32" t="n">
        <v>1.0</v>
      </c>
      <c r="K203" s="33" t="n">
        <f>4090</f>
        <v>4090.0</v>
      </c>
      <c r="L203" s="34" t="s">
        <v>48</v>
      </c>
      <c r="M203" s="33" t="n">
        <f>4255</f>
        <v>4255.0</v>
      </c>
      <c r="N203" s="34" t="s">
        <v>61</v>
      </c>
      <c r="O203" s="33" t="n">
        <f>3650</f>
        <v>3650.0</v>
      </c>
      <c r="P203" s="34" t="s">
        <v>89</v>
      </c>
      <c r="Q203" s="33" t="n">
        <f>3845</f>
        <v>3845.0</v>
      </c>
      <c r="R203" s="34" t="s">
        <v>51</v>
      </c>
      <c r="S203" s="35" t="n">
        <f>3909.35</f>
        <v>3909.35</v>
      </c>
      <c r="T203" s="32" t="n">
        <f>615441</f>
        <v>615441.0</v>
      </c>
      <c r="U203" s="32" t="str">
        <f>"－"</f>
        <v>－</v>
      </c>
      <c r="V203" s="32" t="n">
        <f>2405348660</f>
        <v>2.40534866E9</v>
      </c>
      <c r="W203" s="32" t="str">
        <f>"－"</f>
        <v>－</v>
      </c>
      <c r="X203" s="36" t="n">
        <f>23</f>
        <v>23.0</v>
      </c>
    </row>
    <row r="204">
      <c r="A204" s="27" t="s">
        <v>42</v>
      </c>
      <c r="B204" s="27" t="s">
        <v>661</v>
      </c>
      <c r="C204" s="27" t="s">
        <v>662</v>
      </c>
      <c r="D204" s="27" t="s">
        <v>663</v>
      </c>
      <c r="E204" s="28" t="s">
        <v>46</v>
      </c>
      <c r="F204" s="29" t="s">
        <v>46</v>
      </c>
      <c r="G204" s="30" t="s">
        <v>46</v>
      </c>
      <c r="H204" s="31"/>
      <c r="I204" s="31" t="s">
        <v>636</v>
      </c>
      <c r="J204" s="32" t="n">
        <v>1.0</v>
      </c>
      <c r="K204" s="33" t="n">
        <f>25240</f>
        <v>25240.0</v>
      </c>
      <c r="L204" s="34" t="s">
        <v>48</v>
      </c>
      <c r="M204" s="33" t="n">
        <f>28700</f>
        <v>28700.0</v>
      </c>
      <c r="N204" s="34" t="s">
        <v>70</v>
      </c>
      <c r="O204" s="33" t="n">
        <f>24420</f>
        <v>24420.0</v>
      </c>
      <c r="P204" s="34" t="s">
        <v>50</v>
      </c>
      <c r="Q204" s="33" t="n">
        <f>28440</f>
        <v>28440.0</v>
      </c>
      <c r="R204" s="34" t="s">
        <v>51</v>
      </c>
      <c r="S204" s="35" t="n">
        <f>27096.09</f>
        <v>27096.09</v>
      </c>
      <c r="T204" s="32" t="n">
        <f>151292</f>
        <v>151292.0</v>
      </c>
      <c r="U204" s="32" t="n">
        <f>10</f>
        <v>10.0</v>
      </c>
      <c r="V204" s="32" t="n">
        <f>4075460390</f>
        <v>4.07546039E9</v>
      </c>
      <c r="W204" s="32" t="n">
        <f>268500</f>
        <v>268500.0</v>
      </c>
      <c r="X204" s="36" t="n">
        <f>23</f>
        <v>23.0</v>
      </c>
    </row>
    <row r="205">
      <c r="A205" s="27" t="s">
        <v>42</v>
      </c>
      <c r="B205" s="27" t="s">
        <v>664</v>
      </c>
      <c r="C205" s="27" t="s">
        <v>665</v>
      </c>
      <c r="D205" s="27" t="s">
        <v>666</v>
      </c>
      <c r="E205" s="28" t="s">
        <v>46</v>
      </c>
      <c r="F205" s="29" t="s">
        <v>46</v>
      </c>
      <c r="G205" s="30" t="s">
        <v>46</v>
      </c>
      <c r="H205" s="31"/>
      <c r="I205" s="31" t="s">
        <v>636</v>
      </c>
      <c r="J205" s="32" t="n">
        <v>1.0</v>
      </c>
      <c r="K205" s="33" t="n">
        <f>3340</f>
        <v>3340.0</v>
      </c>
      <c r="L205" s="34" t="s">
        <v>48</v>
      </c>
      <c r="M205" s="33" t="n">
        <f>3395</f>
        <v>3395.0</v>
      </c>
      <c r="N205" s="34" t="s">
        <v>50</v>
      </c>
      <c r="O205" s="33" t="n">
        <f>3125</f>
        <v>3125.0</v>
      </c>
      <c r="P205" s="34" t="s">
        <v>70</v>
      </c>
      <c r="Q205" s="33" t="n">
        <f>3140</f>
        <v>3140.0</v>
      </c>
      <c r="R205" s="34" t="s">
        <v>51</v>
      </c>
      <c r="S205" s="35" t="n">
        <f>3223.04</f>
        <v>3223.04</v>
      </c>
      <c r="T205" s="32" t="n">
        <f>303767</f>
        <v>303767.0</v>
      </c>
      <c r="U205" s="32" t="str">
        <f>"－"</f>
        <v>－</v>
      </c>
      <c r="V205" s="32" t="n">
        <f>982008855</f>
        <v>9.82008855E8</v>
      </c>
      <c r="W205" s="32" t="str">
        <f>"－"</f>
        <v>－</v>
      </c>
      <c r="X205" s="36" t="n">
        <f>23</f>
        <v>23.0</v>
      </c>
    </row>
    <row r="206">
      <c r="A206" s="27" t="s">
        <v>42</v>
      </c>
      <c r="B206" s="27" t="s">
        <v>667</v>
      </c>
      <c r="C206" s="27" t="s">
        <v>668</v>
      </c>
      <c r="D206" s="27" t="s">
        <v>669</v>
      </c>
      <c r="E206" s="28" t="s">
        <v>46</v>
      </c>
      <c r="F206" s="29" t="s">
        <v>46</v>
      </c>
      <c r="G206" s="30" t="s">
        <v>46</v>
      </c>
      <c r="H206" s="31"/>
      <c r="I206" s="31" t="s">
        <v>636</v>
      </c>
      <c r="J206" s="32" t="n">
        <v>1.0</v>
      </c>
      <c r="K206" s="33" t="n">
        <f>13100</f>
        <v>13100.0</v>
      </c>
      <c r="L206" s="34" t="s">
        <v>48</v>
      </c>
      <c r="M206" s="33" t="n">
        <f>13500</f>
        <v>13500.0</v>
      </c>
      <c r="N206" s="34" t="s">
        <v>82</v>
      </c>
      <c r="O206" s="33" t="n">
        <f>11810</f>
        <v>11810.0</v>
      </c>
      <c r="P206" s="34" t="s">
        <v>75</v>
      </c>
      <c r="Q206" s="33" t="n">
        <f>13030</f>
        <v>13030.0</v>
      </c>
      <c r="R206" s="34" t="s">
        <v>51</v>
      </c>
      <c r="S206" s="35" t="n">
        <f>12813.04</f>
        <v>12813.04</v>
      </c>
      <c r="T206" s="32" t="n">
        <f>91081</f>
        <v>91081.0</v>
      </c>
      <c r="U206" s="32" t="n">
        <f>6060</f>
        <v>6060.0</v>
      </c>
      <c r="V206" s="32" t="n">
        <f>1166255630</f>
        <v>1.16625563E9</v>
      </c>
      <c r="W206" s="32" t="n">
        <f>76335900</f>
        <v>7.63359E7</v>
      </c>
      <c r="X206" s="36" t="n">
        <f>23</f>
        <v>23.0</v>
      </c>
    </row>
    <row r="207">
      <c r="A207" s="27" t="s">
        <v>42</v>
      </c>
      <c r="B207" s="27" t="s">
        <v>670</v>
      </c>
      <c r="C207" s="27" t="s">
        <v>671</v>
      </c>
      <c r="D207" s="27" t="s">
        <v>672</v>
      </c>
      <c r="E207" s="28" t="s">
        <v>46</v>
      </c>
      <c r="F207" s="29" t="s">
        <v>46</v>
      </c>
      <c r="G207" s="30" t="s">
        <v>46</v>
      </c>
      <c r="H207" s="31"/>
      <c r="I207" s="31" t="s">
        <v>636</v>
      </c>
      <c r="J207" s="32" t="n">
        <v>1.0</v>
      </c>
      <c r="K207" s="33" t="n">
        <f>12420</f>
        <v>12420.0</v>
      </c>
      <c r="L207" s="34" t="s">
        <v>48</v>
      </c>
      <c r="M207" s="33" t="n">
        <f>13480</f>
        <v>13480.0</v>
      </c>
      <c r="N207" s="34" t="s">
        <v>51</v>
      </c>
      <c r="O207" s="33" t="n">
        <f>12300</f>
        <v>12300.0</v>
      </c>
      <c r="P207" s="34" t="s">
        <v>48</v>
      </c>
      <c r="Q207" s="33" t="n">
        <f>13400</f>
        <v>13400.0</v>
      </c>
      <c r="R207" s="34" t="s">
        <v>51</v>
      </c>
      <c r="S207" s="35" t="n">
        <f>13019.47</f>
        <v>13019.47</v>
      </c>
      <c r="T207" s="32" t="n">
        <f>1712</f>
        <v>1712.0</v>
      </c>
      <c r="U207" s="32" t="str">
        <f>"－"</f>
        <v>－</v>
      </c>
      <c r="V207" s="32" t="n">
        <f>22462460</f>
        <v>2.246246E7</v>
      </c>
      <c r="W207" s="32" t="str">
        <f>"－"</f>
        <v>－</v>
      </c>
      <c r="X207" s="36" t="n">
        <f>19</f>
        <v>19.0</v>
      </c>
    </row>
    <row r="208">
      <c r="A208" s="27" t="s">
        <v>42</v>
      </c>
      <c r="B208" s="27" t="s">
        <v>673</v>
      </c>
      <c r="C208" s="27" t="s">
        <v>674</v>
      </c>
      <c r="D208" s="27" t="s">
        <v>675</v>
      </c>
      <c r="E208" s="28" t="s">
        <v>46</v>
      </c>
      <c r="F208" s="29" t="s">
        <v>46</v>
      </c>
      <c r="G208" s="30" t="s">
        <v>46</v>
      </c>
      <c r="H208" s="31"/>
      <c r="I208" s="31" t="s">
        <v>636</v>
      </c>
      <c r="J208" s="32" t="n">
        <v>1.0</v>
      </c>
      <c r="K208" s="33" t="n">
        <f>15890</f>
        <v>15890.0</v>
      </c>
      <c r="L208" s="34" t="s">
        <v>48</v>
      </c>
      <c r="M208" s="33" t="n">
        <f>17900</f>
        <v>17900.0</v>
      </c>
      <c r="N208" s="34" t="s">
        <v>51</v>
      </c>
      <c r="O208" s="33" t="n">
        <f>15880</f>
        <v>15880.0</v>
      </c>
      <c r="P208" s="34" t="s">
        <v>48</v>
      </c>
      <c r="Q208" s="33" t="n">
        <f>17880</f>
        <v>17880.0</v>
      </c>
      <c r="R208" s="34" t="s">
        <v>51</v>
      </c>
      <c r="S208" s="35" t="n">
        <f>16886.09</f>
        <v>16886.09</v>
      </c>
      <c r="T208" s="32" t="n">
        <f>32869</f>
        <v>32869.0</v>
      </c>
      <c r="U208" s="32" t="str">
        <f>"－"</f>
        <v>－</v>
      </c>
      <c r="V208" s="32" t="n">
        <f>559144040</f>
        <v>5.5914404E8</v>
      </c>
      <c r="W208" s="32" t="str">
        <f>"－"</f>
        <v>－</v>
      </c>
      <c r="X208" s="36" t="n">
        <f>23</f>
        <v>23.0</v>
      </c>
    </row>
    <row r="209">
      <c r="A209" s="27" t="s">
        <v>42</v>
      </c>
      <c r="B209" s="27" t="s">
        <v>676</v>
      </c>
      <c r="C209" s="27" t="s">
        <v>677</v>
      </c>
      <c r="D209" s="27" t="s">
        <v>678</v>
      </c>
      <c r="E209" s="28" t="s">
        <v>46</v>
      </c>
      <c r="F209" s="29" t="s">
        <v>46</v>
      </c>
      <c r="G209" s="30" t="s">
        <v>46</v>
      </c>
      <c r="H209" s="31"/>
      <c r="I209" s="31" t="s">
        <v>636</v>
      </c>
      <c r="J209" s="32" t="n">
        <v>1.0</v>
      </c>
      <c r="K209" s="33" t="n">
        <f>12540</f>
        <v>12540.0</v>
      </c>
      <c r="L209" s="34" t="s">
        <v>48</v>
      </c>
      <c r="M209" s="33" t="n">
        <f>13690</f>
        <v>13690.0</v>
      </c>
      <c r="N209" s="34" t="s">
        <v>51</v>
      </c>
      <c r="O209" s="33" t="n">
        <f>12480</f>
        <v>12480.0</v>
      </c>
      <c r="P209" s="34" t="s">
        <v>48</v>
      </c>
      <c r="Q209" s="33" t="n">
        <f>13690</f>
        <v>13690.0</v>
      </c>
      <c r="R209" s="34" t="s">
        <v>51</v>
      </c>
      <c r="S209" s="35" t="n">
        <f>12945.56</f>
        <v>12945.56</v>
      </c>
      <c r="T209" s="32" t="n">
        <f>933</f>
        <v>933.0</v>
      </c>
      <c r="U209" s="32" t="str">
        <f>"－"</f>
        <v>－</v>
      </c>
      <c r="V209" s="32" t="n">
        <f>12310040</f>
        <v>1.231004E7</v>
      </c>
      <c r="W209" s="32" t="str">
        <f>"－"</f>
        <v>－</v>
      </c>
      <c r="X209" s="36" t="n">
        <f>18</f>
        <v>18.0</v>
      </c>
    </row>
    <row r="210">
      <c r="A210" s="27" t="s">
        <v>42</v>
      </c>
      <c r="B210" s="27" t="s">
        <v>679</v>
      </c>
      <c r="C210" s="27" t="s">
        <v>680</v>
      </c>
      <c r="D210" s="27" t="s">
        <v>681</v>
      </c>
      <c r="E210" s="28" t="s">
        <v>46</v>
      </c>
      <c r="F210" s="29" t="s">
        <v>46</v>
      </c>
      <c r="G210" s="30" t="s">
        <v>46</v>
      </c>
      <c r="H210" s="31"/>
      <c r="I210" s="31" t="s">
        <v>636</v>
      </c>
      <c r="J210" s="32" t="n">
        <v>1.0</v>
      </c>
      <c r="K210" s="33" t="n">
        <f>12670</f>
        <v>12670.0</v>
      </c>
      <c r="L210" s="34" t="s">
        <v>48</v>
      </c>
      <c r="M210" s="33" t="n">
        <f>14450</f>
        <v>14450.0</v>
      </c>
      <c r="N210" s="34" t="s">
        <v>187</v>
      </c>
      <c r="O210" s="33" t="n">
        <f>12610</f>
        <v>12610.0</v>
      </c>
      <c r="P210" s="34" t="s">
        <v>49</v>
      </c>
      <c r="Q210" s="33" t="n">
        <f>13290</f>
        <v>13290.0</v>
      </c>
      <c r="R210" s="34" t="s">
        <v>51</v>
      </c>
      <c r="S210" s="35" t="n">
        <f>13411.3</f>
        <v>13411.3</v>
      </c>
      <c r="T210" s="32" t="n">
        <f>84288</f>
        <v>84288.0</v>
      </c>
      <c r="U210" s="32" t="n">
        <f>10</f>
        <v>10.0</v>
      </c>
      <c r="V210" s="32" t="n">
        <f>1131664955</f>
        <v>1.131664955E9</v>
      </c>
      <c r="W210" s="32" t="n">
        <f>133745</f>
        <v>133745.0</v>
      </c>
      <c r="X210" s="36" t="n">
        <f>23</f>
        <v>23.0</v>
      </c>
    </row>
    <row r="211">
      <c r="A211" s="27" t="s">
        <v>42</v>
      </c>
      <c r="B211" s="27" t="s">
        <v>682</v>
      </c>
      <c r="C211" s="27" t="s">
        <v>683</v>
      </c>
      <c r="D211" s="27" t="s">
        <v>684</v>
      </c>
      <c r="E211" s="28" t="s">
        <v>46</v>
      </c>
      <c r="F211" s="29" t="s">
        <v>46</v>
      </c>
      <c r="G211" s="30" t="s">
        <v>46</v>
      </c>
      <c r="H211" s="31"/>
      <c r="I211" s="31" t="s">
        <v>636</v>
      </c>
      <c r="J211" s="32" t="n">
        <v>1.0</v>
      </c>
      <c r="K211" s="33" t="n">
        <f>4585</f>
        <v>4585.0</v>
      </c>
      <c r="L211" s="34" t="s">
        <v>48</v>
      </c>
      <c r="M211" s="33" t="n">
        <f>4880</f>
        <v>4880.0</v>
      </c>
      <c r="N211" s="34" t="s">
        <v>49</v>
      </c>
      <c r="O211" s="33" t="n">
        <f>4440</f>
        <v>4440.0</v>
      </c>
      <c r="P211" s="34" t="s">
        <v>61</v>
      </c>
      <c r="Q211" s="33" t="n">
        <f>4735</f>
        <v>4735.0</v>
      </c>
      <c r="R211" s="34" t="s">
        <v>51</v>
      </c>
      <c r="S211" s="35" t="n">
        <f>4630.43</f>
        <v>4630.43</v>
      </c>
      <c r="T211" s="32" t="n">
        <f>8410</f>
        <v>8410.0</v>
      </c>
      <c r="U211" s="32" t="str">
        <f>"－"</f>
        <v>－</v>
      </c>
      <c r="V211" s="32" t="n">
        <f>39116635</f>
        <v>3.9116635E7</v>
      </c>
      <c r="W211" s="32" t="str">
        <f>"－"</f>
        <v>－</v>
      </c>
      <c r="X211" s="36" t="n">
        <f>23</f>
        <v>23.0</v>
      </c>
    </row>
    <row r="212">
      <c r="A212" s="27" t="s">
        <v>42</v>
      </c>
      <c r="B212" s="27" t="s">
        <v>685</v>
      </c>
      <c r="C212" s="27" t="s">
        <v>686</v>
      </c>
      <c r="D212" s="27" t="s">
        <v>687</v>
      </c>
      <c r="E212" s="28" t="s">
        <v>46</v>
      </c>
      <c r="F212" s="29" t="s">
        <v>46</v>
      </c>
      <c r="G212" s="30" t="s">
        <v>46</v>
      </c>
      <c r="H212" s="31"/>
      <c r="I212" s="31" t="s">
        <v>636</v>
      </c>
      <c r="J212" s="32" t="n">
        <v>1.0</v>
      </c>
      <c r="K212" s="33" t="n">
        <f>10050</f>
        <v>10050.0</v>
      </c>
      <c r="L212" s="34" t="s">
        <v>48</v>
      </c>
      <c r="M212" s="33" t="n">
        <f>11500</f>
        <v>11500.0</v>
      </c>
      <c r="N212" s="34" t="s">
        <v>149</v>
      </c>
      <c r="O212" s="33" t="n">
        <f>10050</f>
        <v>10050.0</v>
      </c>
      <c r="P212" s="34" t="s">
        <v>48</v>
      </c>
      <c r="Q212" s="33" t="n">
        <f>11320</f>
        <v>11320.0</v>
      </c>
      <c r="R212" s="34" t="s">
        <v>51</v>
      </c>
      <c r="S212" s="35" t="n">
        <f>10933</f>
        <v>10933.0</v>
      </c>
      <c r="T212" s="32" t="n">
        <f>5527</f>
        <v>5527.0</v>
      </c>
      <c r="U212" s="32" t="str">
        <f>"－"</f>
        <v>－</v>
      </c>
      <c r="V212" s="32" t="n">
        <f>61823450</f>
        <v>6.182345E7</v>
      </c>
      <c r="W212" s="32" t="str">
        <f>"－"</f>
        <v>－</v>
      </c>
      <c r="X212" s="36" t="n">
        <f>20</f>
        <v>20.0</v>
      </c>
    </row>
    <row r="213">
      <c r="A213" s="27" t="s">
        <v>42</v>
      </c>
      <c r="B213" s="27" t="s">
        <v>688</v>
      </c>
      <c r="C213" s="27" t="s">
        <v>689</v>
      </c>
      <c r="D213" s="27" t="s">
        <v>690</v>
      </c>
      <c r="E213" s="28" t="s">
        <v>46</v>
      </c>
      <c r="F213" s="29" t="s">
        <v>46</v>
      </c>
      <c r="G213" s="30" t="s">
        <v>46</v>
      </c>
      <c r="H213" s="31"/>
      <c r="I213" s="31" t="s">
        <v>636</v>
      </c>
      <c r="J213" s="32" t="n">
        <v>1.0</v>
      </c>
      <c r="K213" s="33" t="n">
        <f>11620</f>
        <v>11620.0</v>
      </c>
      <c r="L213" s="34" t="s">
        <v>48</v>
      </c>
      <c r="M213" s="33" t="n">
        <f>12890</f>
        <v>12890.0</v>
      </c>
      <c r="N213" s="34" t="s">
        <v>93</v>
      </c>
      <c r="O213" s="33" t="n">
        <f>11610</f>
        <v>11610.0</v>
      </c>
      <c r="P213" s="34" t="s">
        <v>48</v>
      </c>
      <c r="Q213" s="33" t="n">
        <f>12700</f>
        <v>12700.0</v>
      </c>
      <c r="R213" s="34" t="s">
        <v>149</v>
      </c>
      <c r="S213" s="35" t="n">
        <f>12338.67</f>
        <v>12338.67</v>
      </c>
      <c r="T213" s="32" t="n">
        <f>952</f>
        <v>952.0</v>
      </c>
      <c r="U213" s="32" t="str">
        <f>"－"</f>
        <v>－</v>
      </c>
      <c r="V213" s="32" t="n">
        <f>11813220</f>
        <v>1.181322E7</v>
      </c>
      <c r="W213" s="32" t="str">
        <f>"－"</f>
        <v>－</v>
      </c>
      <c r="X213" s="36" t="n">
        <f>15</f>
        <v>15.0</v>
      </c>
    </row>
    <row r="214">
      <c r="A214" s="27" t="s">
        <v>42</v>
      </c>
      <c r="B214" s="27" t="s">
        <v>691</v>
      </c>
      <c r="C214" s="27" t="s">
        <v>692</v>
      </c>
      <c r="D214" s="27" t="s">
        <v>693</v>
      </c>
      <c r="E214" s="28" t="s">
        <v>46</v>
      </c>
      <c r="F214" s="29" t="s">
        <v>46</v>
      </c>
      <c r="G214" s="30" t="s">
        <v>46</v>
      </c>
      <c r="H214" s="31"/>
      <c r="I214" s="31" t="s">
        <v>636</v>
      </c>
      <c r="J214" s="32" t="n">
        <v>1.0</v>
      </c>
      <c r="K214" s="33" t="n">
        <f>12260</f>
        <v>12260.0</v>
      </c>
      <c r="L214" s="34" t="s">
        <v>179</v>
      </c>
      <c r="M214" s="33" t="n">
        <f>13930</f>
        <v>13930.0</v>
      </c>
      <c r="N214" s="34" t="s">
        <v>93</v>
      </c>
      <c r="O214" s="33" t="n">
        <f>12130</f>
        <v>12130.0</v>
      </c>
      <c r="P214" s="34" t="s">
        <v>179</v>
      </c>
      <c r="Q214" s="33" t="n">
        <f>13750</f>
        <v>13750.0</v>
      </c>
      <c r="R214" s="34" t="s">
        <v>51</v>
      </c>
      <c r="S214" s="35" t="n">
        <f>13406.25</f>
        <v>13406.25</v>
      </c>
      <c r="T214" s="32" t="n">
        <f>1765</f>
        <v>1765.0</v>
      </c>
      <c r="U214" s="32" t="str">
        <f>"－"</f>
        <v>－</v>
      </c>
      <c r="V214" s="32" t="n">
        <f>23567760</f>
        <v>2.356776E7</v>
      </c>
      <c r="W214" s="32" t="str">
        <f>"－"</f>
        <v>－</v>
      </c>
      <c r="X214" s="36" t="n">
        <f>16</f>
        <v>16.0</v>
      </c>
    </row>
    <row r="215">
      <c r="A215" s="27" t="s">
        <v>42</v>
      </c>
      <c r="B215" s="27" t="s">
        <v>694</v>
      </c>
      <c r="C215" s="27" t="s">
        <v>695</v>
      </c>
      <c r="D215" s="27" t="s">
        <v>696</v>
      </c>
      <c r="E215" s="28" t="s">
        <v>46</v>
      </c>
      <c r="F215" s="29" t="s">
        <v>46</v>
      </c>
      <c r="G215" s="30" t="s">
        <v>46</v>
      </c>
      <c r="H215" s="31"/>
      <c r="I215" s="31" t="s">
        <v>636</v>
      </c>
      <c r="J215" s="32" t="n">
        <v>1.0</v>
      </c>
      <c r="K215" s="33" t="n">
        <f>12560</f>
        <v>12560.0</v>
      </c>
      <c r="L215" s="34" t="s">
        <v>179</v>
      </c>
      <c r="M215" s="33" t="n">
        <f>13720</f>
        <v>13720.0</v>
      </c>
      <c r="N215" s="34" t="s">
        <v>51</v>
      </c>
      <c r="O215" s="33" t="n">
        <f>12350</f>
        <v>12350.0</v>
      </c>
      <c r="P215" s="34" t="s">
        <v>74</v>
      </c>
      <c r="Q215" s="33" t="n">
        <f>13720</f>
        <v>13720.0</v>
      </c>
      <c r="R215" s="34" t="s">
        <v>51</v>
      </c>
      <c r="S215" s="35" t="n">
        <f>12976.67</f>
        <v>12976.67</v>
      </c>
      <c r="T215" s="32" t="n">
        <f>1776</f>
        <v>1776.0</v>
      </c>
      <c r="U215" s="32" t="str">
        <f>"－"</f>
        <v>－</v>
      </c>
      <c r="V215" s="32" t="n">
        <f>23965080</f>
        <v>2.396508E7</v>
      </c>
      <c r="W215" s="32" t="str">
        <f>"－"</f>
        <v>－</v>
      </c>
      <c r="X215" s="36" t="n">
        <f>12</f>
        <v>12.0</v>
      </c>
    </row>
    <row r="216">
      <c r="A216" s="27" t="s">
        <v>42</v>
      </c>
      <c r="B216" s="27" t="s">
        <v>697</v>
      </c>
      <c r="C216" s="27" t="s">
        <v>698</v>
      </c>
      <c r="D216" s="27" t="s">
        <v>699</v>
      </c>
      <c r="E216" s="28" t="s">
        <v>46</v>
      </c>
      <c r="F216" s="29" t="s">
        <v>46</v>
      </c>
      <c r="G216" s="30" t="s">
        <v>46</v>
      </c>
      <c r="H216" s="31"/>
      <c r="I216" s="31" t="s">
        <v>636</v>
      </c>
      <c r="J216" s="32" t="n">
        <v>1.0</v>
      </c>
      <c r="K216" s="33" t="n">
        <f>12080</f>
        <v>12080.0</v>
      </c>
      <c r="L216" s="34" t="s">
        <v>48</v>
      </c>
      <c r="M216" s="33" t="n">
        <f>13160</f>
        <v>13160.0</v>
      </c>
      <c r="N216" s="34" t="s">
        <v>66</v>
      </c>
      <c r="O216" s="33" t="n">
        <f>12020</f>
        <v>12020.0</v>
      </c>
      <c r="P216" s="34" t="s">
        <v>50</v>
      </c>
      <c r="Q216" s="33" t="n">
        <f>12860</f>
        <v>12860.0</v>
      </c>
      <c r="R216" s="34" t="s">
        <v>51</v>
      </c>
      <c r="S216" s="35" t="n">
        <f>12671.74</f>
        <v>12671.74</v>
      </c>
      <c r="T216" s="32" t="n">
        <f>15043</f>
        <v>15043.0</v>
      </c>
      <c r="U216" s="32" t="str">
        <f>"－"</f>
        <v>－</v>
      </c>
      <c r="V216" s="32" t="n">
        <f>190657800</f>
        <v>1.906578E8</v>
      </c>
      <c r="W216" s="32" t="str">
        <f>"－"</f>
        <v>－</v>
      </c>
      <c r="X216" s="36" t="n">
        <f>23</f>
        <v>23.0</v>
      </c>
    </row>
    <row r="217">
      <c r="A217" s="27" t="s">
        <v>42</v>
      </c>
      <c r="B217" s="27" t="s">
        <v>700</v>
      </c>
      <c r="C217" s="27" t="s">
        <v>701</v>
      </c>
      <c r="D217" s="27" t="s">
        <v>702</v>
      </c>
      <c r="E217" s="28" t="s">
        <v>46</v>
      </c>
      <c r="F217" s="29" t="s">
        <v>46</v>
      </c>
      <c r="G217" s="30" t="s">
        <v>46</v>
      </c>
      <c r="H217" s="31"/>
      <c r="I217" s="31" t="s">
        <v>636</v>
      </c>
      <c r="J217" s="32" t="n">
        <v>1.0</v>
      </c>
      <c r="K217" s="33" t="n">
        <f>13760</f>
        <v>13760.0</v>
      </c>
      <c r="L217" s="34" t="s">
        <v>49</v>
      </c>
      <c r="M217" s="33" t="n">
        <f>13800</f>
        <v>13800.0</v>
      </c>
      <c r="N217" s="34" t="s">
        <v>66</v>
      </c>
      <c r="O217" s="33" t="n">
        <f>13370</f>
        <v>13370.0</v>
      </c>
      <c r="P217" s="34" t="s">
        <v>175</v>
      </c>
      <c r="Q217" s="33" t="n">
        <f>13370</f>
        <v>13370.0</v>
      </c>
      <c r="R217" s="34" t="s">
        <v>175</v>
      </c>
      <c r="S217" s="35" t="n">
        <f>13650</f>
        <v>13650.0</v>
      </c>
      <c r="T217" s="32" t="n">
        <f>801</f>
        <v>801.0</v>
      </c>
      <c r="U217" s="32" t="str">
        <f>"－"</f>
        <v>－</v>
      </c>
      <c r="V217" s="32" t="n">
        <f>11037560</f>
        <v>1.103756E7</v>
      </c>
      <c r="W217" s="32" t="str">
        <f>"－"</f>
        <v>－</v>
      </c>
      <c r="X217" s="36" t="n">
        <f>3</f>
        <v>3.0</v>
      </c>
    </row>
    <row r="218">
      <c r="A218" s="27" t="s">
        <v>42</v>
      </c>
      <c r="B218" s="27" t="s">
        <v>703</v>
      </c>
      <c r="C218" s="27" t="s">
        <v>704</v>
      </c>
      <c r="D218" s="27" t="s">
        <v>705</v>
      </c>
      <c r="E218" s="28" t="s">
        <v>46</v>
      </c>
      <c r="F218" s="29" t="s">
        <v>46</v>
      </c>
      <c r="G218" s="30" t="s">
        <v>46</v>
      </c>
      <c r="H218" s="31"/>
      <c r="I218" s="31" t="s">
        <v>636</v>
      </c>
      <c r="J218" s="32" t="n">
        <v>1.0</v>
      </c>
      <c r="K218" s="33" t="n">
        <f>12570</f>
        <v>12570.0</v>
      </c>
      <c r="L218" s="34" t="s">
        <v>171</v>
      </c>
      <c r="M218" s="33" t="n">
        <f>12810</f>
        <v>12810.0</v>
      </c>
      <c r="N218" s="34" t="s">
        <v>70</v>
      </c>
      <c r="O218" s="33" t="n">
        <f>12540</f>
        <v>12540.0</v>
      </c>
      <c r="P218" s="34" t="s">
        <v>62</v>
      </c>
      <c r="Q218" s="33" t="n">
        <f>12780</f>
        <v>12780.0</v>
      </c>
      <c r="R218" s="34" t="s">
        <v>70</v>
      </c>
      <c r="S218" s="35" t="n">
        <f>12622.5</f>
        <v>12622.5</v>
      </c>
      <c r="T218" s="32" t="n">
        <f>26</f>
        <v>26.0</v>
      </c>
      <c r="U218" s="32" t="str">
        <f>"－"</f>
        <v>－</v>
      </c>
      <c r="V218" s="32" t="n">
        <f>329880</f>
        <v>329880.0</v>
      </c>
      <c r="W218" s="32" t="str">
        <f>"－"</f>
        <v>－</v>
      </c>
      <c r="X218" s="36" t="n">
        <f>4</f>
        <v>4.0</v>
      </c>
    </row>
    <row r="219">
      <c r="A219" s="27" t="s">
        <v>42</v>
      </c>
      <c r="B219" s="27" t="s">
        <v>706</v>
      </c>
      <c r="C219" s="27" t="s">
        <v>707</v>
      </c>
      <c r="D219" s="27" t="s">
        <v>708</v>
      </c>
      <c r="E219" s="28" t="s">
        <v>46</v>
      </c>
      <c r="F219" s="29" t="s">
        <v>46</v>
      </c>
      <c r="G219" s="30" t="s">
        <v>46</v>
      </c>
      <c r="H219" s="31"/>
      <c r="I219" s="31" t="s">
        <v>636</v>
      </c>
      <c r="J219" s="32" t="n">
        <v>1.0</v>
      </c>
      <c r="K219" s="33" t="n">
        <f>10220</f>
        <v>10220.0</v>
      </c>
      <c r="L219" s="34" t="s">
        <v>179</v>
      </c>
      <c r="M219" s="33" t="n">
        <f>10840</f>
        <v>10840.0</v>
      </c>
      <c r="N219" s="34" t="s">
        <v>70</v>
      </c>
      <c r="O219" s="33" t="n">
        <f>10000</f>
        <v>10000.0</v>
      </c>
      <c r="P219" s="34" t="s">
        <v>183</v>
      </c>
      <c r="Q219" s="33" t="n">
        <f>10630</f>
        <v>10630.0</v>
      </c>
      <c r="R219" s="34" t="s">
        <v>51</v>
      </c>
      <c r="S219" s="35" t="n">
        <f>10399.09</f>
        <v>10399.09</v>
      </c>
      <c r="T219" s="32" t="n">
        <f>31876</f>
        <v>31876.0</v>
      </c>
      <c r="U219" s="32" t="str">
        <f>"－"</f>
        <v>－</v>
      </c>
      <c r="V219" s="32" t="n">
        <f>335493600</f>
        <v>3.354936E8</v>
      </c>
      <c r="W219" s="32" t="str">
        <f>"－"</f>
        <v>－</v>
      </c>
      <c r="X219" s="36" t="n">
        <f>22</f>
        <v>22.0</v>
      </c>
    </row>
    <row r="220">
      <c r="A220" s="27" t="s">
        <v>42</v>
      </c>
      <c r="B220" s="27" t="s">
        <v>709</v>
      </c>
      <c r="C220" s="27" t="s">
        <v>710</v>
      </c>
      <c r="D220" s="27" t="s">
        <v>711</v>
      </c>
      <c r="E220" s="28" t="s">
        <v>46</v>
      </c>
      <c r="F220" s="29" t="s">
        <v>46</v>
      </c>
      <c r="G220" s="30" t="s">
        <v>46</v>
      </c>
      <c r="H220" s="31"/>
      <c r="I220" s="31" t="s">
        <v>636</v>
      </c>
      <c r="J220" s="32" t="n">
        <v>1.0</v>
      </c>
      <c r="K220" s="33" t="n">
        <f>10450</f>
        <v>10450.0</v>
      </c>
      <c r="L220" s="34" t="s">
        <v>48</v>
      </c>
      <c r="M220" s="33" t="n">
        <f>11190</f>
        <v>11190.0</v>
      </c>
      <c r="N220" s="34" t="s">
        <v>70</v>
      </c>
      <c r="O220" s="33" t="n">
        <f>10120</f>
        <v>10120.0</v>
      </c>
      <c r="P220" s="34" t="s">
        <v>50</v>
      </c>
      <c r="Q220" s="33" t="n">
        <f>11050</f>
        <v>11050.0</v>
      </c>
      <c r="R220" s="34" t="s">
        <v>51</v>
      </c>
      <c r="S220" s="35" t="n">
        <f>10656.52</f>
        <v>10656.52</v>
      </c>
      <c r="T220" s="32" t="n">
        <f>130762</f>
        <v>130762.0</v>
      </c>
      <c r="U220" s="32" t="str">
        <f>"－"</f>
        <v>－</v>
      </c>
      <c r="V220" s="32" t="n">
        <f>1418709780</f>
        <v>1.41870978E9</v>
      </c>
      <c r="W220" s="32" t="str">
        <f>"－"</f>
        <v>－</v>
      </c>
      <c r="X220" s="36" t="n">
        <f>23</f>
        <v>23.0</v>
      </c>
    </row>
    <row r="221">
      <c r="A221" s="27" t="s">
        <v>42</v>
      </c>
      <c r="B221" s="27" t="s">
        <v>712</v>
      </c>
      <c r="C221" s="27" t="s">
        <v>713</v>
      </c>
      <c r="D221" s="27" t="s">
        <v>714</v>
      </c>
      <c r="E221" s="28" t="s">
        <v>46</v>
      </c>
      <c r="F221" s="29" t="s">
        <v>46</v>
      </c>
      <c r="G221" s="30" t="s">
        <v>46</v>
      </c>
      <c r="H221" s="31"/>
      <c r="I221" s="31" t="s">
        <v>636</v>
      </c>
      <c r="J221" s="32" t="n">
        <v>1.0</v>
      </c>
      <c r="K221" s="33" t="n">
        <f>10380</f>
        <v>10380.0</v>
      </c>
      <c r="L221" s="34" t="s">
        <v>48</v>
      </c>
      <c r="M221" s="33" t="n">
        <f>11160</f>
        <v>11160.0</v>
      </c>
      <c r="N221" s="34" t="s">
        <v>149</v>
      </c>
      <c r="O221" s="33" t="n">
        <f>10350</f>
        <v>10350.0</v>
      </c>
      <c r="P221" s="34" t="s">
        <v>50</v>
      </c>
      <c r="Q221" s="33" t="n">
        <f>10960</f>
        <v>10960.0</v>
      </c>
      <c r="R221" s="34" t="s">
        <v>51</v>
      </c>
      <c r="S221" s="35" t="n">
        <f>10781.3</f>
        <v>10781.3</v>
      </c>
      <c r="T221" s="32" t="n">
        <f>56830</f>
        <v>56830.0</v>
      </c>
      <c r="U221" s="32" t="str">
        <f>"－"</f>
        <v>－</v>
      </c>
      <c r="V221" s="32" t="n">
        <f>608148710</f>
        <v>6.0814871E8</v>
      </c>
      <c r="W221" s="32" t="str">
        <f>"－"</f>
        <v>－</v>
      </c>
      <c r="X221" s="36" t="n">
        <f>23</f>
        <v>23.0</v>
      </c>
    </row>
    <row r="222">
      <c r="A222" s="27" t="s">
        <v>42</v>
      </c>
      <c r="B222" s="27" t="s">
        <v>715</v>
      </c>
      <c r="C222" s="27" t="s">
        <v>716</v>
      </c>
      <c r="D222" s="27" t="s">
        <v>717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990</f>
        <v>990.0</v>
      </c>
      <c r="L222" s="34" t="s">
        <v>48</v>
      </c>
      <c r="M222" s="33" t="n">
        <f>997</f>
        <v>997.0</v>
      </c>
      <c r="N222" s="34" t="s">
        <v>191</v>
      </c>
      <c r="O222" s="33" t="n">
        <f>987</f>
        <v>987.0</v>
      </c>
      <c r="P222" s="34" t="s">
        <v>48</v>
      </c>
      <c r="Q222" s="33" t="n">
        <f>992</f>
        <v>992.0</v>
      </c>
      <c r="R222" s="34" t="s">
        <v>51</v>
      </c>
      <c r="S222" s="35" t="n">
        <f>991.74</f>
        <v>991.74</v>
      </c>
      <c r="T222" s="32" t="n">
        <f>1599320</f>
        <v>1599320.0</v>
      </c>
      <c r="U222" s="32" t="n">
        <f>464590</f>
        <v>464590.0</v>
      </c>
      <c r="V222" s="32" t="n">
        <f>1587137567</f>
        <v>1.587137567E9</v>
      </c>
      <c r="W222" s="32" t="n">
        <f>461097967</f>
        <v>4.61097967E8</v>
      </c>
      <c r="X222" s="36" t="n">
        <f>23</f>
        <v>23.0</v>
      </c>
    </row>
    <row r="223">
      <c r="A223" s="27" t="s">
        <v>42</v>
      </c>
      <c r="B223" s="27" t="s">
        <v>718</v>
      </c>
      <c r="C223" s="27" t="s">
        <v>719</v>
      </c>
      <c r="D223" s="27" t="s">
        <v>720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1002</f>
        <v>1002.0</v>
      </c>
      <c r="L223" s="34" t="s">
        <v>48</v>
      </c>
      <c r="M223" s="33" t="n">
        <f>1018</f>
        <v>1018.0</v>
      </c>
      <c r="N223" s="34" t="s">
        <v>179</v>
      </c>
      <c r="O223" s="33" t="n">
        <f>996</f>
        <v>996.0</v>
      </c>
      <c r="P223" s="34" t="s">
        <v>191</v>
      </c>
      <c r="Q223" s="33" t="n">
        <f>1009</f>
        <v>1009.0</v>
      </c>
      <c r="R223" s="34" t="s">
        <v>51</v>
      </c>
      <c r="S223" s="35" t="n">
        <f>1005.17</f>
        <v>1005.17</v>
      </c>
      <c r="T223" s="32" t="n">
        <f>1950150</f>
        <v>1950150.0</v>
      </c>
      <c r="U223" s="32" t="str">
        <f>"－"</f>
        <v>－</v>
      </c>
      <c r="V223" s="32" t="n">
        <f>1952907020</f>
        <v>1.95290702E9</v>
      </c>
      <c r="W223" s="32" t="str">
        <f>"－"</f>
        <v>－</v>
      </c>
      <c r="X223" s="36" t="n">
        <f>23</f>
        <v>23.0</v>
      </c>
    </row>
    <row r="224">
      <c r="A224" s="27" t="s">
        <v>42</v>
      </c>
      <c r="B224" s="27" t="s">
        <v>721</v>
      </c>
      <c r="C224" s="27" t="s">
        <v>722</v>
      </c>
      <c r="D224" s="27" t="s">
        <v>723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1021</f>
        <v>1021.0</v>
      </c>
      <c r="L224" s="34" t="s">
        <v>48</v>
      </c>
      <c r="M224" s="33" t="n">
        <f>1034</f>
        <v>1034.0</v>
      </c>
      <c r="N224" s="34" t="s">
        <v>61</v>
      </c>
      <c r="O224" s="33" t="n">
        <f>1010</f>
        <v>1010.0</v>
      </c>
      <c r="P224" s="34" t="s">
        <v>49</v>
      </c>
      <c r="Q224" s="33" t="n">
        <f>1015</f>
        <v>1015.0</v>
      </c>
      <c r="R224" s="34" t="s">
        <v>51</v>
      </c>
      <c r="S224" s="35" t="n">
        <f>1019.61</f>
        <v>1019.61</v>
      </c>
      <c r="T224" s="32" t="n">
        <f>3254570</f>
        <v>3254570.0</v>
      </c>
      <c r="U224" s="32" t="n">
        <f>1089170</f>
        <v>1089170.0</v>
      </c>
      <c r="V224" s="32" t="n">
        <f>3320046308</f>
        <v>3.320046308E9</v>
      </c>
      <c r="W224" s="32" t="n">
        <f>1112274008</f>
        <v>1.112274008E9</v>
      </c>
      <c r="X224" s="36" t="n">
        <f>23</f>
        <v>23.0</v>
      </c>
    </row>
    <row r="225">
      <c r="A225" s="27" t="s">
        <v>42</v>
      </c>
      <c r="B225" s="27" t="s">
        <v>724</v>
      </c>
      <c r="C225" s="27" t="s">
        <v>725</v>
      </c>
      <c r="D225" s="27" t="s">
        <v>726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1313</f>
        <v>1313.0</v>
      </c>
      <c r="L225" s="34" t="s">
        <v>48</v>
      </c>
      <c r="M225" s="33" t="n">
        <f>1392</f>
        <v>1392.0</v>
      </c>
      <c r="N225" s="34" t="s">
        <v>51</v>
      </c>
      <c r="O225" s="33" t="n">
        <f>1286</f>
        <v>1286.0</v>
      </c>
      <c r="P225" s="34" t="s">
        <v>50</v>
      </c>
      <c r="Q225" s="33" t="n">
        <f>1387</f>
        <v>1387.0</v>
      </c>
      <c r="R225" s="34" t="s">
        <v>51</v>
      </c>
      <c r="S225" s="35" t="n">
        <f>1352.35</f>
        <v>1352.35</v>
      </c>
      <c r="T225" s="32" t="n">
        <f>535390</f>
        <v>535390.0</v>
      </c>
      <c r="U225" s="32" t="n">
        <f>131800</f>
        <v>131800.0</v>
      </c>
      <c r="V225" s="32" t="n">
        <f>724864499</f>
        <v>7.24864499E8</v>
      </c>
      <c r="W225" s="32" t="n">
        <f>177793709</f>
        <v>1.77793709E8</v>
      </c>
      <c r="X225" s="36" t="n">
        <f>23</f>
        <v>23.0</v>
      </c>
    </row>
    <row r="226">
      <c r="A226" s="27" t="s">
        <v>42</v>
      </c>
      <c r="B226" s="27" t="s">
        <v>727</v>
      </c>
      <c r="C226" s="27" t="s">
        <v>728</v>
      </c>
      <c r="D226" s="27" t="s">
        <v>729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10.0</v>
      </c>
      <c r="K226" s="33" t="n">
        <f>1331</f>
        <v>1331.0</v>
      </c>
      <c r="L226" s="34" t="s">
        <v>48</v>
      </c>
      <c r="M226" s="33" t="n">
        <f>1375</f>
        <v>1375.0</v>
      </c>
      <c r="N226" s="34" t="s">
        <v>97</v>
      </c>
      <c r="O226" s="33" t="n">
        <f>1293</f>
        <v>1293.0</v>
      </c>
      <c r="P226" s="34" t="s">
        <v>50</v>
      </c>
      <c r="Q226" s="33" t="n">
        <f>1366</f>
        <v>1366.0</v>
      </c>
      <c r="R226" s="34" t="s">
        <v>51</v>
      </c>
      <c r="S226" s="35" t="n">
        <f>1347.65</f>
        <v>1347.65</v>
      </c>
      <c r="T226" s="32" t="n">
        <f>92170</f>
        <v>92170.0</v>
      </c>
      <c r="U226" s="32" t="str">
        <f>"－"</f>
        <v>－</v>
      </c>
      <c r="V226" s="32" t="n">
        <f>123884620</f>
        <v>1.2388462E8</v>
      </c>
      <c r="W226" s="32" t="str">
        <f>"－"</f>
        <v>－</v>
      </c>
      <c r="X226" s="36" t="n">
        <f>23</f>
        <v>23.0</v>
      </c>
    </row>
    <row r="227">
      <c r="A227" s="27" t="s">
        <v>42</v>
      </c>
      <c r="B227" s="27" t="s">
        <v>730</v>
      </c>
      <c r="C227" s="27" t="s">
        <v>731</v>
      </c>
      <c r="D227" s="27" t="s">
        <v>732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968</f>
        <v>968.0</v>
      </c>
      <c r="L227" s="34" t="s">
        <v>48</v>
      </c>
      <c r="M227" s="33" t="n">
        <f>1040</f>
        <v>1040.0</v>
      </c>
      <c r="N227" s="34" t="s">
        <v>51</v>
      </c>
      <c r="O227" s="33" t="n">
        <f>957</f>
        <v>957.0</v>
      </c>
      <c r="P227" s="34" t="s">
        <v>183</v>
      </c>
      <c r="Q227" s="33" t="n">
        <f>1040</f>
        <v>1040.0</v>
      </c>
      <c r="R227" s="34" t="s">
        <v>51</v>
      </c>
      <c r="S227" s="35" t="n">
        <f>998.39</f>
        <v>998.39</v>
      </c>
      <c r="T227" s="32" t="n">
        <f>651640</f>
        <v>651640.0</v>
      </c>
      <c r="U227" s="32" t="n">
        <f>161150</f>
        <v>161150.0</v>
      </c>
      <c r="V227" s="32" t="n">
        <f>645186956</f>
        <v>6.45186956E8</v>
      </c>
      <c r="W227" s="32" t="n">
        <f>156037656</f>
        <v>1.56037656E8</v>
      </c>
      <c r="X227" s="36" t="n">
        <f>23</f>
        <v>23.0</v>
      </c>
    </row>
    <row r="228">
      <c r="A228" s="27" t="s">
        <v>42</v>
      </c>
      <c r="B228" s="27" t="s">
        <v>733</v>
      </c>
      <c r="C228" s="27" t="s">
        <v>734</v>
      </c>
      <c r="D228" s="27" t="s">
        <v>735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10.0</v>
      </c>
      <c r="K228" s="33" t="n">
        <f>939</f>
        <v>939.0</v>
      </c>
      <c r="L228" s="34" t="s">
        <v>48</v>
      </c>
      <c r="M228" s="33" t="n">
        <f>964</f>
        <v>964.0</v>
      </c>
      <c r="N228" s="34" t="s">
        <v>82</v>
      </c>
      <c r="O228" s="33" t="n">
        <f>861</f>
        <v>861.0</v>
      </c>
      <c r="P228" s="34" t="s">
        <v>75</v>
      </c>
      <c r="Q228" s="33" t="n">
        <f>919</f>
        <v>919.0</v>
      </c>
      <c r="R228" s="34" t="s">
        <v>51</v>
      </c>
      <c r="S228" s="35" t="n">
        <f>918</f>
        <v>918.0</v>
      </c>
      <c r="T228" s="32" t="n">
        <f>16596250</f>
        <v>1.659625E7</v>
      </c>
      <c r="U228" s="32" t="n">
        <f>49150</f>
        <v>49150.0</v>
      </c>
      <c r="V228" s="32" t="n">
        <f>15264931666</f>
        <v>1.5264931666E10</v>
      </c>
      <c r="W228" s="32" t="n">
        <f>46173866</f>
        <v>4.6173866E7</v>
      </c>
      <c r="X228" s="36" t="n">
        <f>23</f>
        <v>23.0</v>
      </c>
    </row>
    <row r="229">
      <c r="A229" s="27" t="s">
        <v>42</v>
      </c>
      <c r="B229" s="27" t="s">
        <v>736</v>
      </c>
      <c r="C229" s="27" t="s">
        <v>737</v>
      </c>
      <c r="D229" s="27" t="s">
        <v>738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10.0</v>
      </c>
      <c r="K229" s="33" t="n">
        <f>1149</f>
        <v>1149.0</v>
      </c>
      <c r="L229" s="34" t="s">
        <v>48</v>
      </c>
      <c r="M229" s="33" t="n">
        <f>1216</f>
        <v>1216.0</v>
      </c>
      <c r="N229" s="34" t="s">
        <v>51</v>
      </c>
      <c r="O229" s="33" t="n">
        <f>1077</f>
        <v>1077.0</v>
      </c>
      <c r="P229" s="34" t="s">
        <v>75</v>
      </c>
      <c r="Q229" s="33" t="n">
        <f>1196</f>
        <v>1196.0</v>
      </c>
      <c r="R229" s="34" t="s">
        <v>51</v>
      </c>
      <c r="S229" s="35" t="n">
        <f>1153.7</f>
        <v>1153.7</v>
      </c>
      <c r="T229" s="32" t="n">
        <f>346580</f>
        <v>346580.0</v>
      </c>
      <c r="U229" s="32" t="n">
        <f>22000</f>
        <v>22000.0</v>
      </c>
      <c r="V229" s="32" t="n">
        <f>390494720</f>
        <v>3.9049472E8</v>
      </c>
      <c r="W229" s="32" t="n">
        <f>24875180</f>
        <v>2.487518E7</v>
      </c>
      <c r="X229" s="36" t="n">
        <f>23</f>
        <v>23.0</v>
      </c>
    </row>
    <row r="230">
      <c r="A230" s="27" t="s">
        <v>42</v>
      </c>
      <c r="B230" s="27" t="s">
        <v>739</v>
      </c>
      <c r="C230" s="27" t="s">
        <v>740</v>
      </c>
      <c r="D230" s="27" t="s">
        <v>741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1100</f>
        <v>1100.0</v>
      </c>
      <c r="L230" s="34" t="s">
        <v>48</v>
      </c>
      <c r="M230" s="33" t="n">
        <f>1154</f>
        <v>1154.0</v>
      </c>
      <c r="N230" s="34" t="s">
        <v>82</v>
      </c>
      <c r="O230" s="33" t="n">
        <f>1073</f>
        <v>1073.0</v>
      </c>
      <c r="P230" s="34" t="s">
        <v>50</v>
      </c>
      <c r="Q230" s="33" t="n">
        <f>1137</f>
        <v>1137.0</v>
      </c>
      <c r="R230" s="34" t="s">
        <v>51</v>
      </c>
      <c r="S230" s="35" t="n">
        <f>1117.57</f>
        <v>1117.57</v>
      </c>
      <c r="T230" s="32" t="n">
        <f>40924</f>
        <v>40924.0</v>
      </c>
      <c r="U230" s="32" t="n">
        <f>4</f>
        <v>4.0</v>
      </c>
      <c r="V230" s="32" t="n">
        <f>45642449</f>
        <v>4.5642449E7</v>
      </c>
      <c r="W230" s="32" t="n">
        <f>4525</f>
        <v>4525.0</v>
      </c>
      <c r="X230" s="36" t="n">
        <f>23</f>
        <v>23.0</v>
      </c>
    </row>
    <row r="231">
      <c r="A231" s="27" t="s">
        <v>42</v>
      </c>
      <c r="B231" s="27" t="s">
        <v>742</v>
      </c>
      <c r="C231" s="27" t="s">
        <v>743</v>
      </c>
      <c r="D231" s="27" t="s">
        <v>744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10.0</v>
      </c>
      <c r="K231" s="33" t="n">
        <f>1013</f>
        <v>1013.0</v>
      </c>
      <c r="L231" s="34" t="s">
        <v>48</v>
      </c>
      <c r="M231" s="33" t="n">
        <f>1032</f>
        <v>1032.0</v>
      </c>
      <c r="N231" s="34" t="s">
        <v>61</v>
      </c>
      <c r="O231" s="33" t="n">
        <f>984</f>
        <v>984.0</v>
      </c>
      <c r="P231" s="34" t="s">
        <v>75</v>
      </c>
      <c r="Q231" s="33" t="n">
        <f>1002</f>
        <v>1002.0</v>
      </c>
      <c r="R231" s="34" t="s">
        <v>51</v>
      </c>
      <c r="S231" s="35" t="n">
        <f>1000.39</f>
        <v>1000.39</v>
      </c>
      <c r="T231" s="32" t="n">
        <f>212190</f>
        <v>212190.0</v>
      </c>
      <c r="U231" s="32" t="n">
        <f>22740</f>
        <v>22740.0</v>
      </c>
      <c r="V231" s="32" t="n">
        <f>211799433</f>
        <v>2.11799433E8</v>
      </c>
      <c r="W231" s="32" t="n">
        <f>22545573</f>
        <v>2.2545573E7</v>
      </c>
      <c r="X231" s="36" t="n">
        <f>23</f>
        <v>23.0</v>
      </c>
    </row>
    <row r="232">
      <c r="A232" s="27" t="s">
        <v>42</v>
      </c>
      <c r="B232" s="27" t="s">
        <v>745</v>
      </c>
      <c r="C232" s="27" t="s">
        <v>746</v>
      </c>
      <c r="D232" s="27" t="s">
        <v>747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1233</f>
        <v>1233.0</v>
      </c>
      <c r="L232" s="34" t="s">
        <v>48</v>
      </c>
      <c r="M232" s="33" t="n">
        <f>1285</f>
        <v>1285.0</v>
      </c>
      <c r="N232" s="34" t="s">
        <v>187</v>
      </c>
      <c r="O232" s="33" t="n">
        <f>1193</f>
        <v>1193.0</v>
      </c>
      <c r="P232" s="34" t="s">
        <v>62</v>
      </c>
      <c r="Q232" s="33" t="n">
        <f>1243</f>
        <v>1243.0</v>
      </c>
      <c r="R232" s="34" t="s">
        <v>51</v>
      </c>
      <c r="S232" s="35" t="n">
        <f>1244.17</f>
        <v>1244.17</v>
      </c>
      <c r="T232" s="32" t="n">
        <f>289130</f>
        <v>289130.0</v>
      </c>
      <c r="U232" s="32" t="n">
        <f>34090</f>
        <v>34090.0</v>
      </c>
      <c r="V232" s="32" t="n">
        <f>358354660</f>
        <v>3.5835466E8</v>
      </c>
      <c r="W232" s="32" t="n">
        <f>42092450</f>
        <v>4.209245E7</v>
      </c>
      <c r="X232" s="36" t="n">
        <f>23</f>
        <v>23.0</v>
      </c>
    </row>
    <row r="233">
      <c r="A233" s="27" t="s">
        <v>42</v>
      </c>
      <c r="B233" s="27" t="s">
        <v>748</v>
      </c>
      <c r="C233" s="27" t="s">
        <v>749</v>
      </c>
      <c r="D233" s="27" t="s">
        <v>750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1336</f>
        <v>1336.0</v>
      </c>
      <c r="L233" s="34" t="s">
        <v>48</v>
      </c>
      <c r="M233" s="33" t="n">
        <f>1390</f>
        <v>1390.0</v>
      </c>
      <c r="N233" s="34" t="s">
        <v>82</v>
      </c>
      <c r="O233" s="33" t="n">
        <f>1299</f>
        <v>1299.0</v>
      </c>
      <c r="P233" s="34" t="s">
        <v>50</v>
      </c>
      <c r="Q233" s="33" t="n">
        <f>1379</f>
        <v>1379.0</v>
      </c>
      <c r="R233" s="34" t="s">
        <v>51</v>
      </c>
      <c r="S233" s="35" t="n">
        <f>1359.48</f>
        <v>1359.48</v>
      </c>
      <c r="T233" s="32" t="n">
        <f>17644170</f>
        <v>1.764417E7</v>
      </c>
      <c r="U233" s="32" t="n">
        <f>5086120</f>
        <v>5086120.0</v>
      </c>
      <c r="V233" s="32" t="n">
        <f>23877343213</f>
        <v>2.3877343213E10</v>
      </c>
      <c r="W233" s="32" t="n">
        <f>6855556253</f>
        <v>6.855556253E9</v>
      </c>
      <c r="X233" s="36" t="n">
        <f>23</f>
        <v>23.0</v>
      </c>
    </row>
    <row r="234">
      <c r="A234" s="27" t="s">
        <v>42</v>
      </c>
      <c r="B234" s="27" t="s">
        <v>751</v>
      </c>
      <c r="C234" s="27" t="s">
        <v>752</v>
      </c>
      <c r="D234" s="27" t="s">
        <v>753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1.0</v>
      </c>
      <c r="K234" s="33" t="n">
        <f>3500</f>
        <v>3500.0</v>
      </c>
      <c r="L234" s="34" t="s">
        <v>48</v>
      </c>
      <c r="M234" s="33" t="n">
        <f>3620</f>
        <v>3620.0</v>
      </c>
      <c r="N234" s="34" t="s">
        <v>406</v>
      </c>
      <c r="O234" s="33" t="n">
        <f>3290</f>
        <v>3290.0</v>
      </c>
      <c r="P234" s="34" t="s">
        <v>50</v>
      </c>
      <c r="Q234" s="33" t="n">
        <f>3510</f>
        <v>3510.0</v>
      </c>
      <c r="R234" s="34" t="s">
        <v>51</v>
      </c>
      <c r="S234" s="35" t="n">
        <f>3468.48</f>
        <v>3468.48</v>
      </c>
      <c r="T234" s="32" t="n">
        <f>279728</f>
        <v>279728.0</v>
      </c>
      <c r="U234" s="32" t="n">
        <f>2</f>
        <v>2.0</v>
      </c>
      <c r="V234" s="32" t="n">
        <f>963061280</f>
        <v>9.6306128E8</v>
      </c>
      <c r="W234" s="32" t="n">
        <f>6950</f>
        <v>6950.0</v>
      </c>
      <c r="X234" s="36" t="n">
        <f>23</f>
        <v>23.0</v>
      </c>
    </row>
    <row r="235">
      <c r="A235" s="27" t="s">
        <v>42</v>
      </c>
      <c r="B235" s="27" t="s">
        <v>754</v>
      </c>
      <c r="C235" s="27" t="s">
        <v>755</v>
      </c>
      <c r="D235" s="27" t="s">
        <v>756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1778</f>
        <v>1778.0</v>
      </c>
      <c r="L235" s="34" t="s">
        <v>48</v>
      </c>
      <c r="M235" s="33" t="n">
        <f>1778</f>
        <v>1778.0</v>
      </c>
      <c r="N235" s="34" t="s">
        <v>48</v>
      </c>
      <c r="O235" s="33" t="n">
        <f>1662</f>
        <v>1662.0</v>
      </c>
      <c r="P235" s="34" t="s">
        <v>50</v>
      </c>
      <c r="Q235" s="33" t="n">
        <f>1730</f>
        <v>1730.0</v>
      </c>
      <c r="R235" s="34" t="s">
        <v>51</v>
      </c>
      <c r="S235" s="35" t="n">
        <f>1720.63</f>
        <v>1720.63</v>
      </c>
      <c r="T235" s="32" t="n">
        <f>6400</f>
        <v>6400.0</v>
      </c>
      <c r="U235" s="32" t="str">
        <f>"－"</f>
        <v>－</v>
      </c>
      <c r="V235" s="32" t="n">
        <f>10958250</f>
        <v>1.095825E7</v>
      </c>
      <c r="W235" s="32" t="str">
        <f>"－"</f>
        <v>－</v>
      </c>
      <c r="X235" s="36" t="n">
        <f>19</f>
        <v>19.0</v>
      </c>
    </row>
    <row r="236">
      <c r="A236" s="27" t="s">
        <v>42</v>
      </c>
      <c r="B236" s="27" t="s">
        <v>757</v>
      </c>
      <c r="C236" s="27" t="s">
        <v>758</v>
      </c>
      <c r="D236" s="27" t="s">
        <v>759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10.0</v>
      </c>
      <c r="K236" s="33" t="n">
        <f>1931</f>
        <v>1931.0</v>
      </c>
      <c r="L236" s="34" t="s">
        <v>179</v>
      </c>
      <c r="M236" s="33" t="n">
        <f>2034</f>
        <v>2034.0</v>
      </c>
      <c r="N236" s="34" t="s">
        <v>82</v>
      </c>
      <c r="O236" s="33" t="n">
        <f>1917</f>
        <v>1917.0</v>
      </c>
      <c r="P236" s="34" t="s">
        <v>89</v>
      </c>
      <c r="Q236" s="33" t="n">
        <f>2004</f>
        <v>2004.0</v>
      </c>
      <c r="R236" s="34" t="s">
        <v>51</v>
      </c>
      <c r="S236" s="35" t="n">
        <f>1983.27</f>
        <v>1983.27</v>
      </c>
      <c r="T236" s="32" t="n">
        <f>878630</f>
        <v>878630.0</v>
      </c>
      <c r="U236" s="32" t="n">
        <f>430000</f>
        <v>430000.0</v>
      </c>
      <c r="V236" s="32" t="n">
        <f>1762833760</f>
        <v>1.76283376E9</v>
      </c>
      <c r="W236" s="32" t="n">
        <f>864300000</f>
        <v>8.643E8</v>
      </c>
      <c r="X236" s="36" t="n">
        <f>15</f>
        <v>15.0</v>
      </c>
    </row>
    <row r="237">
      <c r="A237" s="27" t="s">
        <v>42</v>
      </c>
      <c r="B237" s="27" t="s">
        <v>760</v>
      </c>
      <c r="C237" s="27" t="s">
        <v>761</v>
      </c>
      <c r="D237" s="27" t="s">
        <v>762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29770</f>
        <v>29770.0</v>
      </c>
      <c r="L237" s="34" t="s">
        <v>48</v>
      </c>
      <c r="M237" s="33" t="n">
        <f>30650</f>
        <v>30650.0</v>
      </c>
      <c r="N237" s="34" t="s">
        <v>82</v>
      </c>
      <c r="O237" s="33" t="n">
        <f>28530</f>
        <v>28530.0</v>
      </c>
      <c r="P237" s="34" t="s">
        <v>50</v>
      </c>
      <c r="Q237" s="33" t="n">
        <f>29600</f>
        <v>29600.0</v>
      </c>
      <c r="R237" s="34" t="s">
        <v>51</v>
      </c>
      <c r="S237" s="35" t="n">
        <f>29498.7</f>
        <v>29498.7</v>
      </c>
      <c r="T237" s="32" t="n">
        <f>75075</f>
        <v>75075.0</v>
      </c>
      <c r="U237" s="32" t="n">
        <f>65559</f>
        <v>65559.0</v>
      </c>
      <c r="V237" s="32" t="n">
        <f>2236611353</f>
        <v>2.236611353E9</v>
      </c>
      <c r="W237" s="32" t="n">
        <f>1962607953</f>
        <v>1.962607953E9</v>
      </c>
      <c r="X237" s="36" t="n">
        <f>23</f>
        <v>23.0</v>
      </c>
    </row>
    <row r="238">
      <c r="A238" s="27" t="s">
        <v>42</v>
      </c>
      <c r="B238" s="27" t="s">
        <v>763</v>
      </c>
      <c r="C238" s="27" t="s">
        <v>764</v>
      </c>
      <c r="D238" s="27" t="s">
        <v>765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17370</f>
        <v>17370.0</v>
      </c>
      <c r="L238" s="34" t="s">
        <v>48</v>
      </c>
      <c r="M238" s="33" t="n">
        <f>18280</f>
        <v>18280.0</v>
      </c>
      <c r="N238" s="34" t="s">
        <v>49</v>
      </c>
      <c r="O238" s="33" t="n">
        <f>17040</f>
        <v>17040.0</v>
      </c>
      <c r="P238" s="34" t="s">
        <v>50</v>
      </c>
      <c r="Q238" s="33" t="n">
        <f>17930</f>
        <v>17930.0</v>
      </c>
      <c r="R238" s="34" t="s">
        <v>51</v>
      </c>
      <c r="S238" s="35" t="n">
        <f>17729.05</f>
        <v>17729.05</v>
      </c>
      <c r="T238" s="32" t="n">
        <f>100418</f>
        <v>100418.0</v>
      </c>
      <c r="U238" s="32" t="str">
        <f>"－"</f>
        <v>－</v>
      </c>
      <c r="V238" s="32" t="n">
        <f>1784539600</f>
        <v>1.7845396E9</v>
      </c>
      <c r="W238" s="32" t="str">
        <f>"－"</f>
        <v>－</v>
      </c>
      <c r="X238" s="36" t="n">
        <f>21</f>
        <v>21.0</v>
      </c>
    </row>
    <row r="239">
      <c r="A239" s="27" t="s">
        <v>42</v>
      </c>
      <c r="B239" s="27" t="s">
        <v>766</v>
      </c>
      <c r="C239" s="27" t="s">
        <v>767</v>
      </c>
      <c r="D239" s="27" t="s">
        <v>768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10.0</v>
      </c>
      <c r="K239" s="33" t="n">
        <f>1156</f>
        <v>1156.0</v>
      </c>
      <c r="L239" s="34" t="s">
        <v>179</v>
      </c>
      <c r="M239" s="33" t="n">
        <f>1215</f>
        <v>1215.0</v>
      </c>
      <c r="N239" s="34" t="s">
        <v>51</v>
      </c>
      <c r="O239" s="33" t="n">
        <f>1127</f>
        <v>1127.0</v>
      </c>
      <c r="P239" s="34" t="s">
        <v>89</v>
      </c>
      <c r="Q239" s="33" t="n">
        <f>1204</f>
        <v>1204.0</v>
      </c>
      <c r="R239" s="34" t="s">
        <v>51</v>
      </c>
      <c r="S239" s="35" t="n">
        <f>1163.65</f>
        <v>1163.65</v>
      </c>
      <c r="T239" s="32" t="n">
        <f>1460</f>
        <v>1460.0</v>
      </c>
      <c r="U239" s="32" t="str">
        <f>"－"</f>
        <v>－</v>
      </c>
      <c r="V239" s="32" t="n">
        <f>1711050</f>
        <v>1711050.0</v>
      </c>
      <c r="W239" s="32" t="str">
        <f>"－"</f>
        <v>－</v>
      </c>
      <c r="X239" s="36" t="n">
        <f>17</f>
        <v>17.0</v>
      </c>
    </row>
    <row r="240">
      <c r="A240" s="27" t="s">
        <v>42</v>
      </c>
      <c r="B240" s="27" t="s">
        <v>769</v>
      </c>
      <c r="C240" s="27" t="s">
        <v>770</v>
      </c>
      <c r="D240" s="27" t="s">
        <v>771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10.0</v>
      </c>
      <c r="K240" s="33" t="n">
        <f>1165</f>
        <v>1165.0</v>
      </c>
      <c r="L240" s="34" t="s">
        <v>48</v>
      </c>
      <c r="M240" s="33" t="n">
        <f>1209</f>
        <v>1209.0</v>
      </c>
      <c r="N240" s="34" t="s">
        <v>51</v>
      </c>
      <c r="O240" s="33" t="n">
        <f>1108</f>
        <v>1108.0</v>
      </c>
      <c r="P240" s="34" t="s">
        <v>75</v>
      </c>
      <c r="Q240" s="33" t="n">
        <f>1194</f>
        <v>1194.0</v>
      </c>
      <c r="R240" s="34" t="s">
        <v>51</v>
      </c>
      <c r="S240" s="35" t="n">
        <f>1155.39</f>
        <v>1155.39</v>
      </c>
      <c r="T240" s="32" t="n">
        <f>193440</f>
        <v>193440.0</v>
      </c>
      <c r="U240" s="32" t="n">
        <f>87000</f>
        <v>87000.0</v>
      </c>
      <c r="V240" s="32" t="n">
        <f>221128000</f>
        <v>2.21128E8</v>
      </c>
      <c r="W240" s="32" t="n">
        <f>100163100</f>
        <v>1.001631E8</v>
      </c>
      <c r="X240" s="36" t="n">
        <f>23</f>
        <v>23.0</v>
      </c>
    </row>
    <row r="241">
      <c r="A241" s="27" t="s">
        <v>42</v>
      </c>
      <c r="B241" s="27" t="s">
        <v>772</v>
      </c>
      <c r="C241" s="27" t="s">
        <v>773</v>
      </c>
      <c r="D241" s="27" t="s">
        <v>774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1037</f>
        <v>1037.0</v>
      </c>
      <c r="L241" s="34" t="s">
        <v>48</v>
      </c>
      <c r="M241" s="33" t="n">
        <f>1141</f>
        <v>1141.0</v>
      </c>
      <c r="N241" s="34" t="s">
        <v>149</v>
      </c>
      <c r="O241" s="33" t="n">
        <f>1036</f>
        <v>1036.0</v>
      </c>
      <c r="P241" s="34" t="s">
        <v>179</v>
      </c>
      <c r="Q241" s="33" t="n">
        <f>1120</f>
        <v>1120.0</v>
      </c>
      <c r="R241" s="34" t="s">
        <v>51</v>
      </c>
      <c r="S241" s="35" t="n">
        <f>1097.09</f>
        <v>1097.09</v>
      </c>
      <c r="T241" s="32" t="n">
        <f>176854</f>
        <v>176854.0</v>
      </c>
      <c r="U241" s="32" t="n">
        <f>1</f>
        <v>1.0</v>
      </c>
      <c r="V241" s="32" t="n">
        <f>195484579</f>
        <v>1.95484579E8</v>
      </c>
      <c r="W241" s="32" t="n">
        <f>1124</f>
        <v>1124.0</v>
      </c>
      <c r="X241" s="36" t="n">
        <f>23</f>
        <v>23.0</v>
      </c>
    </row>
    <row r="242">
      <c r="A242" s="27" t="s">
        <v>42</v>
      </c>
      <c r="B242" s="27" t="s">
        <v>775</v>
      </c>
      <c r="C242" s="27" t="s">
        <v>776</v>
      </c>
      <c r="D242" s="27" t="s">
        <v>777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1.0</v>
      </c>
      <c r="K242" s="33" t="n">
        <f>13600</f>
        <v>13600.0</v>
      </c>
      <c r="L242" s="34" t="s">
        <v>48</v>
      </c>
      <c r="M242" s="33" t="n">
        <f>15550</f>
        <v>15550.0</v>
      </c>
      <c r="N242" s="34" t="s">
        <v>89</v>
      </c>
      <c r="O242" s="33" t="n">
        <f>13300</f>
        <v>13300.0</v>
      </c>
      <c r="P242" s="34" t="s">
        <v>191</v>
      </c>
      <c r="Q242" s="33" t="n">
        <f>13690</f>
        <v>13690.0</v>
      </c>
      <c r="R242" s="34" t="s">
        <v>51</v>
      </c>
      <c r="S242" s="35" t="n">
        <f>13792.17</f>
        <v>13792.17</v>
      </c>
      <c r="T242" s="32" t="n">
        <f>7953</f>
        <v>7953.0</v>
      </c>
      <c r="U242" s="32" t="str">
        <f>"－"</f>
        <v>－</v>
      </c>
      <c r="V242" s="32" t="n">
        <f>111003500</f>
        <v>1.110035E8</v>
      </c>
      <c r="W242" s="32" t="str">
        <f>"－"</f>
        <v>－</v>
      </c>
      <c r="X242" s="36" t="n">
        <f>23</f>
        <v>23.0</v>
      </c>
    </row>
    <row r="243">
      <c r="A243" s="27" t="s">
        <v>42</v>
      </c>
      <c r="B243" s="27" t="s">
        <v>778</v>
      </c>
      <c r="C243" s="27" t="s">
        <v>779</v>
      </c>
      <c r="D243" s="27" t="s">
        <v>780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1.0</v>
      </c>
      <c r="K243" s="33" t="n">
        <f>2076</f>
        <v>2076.0</v>
      </c>
      <c r="L243" s="34" t="s">
        <v>48</v>
      </c>
      <c r="M243" s="33" t="n">
        <f>2207</f>
        <v>2207.0</v>
      </c>
      <c r="N243" s="34" t="s">
        <v>51</v>
      </c>
      <c r="O243" s="33" t="n">
        <f>2002</f>
        <v>2002.0</v>
      </c>
      <c r="P243" s="34" t="s">
        <v>75</v>
      </c>
      <c r="Q243" s="33" t="n">
        <f>2170</f>
        <v>2170.0</v>
      </c>
      <c r="R243" s="34" t="s">
        <v>51</v>
      </c>
      <c r="S243" s="35" t="n">
        <f>2091.61</f>
        <v>2091.61</v>
      </c>
      <c r="T243" s="32" t="n">
        <f>130351</f>
        <v>130351.0</v>
      </c>
      <c r="U243" s="32" t="str">
        <f>"－"</f>
        <v>－</v>
      </c>
      <c r="V243" s="32" t="n">
        <f>277995198</f>
        <v>2.77995198E8</v>
      </c>
      <c r="W243" s="32" t="str">
        <f>"－"</f>
        <v>－</v>
      </c>
      <c r="X243" s="36" t="n">
        <f>23</f>
        <v>23.0</v>
      </c>
    </row>
    <row r="244">
      <c r="A244" s="27" t="s">
        <v>42</v>
      </c>
      <c r="B244" s="27" t="s">
        <v>781</v>
      </c>
      <c r="C244" s="27" t="s">
        <v>782</v>
      </c>
      <c r="D244" s="27" t="s">
        <v>783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10.0</v>
      </c>
      <c r="K244" s="33" t="n">
        <f>1482</f>
        <v>1482.0</v>
      </c>
      <c r="L244" s="34" t="s">
        <v>48</v>
      </c>
      <c r="M244" s="33" t="n">
        <f>1628</f>
        <v>1628.0</v>
      </c>
      <c r="N244" s="34" t="s">
        <v>93</v>
      </c>
      <c r="O244" s="33" t="n">
        <f>1361</f>
        <v>1361.0</v>
      </c>
      <c r="P244" s="34" t="s">
        <v>406</v>
      </c>
      <c r="Q244" s="33" t="n">
        <f>1410</f>
        <v>1410.0</v>
      </c>
      <c r="R244" s="34" t="s">
        <v>51</v>
      </c>
      <c r="S244" s="35" t="n">
        <f>1419.57</f>
        <v>1419.57</v>
      </c>
      <c r="T244" s="32" t="n">
        <f>16470</f>
        <v>16470.0</v>
      </c>
      <c r="U244" s="32" t="str">
        <f>"－"</f>
        <v>－</v>
      </c>
      <c r="V244" s="32" t="n">
        <f>23987130</f>
        <v>2.398713E7</v>
      </c>
      <c r="W244" s="32" t="str">
        <f>"－"</f>
        <v>－</v>
      </c>
      <c r="X244" s="36" t="n">
        <f>23</f>
        <v>23.0</v>
      </c>
    </row>
    <row r="245">
      <c r="A245" s="27" t="s">
        <v>42</v>
      </c>
      <c r="B245" s="27" t="s">
        <v>784</v>
      </c>
      <c r="C245" s="27" t="s">
        <v>785</v>
      </c>
      <c r="D245" s="27" t="s">
        <v>786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1020</f>
        <v>1020.0</v>
      </c>
      <c r="L245" s="34" t="s">
        <v>48</v>
      </c>
      <c r="M245" s="33" t="n">
        <f>1024</f>
        <v>1024.0</v>
      </c>
      <c r="N245" s="34" t="s">
        <v>179</v>
      </c>
      <c r="O245" s="33" t="n">
        <f>999</f>
        <v>999.0</v>
      </c>
      <c r="P245" s="34" t="s">
        <v>70</v>
      </c>
      <c r="Q245" s="33" t="n">
        <f>1002</f>
        <v>1002.0</v>
      </c>
      <c r="R245" s="34" t="s">
        <v>51</v>
      </c>
      <c r="S245" s="35" t="n">
        <f>1006</f>
        <v>1006.0</v>
      </c>
      <c r="T245" s="32" t="n">
        <f>433510</f>
        <v>433510.0</v>
      </c>
      <c r="U245" s="32" t="n">
        <f>104520</f>
        <v>104520.0</v>
      </c>
      <c r="V245" s="32" t="n">
        <f>435751730</f>
        <v>4.3575173E8</v>
      </c>
      <c r="W245" s="32" t="n">
        <f>105330030</f>
        <v>1.0533003E8</v>
      </c>
      <c r="X245" s="36" t="n">
        <f>22</f>
        <v>22.0</v>
      </c>
    </row>
    <row r="246">
      <c r="A246" s="27" t="s">
        <v>42</v>
      </c>
      <c r="B246" s="27" t="s">
        <v>787</v>
      </c>
      <c r="C246" s="27" t="s">
        <v>788</v>
      </c>
      <c r="D246" s="27" t="s">
        <v>789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1990</f>
        <v>1990.0</v>
      </c>
      <c r="L246" s="34" t="s">
        <v>48</v>
      </c>
      <c r="M246" s="33" t="n">
        <f>2096</f>
        <v>2096.0</v>
      </c>
      <c r="N246" s="34" t="s">
        <v>51</v>
      </c>
      <c r="O246" s="33" t="n">
        <f>1914</f>
        <v>1914.0</v>
      </c>
      <c r="P246" s="34" t="s">
        <v>75</v>
      </c>
      <c r="Q246" s="33" t="n">
        <f>2070</f>
        <v>2070.0</v>
      </c>
      <c r="R246" s="34" t="s">
        <v>51</v>
      </c>
      <c r="S246" s="35" t="n">
        <f>1992.87</f>
        <v>1992.87</v>
      </c>
      <c r="T246" s="32" t="n">
        <f>71650</f>
        <v>71650.0</v>
      </c>
      <c r="U246" s="32" t="str">
        <f>"－"</f>
        <v>－</v>
      </c>
      <c r="V246" s="32" t="n">
        <f>142633430</f>
        <v>1.4263343E8</v>
      </c>
      <c r="W246" s="32" t="str">
        <f>"－"</f>
        <v>－</v>
      </c>
      <c r="X246" s="36" t="n">
        <f>23</f>
        <v>23.0</v>
      </c>
    </row>
    <row r="247">
      <c r="A247" s="27" t="s">
        <v>42</v>
      </c>
      <c r="B247" s="27" t="s">
        <v>790</v>
      </c>
      <c r="C247" s="27" t="s">
        <v>791</v>
      </c>
      <c r="D247" s="27" t="s">
        <v>792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10.0</v>
      </c>
      <c r="K247" s="33" t="n">
        <f>2002</f>
        <v>2002.0</v>
      </c>
      <c r="L247" s="34" t="s">
        <v>48</v>
      </c>
      <c r="M247" s="33" t="n">
        <f>2101</f>
        <v>2101.0</v>
      </c>
      <c r="N247" s="34" t="s">
        <v>51</v>
      </c>
      <c r="O247" s="33" t="n">
        <f>1912</f>
        <v>1912.0</v>
      </c>
      <c r="P247" s="34" t="s">
        <v>75</v>
      </c>
      <c r="Q247" s="33" t="n">
        <f>2071</f>
        <v>2071.0</v>
      </c>
      <c r="R247" s="34" t="s">
        <v>51</v>
      </c>
      <c r="S247" s="35" t="n">
        <f>2005.26</f>
        <v>2005.26</v>
      </c>
      <c r="T247" s="32" t="n">
        <f>667690</f>
        <v>667690.0</v>
      </c>
      <c r="U247" s="32" t="n">
        <f>371100</f>
        <v>371100.0</v>
      </c>
      <c r="V247" s="32" t="n">
        <f>1311190995</f>
        <v>1.311190995E9</v>
      </c>
      <c r="W247" s="32" t="n">
        <f>717668405</f>
        <v>7.17668405E8</v>
      </c>
      <c r="X247" s="36" t="n">
        <f>23</f>
        <v>23.0</v>
      </c>
    </row>
    <row r="248">
      <c r="A248" s="27" t="s">
        <v>42</v>
      </c>
      <c r="B248" s="27" t="s">
        <v>793</v>
      </c>
      <c r="C248" s="27" t="s">
        <v>794</v>
      </c>
      <c r="D248" s="27" t="s">
        <v>795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10.0</v>
      </c>
      <c r="K248" s="33" t="n">
        <f>1898</f>
        <v>1898.0</v>
      </c>
      <c r="L248" s="34" t="s">
        <v>48</v>
      </c>
      <c r="M248" s="33" t="n">
        <f>2014</f>
        <v>2014.0</v>
      </c>
      <c r="N248" s="34" t="s">
        <v>82</v>
      </c>
      <c r="O248" s="33" t="n">
        <f>1871</f>
        <v>1871.0</v>
      </c>
      <c r="P248" s="34" t="s">
        <v>50</v>
      </c>
      <c r="Q248" s="33" t="n">
        <f>1984</f>
        <v>1984.0</v>
      </c>
      <c r="R248" s="34" t="s">
        <v>51</v>
      </c>
      <c r="S248" s="35" t="n">
        <f>1950.15</f>
        <v>1950.15</v>
      </c>
      <c r="T248" s="32" t="n">
        <f>100550</f>
        <v>100550.0</v>
      </c>
      <c r="U248" s="32" t="str">
        <f>"－"</f>
        <v>－</v>
      </c>
      <c r="V248" s="32" t="n">
        <f>198125140</f>
        <v>1.9812514E8</v>
      </c>
      <c r="W248" s="32" t="str">
        <f>"－"</f>
        <v>－</v>
      </c>
      <c r="X248" s="36" t="n">
        <f>20</f>
        <v>20.0</v>
      </c>
    </row>
    <row r="249">
      <c r="A249" s="27" t="s">
        <v>42</v>
      </c>
      <c r="B249" s="27" t="s">
        <v>796</v>
      </c>
      <c r="C249" s="27" t="s">
        <v>797</v>
      </c>
      <c r="D249" s="27" t="s">
        <v>798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11690</f>
        <v>11690.0</v>
      </c>
      <c r="L249" s="34" t="s">
        <v>48</v>
      </c>
      <c r="M249" s="33" t="n">
        <f>12590</f>
        <v>12590.0</v>
      </c>
      <c r="N249" s="34" t="s">
        <v>51</v>
      </c>
      <c r="O249" s="33" t="n">
        <f>11530</f>
        <v>11530.0</v>
      </c>
      <c r="P249" s="34" t="s">
        <v>50</v>
      </c>
      <c r="Q249" s="33" t="n">
        <f>12570</f>
        <v>12570.0</v>
      </c>
      <c r="R249" s="34" t="s">
        <v>51</v>
      </c>
      <c r="S249" s="35" t="n">
        <f>12153.48</f>
        <v>12153.48</v>
      </c>
      <c r="T249" s="32" t="n">
        <f>274958</f>
        <v>274958.0</v>
      </c>
      <c r="U249" s="32" t="n">
        <f>5</f>
        <v>5.0</v>
      </c>
      <c r="V249" s="32" t="n">
        <f>3326683850</f>
        <v>3.32668385E9</v>
      </c>
      <c r="W249" s="32" t="n">
        <f>61150</f>
        <v>61150.0</v>
      </c>
      <c r="X249" s="36" t="n">
        <f>23</f>
        <v>23.0</v>
      </c>
    </row>
    <row r="250">
      <c r="A250" s="27" t="s">
        <v>42</v>
      </c>
      <c r="B250" s="27" t="s">
        <v>799</v>
      </c>
      <c r="C250" s="27" t="s">
        <v>800</v>
      </c>
      <c r="D250" s="27" t="s">
        <v>801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11640</f>
        <v>11640.0</v>
      </c>
      <c r="L250" s="34" t="s">
        <v>48</v>
      </c>
      <c r="M250" s="33" t="n">
        <f>12280</f>
        <v>12280.0</v>
      </c>
      <c r="N250" s="34" t="s">
        <v>97</v>
      </c>
      <c r="O250" s="33" t="n">
        <f>11510</f>
        <v>11510.0</v>
      </c>
      <c r="P250" s="34" t="s">
        <v>50</v>
      </c>
      <c r="Q250" s="33" t="n">
        <f>12250</f>
        <v>12250.0</v>
      </c>
      <c r="R250" s="34" t="s">
        <v>51</v>
      </c>
      <c r="S250" s="35" t="n">
        <f>11991.3</f>
        <v>11991.3</v>
      </c>
      <c r="T250" s="32" t="n">
        <f>170532</f>
        <v>170532.0</v>
      </c>
      <c r="U250" s="32" t="n">
        <f>50201</f>
        <v>50201.0</v>
      </c>
      <c r="V250" s="32" t="n">
        <f>2044873990</f>
        <v>2.04487399E9</v>
      </c>
      <c r="W250" s="32" t="n">
        <f>599661310</f>
        <v>5.9966131E8</v>
      </c>
      <c r="X250" s="36" t="n">
        <f>23</f>
        <v>23.0</v>
      </c>
    </row>
    <row r="251">
      <c r="A251" s="27" t="s">
        <v>42</v>
      </c>
      <c r="B251" s="27" t="s">
        <v>802</v>
      </c>
      <c r="C251" s="27" t="s">
        <v>803</v>
      </c>
      <c r="D251" s="27" t="s">
        <v>804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25450</f>
        <v>25450.0</v>
      </c>
      <c r="L251" s="34" t="s">
        <v>48</v>
      </c>
      <c r="M251" s="33" t="n">
        <f>26990</f>
        <v>26990.0</v>
      </c>
      <c r="N251" s="34" t="s">
        <v>49</v>
      </c>
      <c r="O251" s="33" t="n">
        <f>24720</f>
        <v>24720.0</v>
      </c>
      <c r="P251" s="34" t="s">
        <v>50</v>
      </c>
      <c r="Q251" s="33" t="n">
        <f>26240</f>
        <v>26240.0</v>
      </c>
      <c r="R251" s="34" t="s">
        <v>51</v>
      </c>
      <c r="S251" s="35" t="n">
        <f>25835.22</f>
        <v>25835.22</v>
      </c>
      <c r="T251" s="32" t="n">
        <f>992</f>
        <v>992.0</v>
      </c>
      <c r="U251" s="32" t="str">
        <f>"－"</f>
        <v>－</v>
      </c>
      <c r="V251" s="32" t="n">
        <f>25744790</f>
        <v>2.574479E7</v>
      </c>
      <c r="W251" s="32" t="str">
        <f>"－"</f>
        <v>－</v>
      </c>
      <c r="X251" s="36" t="n">
        <f>23</f>
        <v>23.0</v>
      </c>
    </row>
    <row r="252">
      <c r="A252" s="27" t="s">
        <v>42</v>
      </c>
      <c r="B252" s="27" t="s">
        <v>805</v>
      </c>
      <c r="C252" s="27" t="s">
        <v>806</v>
      </c>
      <c r="D252" s="27" t="s">
        <v>807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2693</f>
        <v>2693.0</v>
      </c>
      <c r="L252" s="34" t="s">
        <v>48</v>
      </c>
      <c r="M252" s="33" t="n">
        <f>2727</f>
        <v>2727.0</v>
      </c>
      <c r="N252" s="34" t="s">
        <v>191</v>
      </c>
      <c r="O252" s="33" t="n">
        <f>2688</f>
        <v>2688.0</v>
      </c>
      <c r="P252" s="34" t="s">
        <v>48</v>
      </c>
      <c r="Q252" s="33" t="n">
        <f>2711</f>
        <v>2711.0</v>
      </c>
      <c r="R252" s="34" t="s">
        <v>51</v>
      </c>
      <c r="S252" s="35" t="n">
        <f>2708.91</f>
        <v>2708.91</v>
      </c>
      <c r="T252" s="32" t="n">
        <f>1113987</f>
        <v>1113987.0</v>
      </c>
      <c r="U252" s="32" t="n">
        <f>644117</f>
        <v>644117.0</v>
      </c>
      <c r="V252" s="32" t="n">
        <f>3014585394</f>
        <v>3.014585394E9</v>
      </c>
      <c r="W252" s="32" t="n">
        <f>1741679754</f>
        <v>1.741679754E9</v>
      </c>
      <c r="X252" s="36" t="n">
        <f>23</f>
        <v>23.0</v>
      </c>
    </row>
    <row r="253">
      <c r="A253" s="27" t="s">
        <v>42</v>
      </c>
      <c r="B253" s="27" t="s">
        <v>808</v>
      </c>
      <c r="C253" s="27" t="s">
        <v>809</v>
      </c>
      <c r="D253" s="27" t="s">
        <v>810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10.0</v>
      </c>
      <c r="K253" s="33" t="n">
        <f>2686</f>
        <v>2686.0</v>
      </c>
      <c r="L253" s="34" t="s">
        <v>48</v>
      </c>
      <c r="M253" s="33" t="n">
        <f>2875</f>
        <v>2875.0</v>
      </c>
      <c r="N253" s="34" t="s">
        <v>70</v>
      </c>
      <c r="O253" s="33" t="n">
        <f>2649</f>
        <v>2649.0</v>
      </c>
      <c r="P253" s="34" t="s">
        <v>50</v>
      </c>
      <c r="Q253" s="33" t="n">
        <f>2861</f>
        <v>2861.0</v>
      </c>
      <c r="R253" s="34" t="s">
        <v>51</v>
      </c>
      <c r="S253" s="35" t="n">
        <f>2793</f>
        <v>2793.0</v>
      </c>
      <c r="T253" s="32" t="n">
        <f>3424610</f>
        <v>3424610.0</v>
      </c>
      <c r="U253" s="32" t="n">
        <f>1235200</f>
        <v>1235200.0</v>
      </c>
      <c r="V253" s="32" t="n">
        <f>9537953955</f>
        <v>9.537953955E9</v>
      </c>
      <c r="W253" s="32" t="n">
        <f>3402244165</f>
        <v>3.402244165E9</v>
      </c>
      <c r="X253" s="36" t="n">
        <f>23</f>
        <v>23.0</v>
      </c>
    </row>
    <row r="254">
      <c r="A254" s="27" t="s">
        <v>42</v>
      </c>
      <c r="B254" s="27" t="s">
        <v>811</v>
      </c>
      <c r="C254" s="27" t="s">
        <v>812</v>
      </c>
      <c r="D254" s="27" t="s">
        <v>813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2485</f>
        <v>2485.0</v>
      </c>
      <c r="L254" s="34" t="s">
        <v>48</v>
      </c>
      <c r="M254" s="33" t="n">
        <f>2590</f>
        <v>2590.0</v>
      </c>
      <c r="N254" s="34" t="s">
        <v>82</v>
      </c>
      <c r="O254" s="33" t="n">
        <f>2421</f>
        <v>2421.0</v>
      </c>
      <c r="P254" s="34" t="s">
        <v>50</v>
      </c>
      <c r="Q254" s="33" t="n">
        <f>2568</f>
        <v>2568.0</v>
      </c>
      <c r="R254" s="34" t="s">
        <v>51</v>
      </c>
      <c r="S254" s="35" t="n">
        <f>2532.26</f>
        <v>2532.26</v>
      </c>
      <c r="T254" s="32" t="n">
        <f>2795928</f>
        <v>2795928.0</v>
      </c>
      <c r="U254" s="32" t="n">
        <f>29000</f>
        <v>29000.0</v>
      </c>
      <c r="V254" s="32" t="n">
        <f>7114429456</f>
        <v>7.114429456E9</v>
      </c>
      <c r="W254" s="32" t="n">
        <f>70298900</f>
        <v>7.02989E7</v>
      </c>
      <c r="X254" s="36" t="n">
        <f>23</f>
        <v>23.0</v>
      </c>
    </row>
    <row r="255">
      <c r="A255" s="27" t="s">
        <v>42</v>
      </c>
      <c r="B255" s="27" t="s">
        <v>814</v>
      </c>
      <c r="C255" s="27" t="s">
        <v>815</v>
      </c>
      <c r="D255" s="27" t="s">
        <v>816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1816</f>
        <v>1816.0</v>
      </c>
      <c r="L255" s="34" t="s">
        <v>48</v>
      </c>
      <c r="M255" s="33" t="n">
        <f>2024</f>
        <v>2024.0</v>
      </c>
      <c r="N255" s="34" t="s">
        <v>66</v>
      </c>
      <c r="O255" s="33" t="n">
        <f>1810</f>
        <v>1810.0</v>
      </c>
      <c r="P255" s="34" t="s">
        <v>179</v>
      </c>
      <c r="Q255" s="33" t="n">
        <f>1955</f>
        <v>1955.0</v>
      </c>
      <c r="R255" s="34" t="s">
        <v>51</v>
      </c>
      <c r="S255" s="35" t="n">
        <f>1925.91</f>
        <v>1925.91</v>
      </c>
      <c r="T255" s="32" t="n">
        <f>48675</f>
        <v>48675.0</v>
      </c>
      <c r="U255" s="32" t="str">
        <f>"－"</f>
        <v>－</v>
      </c>
      <c r="V255" s="32" t="n">
        <f>95007803</f>
        <v>9.5007803E7</v>
      </c>
      <c r="W255" s="32" t="str">
        <f>"－"</f>
        <v>－</v>
      </c>
      <c r="X255" s="36" t="n">
        <f>23</f>
        <v>23.0</v>
      </c>
    </row>
    <row r="256">
      <c r="A256" s="27" t="s">
        <v>42</v>
      </c>
      <c r="B256" s="27" t="s">
        <v>817</v>
      </c>
      <c r="C256" s="27" t="s">
        <v>818</v>
      </c>
      <c r="D256" s="27" t="s">
        <v>819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1078</f>
        <v>1078.0</v>
      </c>
      <c r="L256" s="34" t="s">
        <v>48</v>
      </c>
      <c r="M256" s="33" t="n">
        <f>1141</f>
        <v>1141.0</v>
      </c>
      <c r="N256" s="34" t="s">
        <v>51</v>
      </c>
      <c r="O256" s="33" t="n">
        <f>990</f>
        <v>990.0</v>
      </c>
      <c r="P256" s="34" t="s">
        <v>75</v>
      </c>
      <c r="Q256" s="33" t="n">
        <f>1122</f>
        <v>1122.0</v>
      </c>
      <c r="R256" s="34" t="s">
        <v>51</v>
      </c>
      <c r="S256" s="35" t="n">
        <f>1063.78</f>
        <v>1063.78</v>
      </c>
      <c r="T256" s="32" t="n">
        <f>443083</f>
        <v>443083.0</v>
      </c>
      <c r="U256" s="32" t="n">
        <f>50000</f>
        <v>50000.0</v>
      </c>
      <c r="V256" s="32" t="n">
        <f>464959400</f>
        <v>4.649594E8</v>
      </c>
      <c r="W256" s="32" t="n">
        <f>51645000</f>
        <v>5.1645E7</v>
      </c>
      <c r="X256" s="36" t="n">
        <f>23</f>
        <v>23.0</v>
      </c>
    </row>
    <row r="257">
      <c r="A257" s="27" t="s">
        <v>42</v>
      </c>
      <c r="B257" s="27" t="s">
        <v>820</v>
      </c>
      <c r="C257" s="27" t="s">
        <v>821</v>
      </c>
      <c r="D257" s="27" t="s">
        <v>822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10.0</v>
      </c>
      <c r="K257" s="33" t="n">
        <f>1100</f>
        <v>1100.0</v>
      </c>
      <c r="L257" s="34" t="s">
        <v>48</v>
      </c>
      <c r="M257" s="33" t="n">
        <f>1201</f>
        <v>1201.0</v>
      </c>
      <c r="N257" s="34" t="s">
        <v>66</v>
      </c>
      <c r="O257" s="33" t="n">
        <f>1056</f>
        <v>1056.0</v>
      </c>
      <c r="P257" s="34" t="s">
        <v>75</v>
      </c>
      <c r="Q257" s="33" t="n">
        <f>1143</f>
        <v>1143.0</v>
      </c>
      <c r="R257" s="34" t="s">
        <v>51</v>
      </c>
      <c r="S257" s="35" t="n">
        <f>1105.43</f>
        <v>1105.43</v>
      </c>
      <c r="T257" s="32" t="n">
        <f>118990</f>
        <v>118990.0</v>
      </c>
      <c r="U257" s="32" t="str">
        <f>"－"</f>
        <v>－</v>
      </c>
      <c r="V257" s="32" t="n">
        <f>131689750</f>
        <v>1.3168975E8</v>
      </c>
      <c r="W257" s="32" t="str">
        <f>"－"</f>
        <v>－</v>
      </c>
      <c r="X257" s="36" t="n">
        <f>23</f>
        <v>23.0</v>
      </c>
    </row>
    <row r="258">
      <c r="A258" s="27" t="s">
        <v>42</v>
      </c>
      <c r="B258" s="27" t="s">
        <v>823</v>
      </c>
      <c r="C258" s="27" t="s">
        <v>824</v>
      </c>
      <c r="D258" s="27" t="s">
        <v>825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248</f>
        <v>248.0</v>
      </c>
      <c r="L258" s="34" t="s">
        <v>48</v>
      </c>
      <c r="M258" s="33" t="n">
        <f>267</f>
        <v>267.0</v>
      </c>
      <c r="N258" s="34" t="s">
        <v>66</v>
      </c>
      <c r="O258" s="33" t="n">
        <f>243</f>
        <v>243.0</v>
      </c>
      <c r="P258" s="34" t="s">
        <v>50</v>
      </c>
      <c r="Q258" s="33" t="n">
        <f>264</f>
        <v>264.0</v>
      </c>
      <c r="R258" s="34" t="s">
        <v>51</v>
      </c>
      <c r="S258" s="35" t="n">
        <f>256.48</f>
        <v>256.48</v>
      </c>
      <c r="T258" s="32" t="n">
        <f>94040</f>
        <v>94040.0</v>
      </c>
      <c r="U258" s="32" t="n">
        <f>20</f>
        <v>20.0</v>
      </c>
      <c r="V258" s="32" t="n">
        <f>23956650</f>
        <v>2.395665E7</v>
      </c>
      <c r="W258" s="32" t="n">
        <f>5230</f>
        <v>5230.0</v>
      </c>
      <c r="X258" s="36" t="n">
        <f>23</f>
        <v>23.0</v>
      </c>
    </row>
    <row r="259">
      <c r="A259" s="27" t="s">
        <v>42</v>
      </c>
      <c r="B259" s="27" t="s">
        <v>826</v>
      </c>
      <c r="C259" s="27" t="s">
        <v>827</v>
      </c>
      <c r="D259" s="27" t="s">
        <v>828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10.0</v>
      </c>
      <c r="K259" s="33" t="n">
        <f>2387</f>
        <v>2387.0</v>
      </c>
      <c r="L259" s="34" t="s">
        <v>48</v>
      </c>
      <c r="M259" s="33" t="n">
        <f>2493</f>
        <v>2493.0</v>
      </c>
      <c r="N259" s="34" t="s">
        <v>82</v>
      </c>
      <c r="O259" s="33" t="n">
        <f>2288</f>
        <v>2288.0</v>
      </c>
      <c r="P259" s="34" t="s">
        <v>50</v>
      </c>
      <c r="Q259" s="33" t="n">
        <f>2461</f>
        <v>2461.0</v>
      </c>
      <c r="R259" s="34" t="s">
        <v>51</v>
      </c>
      <c r="S259" s="35" t="n">
        <f>2413.43</f>
        <v>2413.43</v>
      </c>
      <c r="T259" s="32" t="n">
        <f>2361560</f>
        <v>2361560.0</v>
      </c>
      <c r="U259" s="32" t="n">
        <f>20</f>
        <v>20.0</v>
      </c>
      <c r="V259" s="32" t="n">
        <f>5690481180</f>
        <v>5.69048118E9</v>
      </c>
      <c r="W259" s="32" t="n">
        <f>46640</f>
        <v>46640.0</v>
      </c>
      <c r="X259" s="36" t="n">
        <f>23</f>
        <v>23.0</v>
      </c>
    </row>
    <row r="260">
      <c r="A260" s="27" t="s">
        <v>42</v>
      </c>
      <c r="B260" s="27" t="s">
        <v>829</v>
      </c>
      <c r="C260" s="27" t="s">
        <v>830</v>
      </c>
      <c r="D260" s="27" t="s">
        <v>831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10.0</v>
      </c>
      <c r="K260" s="33" t="n">
        <f>2343</f>
        <v>2343.0</v>
      </c>
      <c r="L260" s="34" t="s">
        <v>48</v>
      </c>
      <c r="M260" s="33" t="n">
        <f>2399</f>
        <v>2399.0</v>
      </c>
      <c r="N260" s="34" t="s">
        <v>179</v>
      </c>
      <c r="O260" s="33" t="n">
        <f>2215</f>
        <v>2215.0</v>
      </c>
      <c r="P260" s="34" t="s">
        <v>50</v>
      </c>
      <c r="Q260" s="33" t="n">
        <f>2318</f>
        <v>2318.0</v>
      </c>
      <c r="R260" s="34" t="s">
        <v>51</v>
      </c>
      <c r="S260" s="35" t="n">
        <f>2321.35</f>
        <v>2321.35</v>
      </c>
      <c r="T260" s="32" t="n">
        <f>8575450</f>
        <v>8575450.0</v>
      </c>
      <c r="U260" s="32" t="n">
        <f>1003700</f>
        <v>1003700.0</v>
      </c>
      <c r="V260" s="32" t="n">
        <f>19814200437</f>
        <v>1.9814200437E10</v>
      </c>
      <c r="W260" s="32" t="n">
        <f>2310732527</f>
        <v>2.310732527E9</v>
      </c>
      <c r="X260" s="36" t="n">
        <f>23</f>
        <v>23.0</v>
      </c>
    </row>
    <row r="261">
      <c r="A261" s="27" t="s">
        <v>42</v>
      </c>
      <c r="B261" s="27" t="s">
        <v>832</v>
      </c>
      <c r="C261" s="27" t="s">
        <v>833</v>
      </c>
      <c r="D261" s="27" t="s">
        <v>834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2541</f>
        <v>2541.0</v>
      </c>
      <c r="L261" s="34" t="s">
        <v>48</v>
      </c>
      <c r="M261" s="33" t="n">
        <f>2629</f>
        <v>2629.0</v>
      </c>
      <c r="N261" s="34" t="s">
        <v>51</v>
      </c>
      <c r="O261" s="33" t="n">
        <f>2522</f>
        <v>2522.0</v>
      </c>
      <c r="P261" s="34" t="s">
        <v>48</v>
      </c>
      <c r="Q261" s="33" t="n">
        <f>2629</f>
        <v>2629.0</v>
      </c>
      <c r="R261" s="34" t="s">
        <v>51</v>
      </c>
      <c r="S261" s="35" t="n">
        <f>2575.48</f>
        <v>2575.48</v>
      </c>
      <c r="T261" s="32" t="n">
        <f>12010</f>
        <v>12010.0</v>
      </c>
      <c r="U261" s="32" t="str">
        <f>"－"</f>
        <v>－</v>
      </c>
      <c r="V261" s="32" t="n">
        <f>30947814</f>
        <v>3.0947814E7</v>
      </c>
      <c r="W261" s="32" t="str">
        <f>"－"</f>
        <v>－</v>
      </c>
      <c r="X261" s="36" t="n">
        <f>23</f>
        <v>23.0</v>
      </c>
    </row>
    <row r="262">
      <c r="A262" s="27" t="s">
        <v>42</v>
      </c>
      <c r="B262" s="27" t="s">
        <v>835</v>
      </c>
      <c r="C262" s="27" t="s">
        <v>836</v>
      </c>
      <c r="D262" s="27" t="s">
        <v>837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2195</f>
        <v>2195.0</v>
      </c>
      <c r="L262" s="34" t="s">
        <v>48</v>
      </c>
      <c r="M262" s="33" t="n">
        <f>2197</f>
        <v>2197.0</v>
      </c>
      <c r="N262" s="34" t="s">
        <v>48</v>
      </c>
      <c r="O262" s="33" t="n">
        <f>2055</f>
        <v>2055.0</v>
      </c>
      <c r="P262" s="34" t="s">
        <v>49</v>
      </c>
      <c r="Q262" s="33" t="n">
        <f>2094</f>
        <v>2094.0</v>
      </c>
      <c r="R262" s="34" t="s">
        <v>51</v>
      </c>
      <c r="S262" s="35" t="n">
        <f>2125.7</f>
        <v>2125.7</v>
      </c>
      <c r="T262" s="32" t="n">
        <f>471131</f>
        <v>471131.0</v>
      </c>
      <c r="U262" s="32" t="n">
        <f>9</f>
        <v>9.0</v>
      </c>
      <c r="V262" s="32" t="n">
        <f>1000216332</f>
        <v>1.000216332E9</v>
      </c>
      <c r="W262" s="32" t="n">
        <f>18996</f>
        <v>18996.0</v>
      </c>
      <c r="X262" s="36" t="n">
        <f>23</f>
        <v>23.0</v>
      </c>
    </row>
    <row r="263">
      <c r="A263" s="27" t="s">
        <v>42</v>
      </c>
      <c r="B263" s="27" t="s">
        <v>838</v>
      </c>
      <c r="C263" s="27" t="s">
        <v>839</v>
      </c>
      <c r="D263" s="27" t="s">
        <v>840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2526</f>
        <v>2526.0</v>
      </c>
      <c r="L263" s="34" t="s">
        <v>48</v>
      </c>
      <c r="M263" s="33" t="n">
        <f>2537</f>
        <v>2537.0</v>
      </c>
      <c r="N263" s="34" t="s">
        <v>179</v>
      </c>
      <c r="O263" s="33" t="n">
        <f>2404</f>
        <v>2404.0</v>
      </c>
      <c r="P263" s="34" t="s">
        <v>75</v>
      </c>
      <c r="Q263" s="33" t="n">
        <f>2470</f>
        <v>2470.0</v>
      </c>
      <c r="R263" s="34" t="s">
        <v>51</v>
      </c>
      <c r="S263" s="35" t="n">
        <f>2473.3</f>
        <v>2473.3</v>
      </c>
      <c r="T263" s="32" t="n">
        <f>114583</f>
        <v>114583.0</v>
      </c>
      <c r="U263" s="32" t="n">
        <f>105970</f>
        <v>105970.0</v>
      </c>
      <c r="V263" s="32" t="n">
        <f>281358891</f>
        <v>2.81358891E8</v>
      </c>
      <c r="W263" s="32" t="n">
        <f>260187081</f>
        <v>2.60187081E8</v>
      </c>
      <c r="X263" s="36" t="n">
        <f>23</f>
        <v>23.0</v>
      </c>
    </row>
    <row r="264">
      <c r="A264" s="27" t="s">
        <v>42</v>
      </c>
      <c r="B264" s="27" t="s">
        <v>841</v>
      </c>
      <c r="C264" s="27" t="s">
        <v>842</v>
      </c>
      <c r="D264" s="27" t="s">
        <v>843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2492</f>
        <v>2492.0</v>
      </c>
      <c r="L264" s="34" t="s">
        <v>48</v>
      </c>
      <c r="M264" s="33" t="n">
        <f>2561</f>
        <v>2561.0</v>
      </c>
      <c r="N264" s="34" t="s">
        <v>49</v>
      </c>
      <c r="O264" s="33" t="n">
        <f>2492</f>
        <v>2492.0</v>
      </c>
      <c r="P264" s="34" t="s">
        <v>48</v>
      </c>
      <c r="Q264" s="33" t="n">
        <f>2512</f>
        <v>2512.0</v>
      </c>
      <c r="R264" s="34" t="s">
        <v>51</v>
      </c>
      <c r="S264" s="35" t="n">
        <f>2517.9</f>
        <v>2517.9</v>
      </c>
      <c r="T264" s="32" t="n">
        <f>3045</f>
        <v>3045.0</v>
      </c>
      <c r="U264" s="32" t="str">
        <f>"－"</f>
        <v>－</v>
      </c>
      <c r="V264" s="32" t="n">
        <f>7646161</f>
        <v>7646161.0</v>
      </c>
      <c r="W264" s="32" t="str">
        <f>"－"</f>
        <v>－</v>
      </c>
      <c r="X264" s="36" t="n">
        <f>21</f>
        <v>21.0</v>
      </c>
    </row>
    <row r="265">
      <c r="A265" s="27" t="s">
        <v>42</v>
      </c>
      <c r="B265" s="27" t="s">
        <v>844</v>
      </c>
      <c r="C265" s="27" t="s">
        <v>845</v>
      </c>
      <c r="D265" s="27" t="s">
        <v>846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2960</f>
        <v>2960.0</v>
      </c>
      <c r="L265" s="34" t="s">
        <v>48</v>
      </c>
      <c r="M265" s="33" t="n">
        <f>3050</f>
        <v>3050.0</v>
      </c>
      <c r="N265" s="34" t="s">
        <v>82</v>
      </c>
      <c r="O265" s="33" t="n">
        <f>2837</f>
        <v>2837.0</v>
      </c>
      <c r="P265" s="34" t="s">
        <v>50</v>
      </c>
      <c r="Q265" s="33" t="n">
        <f>2950</f>
        <v>2950.0</v>
      </c>
      <c r="R265" s="34" t="s">
        <v>51</v>
      </c>
      <c r="S265" s="35" t="n">
        <f>2936.3</f>
        <v>2936.3</v>
      </c>
      <c r="T265" s="32" t="n">
        <f>56652</f>
        <v>56652.0</v>
      </c>
      <c r="U265" s="32" t="str">
        <f>"－"</f>
        <v>－</v>
      </c>
      <c r="V265" s="32" t="n">
        <f>167217408</f>
        <v>1.67217408E8</v>
      </c>
      <c r="W265" s="32" t="str">
        <f>"－"</f>
        <v>－</v>
      </c>
      <c r="X265" s="36" t="n">
        <f>23</f>
        <v>23.0</v>
      </c>
    </row>
    <row r="266">
      <c r="A266" s="27" t="s">
        <v>42</v>
      </c>
      <c r="B266" s="27" t="s">
        <v>847</v>
      </c>
      <c r="C266" s="27" t="s">
        <v>848</v>
      </c>
      <c r="D266" s="27" t="s">
        <v>849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1896</f>
        <v>1896.0</v>
      </c>
      <c r="L266" s="34" t="s">
        <v>48</v>
      </c>
      <c r="M266" s="33" t="n">
        <f>2016</f>
        <v>2016.0</v>
      </c>
      <c r="N266" s="34" t="s">
        <v>49</v>
      </c>
      <c r="O266" s="33" t="n">
        <f>1863</f>
        <v>1863.0</v>
      </c>
      <c r="P266" s="34" t="s">
        <v>50</v>
      </c>
      <c r="Q266" s="33" t="n">
        <f>1975</f>
        <v>1975.0</v>
      </c>
      <c r="R266" s="34" t="s">
        <v>51</v>
      </c>
      <c r="S266" s="35" t="n">
        <f>1950.35</f>
        <v>1950.35</v>
      </c>
      <c r="T266" s="32" t="n">
        <f>57828</f>
        <v>57828.0</v>
      </c>
      <c r="U266" s="32" t="str">
        <f>"－"</f>
        <v>－</v>
      </c>
      <c r="V266" s="32" t="n">
        <f>112100404</f>
        <v>1.12100404E8</v>
      </c>
      <c r="W266" s="32" t="str">
        <f>"－"</f>
        <v>－</v>
      </c>
      <c r="X266" s="36" t="n">
        <f>23</f>
        <v>23.0</v>
      </c>
    </row>
    <row r="267">
      <c r="A267" s="27" t="s">
        <v>42</v>
      </c>
      <c r="B267" s="27" t="s">
        <v>850</v>
      </c>
      <c r="C267" s="27" t="s">
        <v>851</v>
      </c>
      <c r="D267" s="27" t="s">
        <v>852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2100</f>
        <v>2100.0</v>
      </c>
      <c r="L267" s="34" t="s">
        <v>48</v>
      </c>
      <c r="M267" s="33" t="n">
        <f>2180</f>
        <v>2180.0</v>
      </c>
      <c r="N267" s="34" t="s">
        <v>82</v>
      </c>
      <c r="O267" s="33" t="n">
        <f>1985</f>
        <v>1985.0</v>
      </c>
      <c r="P267" s="34" t="s">
        <v>75</v>
      </c>
      <c r="Q267" s="33" t="n">
        <f>2110</f>
        <v>2110.0</v>
      </c>
      <c r="R267" s="34" t="s">
        <v>51</v>
      </c>
      <c r="S267" s="35" t="n">
        <f>2092</f>
        <v>2092.0</v>
      </c>
      <c r="T267" s="32" t="n">
        <f>458375</f>
        <v>458375.0</v>
      </c>
      <c r="U267" s="32" t="n">
        <f>5</f>
        <v>5.0</v>
      </c>
      <c r="V267" s="32" t="n">
        <f>961141892</f>
        <v>9.61141892E8</v>
      </c>
      <c r="W267" s="32" t="n">
        <f>10598</f>
        <v>10598.0</v>
      </c>
      <c r="X267" s="36" t="n">
        <f>23</f>
        <v>23.0</v>
      </c>
    </row>
    <row r="268">
      <c r="A268" s="27" t="s">
        <v>42</v>
      </c>
      <c r="B268" s="27" t="s">
        <v>853</v>
      </c>
      <c r="C268" s="27" t="s">
        <v>854</v>
      </c>
      <c r="D268" s="27" t="s">
        <v>855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2213</f>
        <v>2213.0</v>
      </c>
      <c r="L268" s="34" t="s">
        <v>48</v>
      </c>
      <c r="M268" s="33" t="n">
        <f>2264</f>
        <v>2264.0</v>
      </c>
      <c r="N268" s="34" t="s">
        <v>82</v>
      </c>
      <c r="O268" s="33" t="n">
        <f>2020</f>
        <v>2020.0</v>
      </c>
      <c r="P268" s="34" t="s">
        <v>366</v>
      </c>
      <c r="Q268" s="33" t="n">
        <f>2179</f>
        <v>2179.0</v>
      </c>
      <c r="R268" s="34" t="s">
        <v>51</v>
      </c>
      <c r="S268" s="35" t="n">
        <f>2153.35</f>
        <v>2153.35</v>
      </c>
      <c r="T268" s="32" t="n">
        <f>304765</f>
        <v>304765.0</v>
      </c>
      <c r="U268" s="32" t="n">
        <f>5</f>
        <v>5.0</v>
      </c>
      <c r="V268" s="32" t="n">
        <f>658031152</f>
        <v>6.58031152E8</v>
      </c>
      <c r="W268" s="32" t="n">
        <f>11004</f>
        <v>11004.0</v>
      </c>
      <c r="X268" s="36" t="n">
        <f>23</f>
        <v>23.0</v>
      </c>
    </row>
    <row r="269">
      <c r="A269" s="27" t="s">
        <v>42</v>
      </c>
      <c r="B269" s="27" t="s">
        <v>856</v>
      </c>
      <c r="C269" s="27" t="s">
        <v>857</v>
      </c>
      <c r="D269" s="27" t="s">
        <v>858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9920</f>
        <v>9920.0</v>
      </c>
      <c r="L269" s="34" t="s">
        <v>48</v>
      </c>
      <c r="M269" s="33" t="n">
        <f>10310</f>
        <v>10310.0</v>
      </c>
      <c r="N269" s="34" t="s">
        <v>82</v>
      </c>
      <c r="O269" s="33" t="n">
        <f>9640</f>
        <v>9640.0</v>
      </c>
      <c r="P269" s="34" t="s">
        <v>50</v>
      </c>
      <c r="Q269" s="33" t="n">
        <f>10220</f>
        <v>10220.0</v>
      </c>
      <c r="R269" s="34" t="s">
        <v>51</v>
      </c>
      <c r="S269" s="35" t="n">
        <f>10083.91</f>
        <v>10083.91</v>
      </c>
      <c r="T269" s="32" t="n">
        <f>8802</f>
        <v>8802.0</v>
      </c>
      <c r="U269" s="32" t="str">
        <f>"－"</f>
        <v>－</v>
      </c>
      <c r="V269" s="32" t="n">
        <f>89015470</f>
        <v>8.901547E7</v>
      </c>
      <c r="W269" s="32" t="str">
        <f>"－"</f>
        <v>－</v>
      </c>
      <c r="X269" s="36" t="n">
        <f>23</f>
        <v>23.0</v>
      </c>
    </row>
    <row r="270">
      <c r="A270" s="27" t="s">
        <v>42</v>
      </c>
      <c r="B270" s="27" t="s">
        <v>859</v>
      </c>
      <c r="C270" s="27" t="s">
        <v>860</v>
      </c>
      <c r="D270" s="27" t="s">
        <v>861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9990</f>
        <v>9990.0</v>
      </c>
      <c r="L270" s="34" t="s">
        <v>48</v>
      </c>
      <c r="M270" s="33" t="n">
        <f>10410</f>
        <v>10410.0</v>
      </c>
      <c r="N270" s="34" t="s">
        <v>82</v>
      </c>
      <c r="O270" s="33" t="n">
        <f>9550</f>
        <v>9550.0</v>
      </c>
      <c r="P270" s="34" t="s">
        <v>50</v>
      </c>
      <c r="Q270" s="33" t="n">
        <f>10280</f>
        <v>10280.0</v>
      </c>
      <c r="R270" s="34" t="s">
        <v>51</v>
      </c>
      <c r="S270" s="35" t="n">
        <f>10087.83</f>
        <v>10087.83</v>
      </c>
      <c r="T270" s="32" t="n">
        <f>263222</f>
        <v>263222.0</v>
      </c>
      <c r="U270" s="32" t="str">
        <f>"－"</f>
        <v>－</v>
      </c>
      <c r="V270" s="32" t="n">
        <f>2647707190</f>
        <v>2.64770719E9</v>
      </c>
      <c r="W270" s="32" t="str">
        <f>"－"</f>
        <v>－</v>
      </c>
      <c r="X270" s="36" t="n">
        <f>23</f>
        <v>23.0</v>
      </c>
    </row>
    <row r="271">
      <c r="A271" s="27" t="s">
        <v>42</v>
      </c>
      <c r="B271" s="27" t="s">
        <v>862</v>
      </c>
      <c r="C271" s="27" t="s">
        <v>863</v>
      </c>
      <c r="D271" s="27" t="s">
        <v>864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9890</f>
        <v>9890.0</v>
      </c>
      <c r="L271" s="34" t="s">
        <v>48</v>
      </c>
      <c r="M271" s="33" t="n">
        <f>10120</f>
        <v>10120.0</v>
      </c>
      <c r="N271" s="34" t="s">
        <v>179</v>
      </c>
      <c r="O271" s="33" t="n">
        <f>9340</f>
        <v>9340.0</v>
      </c>
      <c r="P271" s="34" t="s">
        <v>50</v>
      </c>
      <c r="Q271" s="33" t="n">
        <f>9760</f>
        <v>9760.0</v>
      </c>
      <c r="R271" s="34" t="s">
        <v>51</v>
      </c>
      <c r="S271" s="35" t="n">
        <f>9780.87</f>
        <v>9780.87</v>
      </c>
      <c r="T271" s="32" t="n">
        <f>86450</f>
        <v>86450.0</v>
      </c>
      <c r="U271" s="32" t="str">
        <f>"－"</f>
        <v>－</v>
      </c>
      <c r="V271" s="32" t="n">
        <f>838669070</f>
        <v>8.3866907E8</v>
      </c>
      <c r="W271" s="32" t="str">
        <f>"－"</f>
        <v>－</v>
      </c>
      <c r="X271" s="36" t="n">
        <f>23</f>
        <v>23.0</v>
      </c>
    </row>
    <row r="272">
      <c r="A272" s="27" t="s">
        <v>42</v>
      </c>
      <c r="B272" s="27" t="s">
        <v>865</v>
      </c>
      <c r="C272" s="27" t="s">
        <v>866</v>
      </c>
      <c r="D272" s="27" t="s">
        <v>867</v>
      </c>
      <c r="E272" s="28" t="s">
        <v>868</v>
      </c>
      <c r="F272" s="29" t="s">
        <v>869</v>
      </c>
      <c r="G272" s="30" t="s">
        <v>870</v>
      </c>
      <c r="H272" s="31"/>
      <c r="I272" s="31" t="s">
        <v>47</v>
      </c>
      <c r="J272" s="32" t="n">
        <v>10.0</v>
      </c>
      <c r="K272" s="33" t="n">
        <f>2015</f>
        <v>2015.0</v>
      </c>
      <c r="L272" s="34" t="s">
        <v>51</v>
      </c>
      <c r="M272" s="33" t="n">
        <f>2025</f>
        <v>2025.0</v>
      </c>
      <c r="N272" s="34" t="s">
        <v>51</v>
      </c>
      <c r="O272" s="33" t="n">
        <f>2015</f>
        <v>2015.0</v>
      </c>
      <c r="P272" s="34" t="s">
        <v>51</v>
      </c>
      <c r="Q272" s="33" t="n">
        <f>2022</f>
        <v>2022.0</v>
      </c>
      <c r="R272" s="34" t="s">
        <v>51</v>
      </c>
      <c r="S272" s="35" t="n">
        <f>2022</f>
        <v>2022.0</v>
      </c>
      <c r="T272" s="32" t="n">
        <f>6000</f>
        <v>6000.0</v>
      </c>
      <c r="U272" s="32" t="str">
        <f>"－"</f>
        <v>－</v>
      </c>
      <c r="V272" s="32" t="n">
        <f>12129050</f>
        <v>1.212905E7</v>
      </c>
      <c r="W272" s="32" t="str">
        <f>"－"</f>
        <v>－</v>
      </c>
      <c r="X272" s="36" t="n">
        <f>1</f>
        <v>1.0</v>
      </c>
    </row>
    <row r="273">
      <c r="A273" s="27" t="s">
        <v>42</v>
      </c>
      <c r="B273" s="27" t="s">
        <v>871</v>
      </c>
      <c r="C273" s="27" t="s">
        <v>872</v>
      </c>
      <c r="D273" s="27" t="s">
        <v>873</v>
      </c>
      <c r="E273" s="28" t="s">
        <v>868</v>
      </c>
      <c r="F273" s="29" t="s">
        <v>869</v>
      </c>
      <c r="G273" s="30" t="s">
        <v>870</v>
      </c>
      <c r="H273" s="31"/>
      <c r="I273" s="31" t="s">
        <v>47</v>
      </c>
      <c r="J273" s="32" t="n">
        <v>10.0</v>
      </c>
      <c r="K273" s="33" t="n">
        <f>2001</f>
        <v>2001.0</v>
      </c>
      <c r="L273" s="34" t="s">
        <v>51</v>
      </c>
      <c r="M273" s="33" t="n">
        <f>2003</f>
        <v>2003.0</v>
      </c>
      <c r="N273" s="34" t="s">
        <v>51</v>
      </c>
      <c r="O273" s="33" t="n">
        <f>1997</f>
        <v>1997.0</v>
      </c>
      <c r="P273" s="34" t="s">
        <v>51</v>
      </c>
      <c r="Q273" s="33" t="n">
        <f>1998</f>
        <v>1998.0</v>
      </c>
      <c r="R273" s="34" t="s">
        <v>51</v>
      </c>
      <c r="S273" s="35" t="n">
        <f>1998</f>
        <v>1998.0</v>
      </c>
      <c r="T273" s="32" t="n">
        <f>1160</f>
        <v>1160.0</v>
      </c>
      <c r="U273" s="32" t="str">
        <f>"－"</f>
        <v>－</v>
      </c>
      <c r="V273" s="32" t="n">
        <f>2318890</f>
        <v>2318890.0</v>
      </c>
      <c r="W273" s="32" t="str">
        <f>"－"</f>
        <v>－</v>
      </c>
      <c r="X273" s="36" t="n">
        <f>1</f>
        <v>1.0</v>
      </c>
    </row>
    <row r="274">
      <c r="A274" s="27" t="s">
        <v>42</v>
      </c>
      <c r="B274" s="27" t="s">
        <v>874</v>
      </c>
      <c r="C274" s="27" t="s">
        <v>875</v>
      </c>
      <c r="D274" s="27" t="s">
        <v>876</v>
      </c>
      <c r="E274" s="28" t="s">
        <v>868</v>
      </c>
      <c r="F274" s="29" t="s">
        <v>869</v>
      </c>
      <c r="G274" s="30" t="s">
        <v>870</v>
      </c>
      <c r="H274" s="31"/>
      <c r="I274" s="31" t="s">
        <v>47</v>
      </c>
      <c r="J274" s="32" t="n">
        <v>10.0</v>
      </c>
      <c r="K274" s="33" t="n">
        <f>2012</f>
        <v>2012.0</v>
      </c>
      <c r="L274" s="34" t="s">
        <v>51</v>
      </c>
      <c r="M274" s="33" t="n">
        <f>2022</f>
        <v>2022.0</v>
      </c>
      <c r="N274" s="34" t="s">
        <v>51</v>
      </c>
      <c r="O274" s="33" t="n">
        <f>2010</f>
        <v>2010.0</v>
      </c>
      <c r="P274" s="34" t="s">
        <v>51</v>
      </c>
      <c r="Q274" s="33" t="n">
        <f>2019</f>
        <v>2019.0</v>
      </c>
      <c r="R274" s="34" t="s">
        <v>51</v>
      </c>
      <c r="S274" s="35" t="n">
        <f>2019</f>
        <v>2019.0</v>
      </c>
      <c r="T274" s="32" t="n">
        <f>4910</f>
        <v>4910.0</v>
      </c>
      <c r="U274" s="32" t="str">
        <f>"－"</f>
        <v>－</v>
      </c>
      <c r="V274" s="32" t="n">
        <f>9909040</f>
        <v>9909040.0</v>
      </c>
      <c r="W274" s="32" t="str">
        <f>"－"</f>
        <v>－</v>
      </c>
      <c r="X274" s="36" t="n">
        <f>1</f>
        <v>1.0</v>
      </c>
    </row>
    <row r="275">
      <c r="A275" s="27" t="s">
        <v>42</v>
      </c>
      <c r="B275" s="27" t="s">
        <v>877</v>
      </c>
      <c r="C275" s="27" t="s">
        <v>878</v>
      </c>
      <c r="D275" s="27" t="s">
        <v>879</v>
      </c>
      <c r="E275" s="28" t="s">
        <v>868</v>
      </c>
      <c r="F275" s="29" t="s">
        <v>869</v>
      </c>
      <c r="G275" s="30" t="s">
        <v>870</v>
      </c>
      <c r="H275" s="31"/>
      <c r="I275" s="31" t="s">
        <v>47</v>
      </c>
      <c r="J275" s="32" t="n">
        <v>1.0</v>
      </c>
      <c r="K275" s="33" t="n">
        <f>2653</f>
        <v>2653.0</v>
      </c>
      <c r="L275" s="34" t="s">
        <v>51</v>
      </c>
      <c r="M275" s="33" t="n">
        <f>2667</f>
        <v>2667.0</v>
      </c>
      <c r="N275" s="34" t="s">
        <v>51</v>
      </c>
      <c r="O275" s="33" t="n">
        <f>2638</f>
        <v>2638.0</v>
      </c>
      <c r="P275" s="34" t="s">
        <v>51</v>
      </c>
      <c r="Q275" s="33" t="n">
        <f>2638</f>
        <v>2638.0</v>
      </c>
      <c r="R275" s="34" t="s">
        <v>51</v>
      </c>
      <c r="S275" s="35" t="n">
        <f>2638</f>
        <v>2638.0</v>
      </c>
      <c r="T275" s="32" t="n">
        <f>1983</f>
        <v>1983.0</v>
      </c>
      <c r="U275" s="32" t="str">
        <f>"－"</f>
        <v>－</v>
      </c>
      <c r="V275" s="32" t="n">
        <f>5255137</f>
        <v>5255137.0</v>
      </c>
      <c r="W275" s="32" t="str">
        <f>"－"</f>
        <v>－</v>
      </c>
      <c r="X275" s="36" t="n">
        <f>1</f>
        <v>1.0</v>
      </c>
    </row>
    <row r="276">
      <c r="A276" s="27" t="s">
        <v>42</v>
      </c>
      <c r="B276" s="27" t="s">
        <v>880</v>
      </c>
      <c r="C276" s="27" t="s">
        <v>881</v>
      </c>
      <c r="D276" s="27" t="s">
        <v>882</v>
      </c>
      <c r="E276" s="28" t="s">
        <v>868</v>
      </c>
      <c r="F276" s="29" t="s">
        <v>869</v>
      </c>
      <c r="G276" s="30" t="s">
        <v>870</v>
      </c>
      <c r="H276" s="31"/>
      <c r="I276" s="31" t="s">
        <v>47</v>
      </c>
      <c r="J276" s="32" t="n">
        <v>1.0</v>
      </c>
      <c r="K276" s="33" t="n">
        <f>1761</f>
        <v>1761.0</v>
      </c>
      <c r="L276" s="34" t="s">
        <v>51</v>
      </c>
      <c r="M276" s="33" t="n">
        <f>1772</f>
        <v>1772.0</v>
      </c>
      <c r="N276" s="34" t="s">
        <v>51</v>
      </c>
      <c r="O276" s="33" t="n">
        <f>1757</f>
        <v>1757.0</v>
      </c>
      <c r="P276" s="34" t="s">
        <v>51</v>
      </c>
      <c r="Q276" s="33" t="n">
        <f>1757</f>
        <v>1757.0</v>
      </c>
      <c r="R276" s="34" t="s">
        <v>51</v>
      </c>
      <c r="S276" s="35" t="n">
        <f>1757</f>
        <v>1757.0</v>
      </c>
      <c r="T276" s="32" t="n">
        <f>12027</f>
        <v>12027.0</v>
      </c>
      <c r="U276" s="32" t="str">
        <f>"－"</f>
        <v>－</v>
      </c>
      <c r="V276" s="32" t="n">
        <f>21229564</f>
        <v>2.1229564E7</v>
      </c>
      <c r="W276" s="32" t="str">
        <f>"－"</f>
        <v>－</v>
      </c>
      <c r="X276" s="36" t="n">
        <f>1</f>
        <v>1.0</v>
      </c>
    </row>
    <row r="277">
      <c r="A277" s="27" t="s">
        <v>42</v>
      </c>
      <c r="B277" s="27" t="s">
        <v>883</v>
      </c>
      <c r="C277" s="27" t="s">
        <v>884</v>
      </c>
      <c r="D277" s="27" t="s">
        <v>885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127500</f>
        <v>127500.0</v>
      </c>
      <c r="L277" s="34" t="s">
        <v>48</v>
      </c>
      <c r="M277" s="33" t="n">
        <f>132700</f>
        <v>132700.0</v>
      </c>
      <c r="N277" s="34" t="s">
        <v>51</v>
      </c>
      <c r="O277" s="33" t="n">
        <f>121600</f>
        <v>121600.0</v>
      </c>
      <c r="P277" s="34" t="s">
        <v>50</v>
      </c>
      <c r="Q277" s="33" t="n">
        <f>131000</f>
        <v>131000.0</v>
      </c>
      <c r="R277" s="34" t="s">
        <v>51</v>
      </c>
      <c r="S277" s="35" t="n">
        <f>127056.52</f>
        <v>127056.52</v>
      </c>
      <c r="T277" s="32" t="n">
        <f>23458</f>
        <v>23458.0</v>
      </c>
      <c r="U277" s="32" t="n">
        <f>4104</f>
        <v>4104.0</v>
      </c>
      <c r="V277" s="32" t="n">
        <f>2980143174</f>
        <v>2.980143174E9</v>
      </c>
      <c r="W277" s="32" t="n">
        <f>521807374</f>
        <v>5.21807374E8</v>
      </c>
      <c r="X277" s="36" t="n">
        <f>23</f>
        <v>23.0</v>
      </c>
    </row>
    <row r="278">
      <c r="A278" s="27" t="s">
        <v>42</v>
      </c>
      <c r="B278" s="27" t="s">
        <v>886</v>
      </c>
      <c r="C278" s="27" t="s">
        <v>887</v>
      </c>
      <c r="D278" s="27" t="s">
        <v>888</v>
      </c>
      <c r="E278" s="28" t="s">
        <v>46</v>
      </c>
      <c r="F278" s="29" t="s">
        <v>46</v>
      </c>
      <c r="G278" s="30" t="s">
        <v>46</v>
      </c>
      <c r="H278" s="31"/>
      <c r="I278" s="31" t="s">
        <v>636</v>
      </c>
      <c r="J278" s="32" t="n">
        <v>1.0</v>
      </c>
      <c r="K278" s="33" t="n">
        <f>110200</f>
        <v>110200.0</v>
      </c>
      <c r="L278" s="34" t="s">
        <v>48</v>
      </c>
      <c r="M278" s="33" t="n">
        <f>119700</f>
        <v>119700.0</v>
      </c>
      <c r="N278" s="34" t="s">
        <v>51</v>
      </c>
      <c r="O278" s="33" t="n">
        <f>107700</f>
        <v>107700.0</v>
      </c>
      <c r="P278" s="34" t="s">
        <v>50</v>
      </c>
      <c r="Q278" s="33" t="n">
        <f>117900</f>
        <v>117900.0</v>
      </c>
      <c r="R278" s="34" t="s">
        <v>51</v>
      </c>
      <c r="S278" s="35" t="n">
        <f>112126.09</f>
        <v>112126.09</v>
      </c>
      <c r="T278" s="32" t="n">
        <f>32733</f>
        <v>32733.0</v>
      </c>
      <c r="U278" s="32" t="n">
        <f>6072</f>
        <v>6072.0</v>
      </c>
      <c r="V278" s="32" t="n">
        <f>3656021269</f>
        <v>3.656021269E9</v>
      </c>
      <c r="W278" s="32" t="n">
        <f>678065269</f>
        <v>6.78065269E8</v>
      </c>
      <c r="X278" s="36" t="n">
        <f>23</f>
        <v>23.0</v>
      </c>
    </row>
    <row r="279">
      <c r="A279" s="27" t="s">
        <v>42</v>
      </c>
      <c r="B279" s="27" t="s">
        <v>889</v>
      </c>
      <c r="C279" s="27" t="s">
        <v>890</v>
      </c>
      <c r="D279" s="27" t="s">
        <v>891</v>
      </c>
      <c r="E279" s="28" t="s">
        <v>46</v>
      </c>
      <c r="F279" s="29" t="s">
        <v>46</v>
      </c>
      <c r="G279" s="30" t="s">
        <v>46</v>
      </c>
      <c r="H279" s="31"/>
      <c r="I279" s="31" t="s">
        <v>636</v>
      </c>
      <c r="J279" s="32" t="n">
        <v>1.0</v>
      </c>
      <c r="K279" s="33" t="n">
        <f>133300</f>
        <v>133300.0</v>
      </c>
      <c r="L279" s="34" t="s">
        <v>48</v>
      </c>
      <c r="M279" s="33" t="n">
        <f>144400</f>
        <v>144400.0</v>
      </c>
      <c r="N279" s="34" t="s">
        <v>51</v>
      </c>
      <c r="O279" s="33" t="n">
        <f>124800</f>
        <v>124800.0</v>
      </c>
      <c r="P279" s="34" t="s">
        <v>366</v>
      </c>
      <c r="Q279" s="33" t="n">
        <f>143900</f>
        <v>143900.0</v>
      </c>
      <c r="R279" s="34" t="s">
        <v>51</v>
      </c>
      <c r="S279" s="35" t="n">
        <f>134656.52</f>
        <v>134656.52</v>
      </c>
      <c r="T279" s="32" t="n">
        <f>76482</f>
        <v>76482.0</v>
      </c>
      <c r="U279" s="32" t="n">
        <f>15800</f>
        <v>15800.0</v>
      </c>
      <c r="V279" s="32" t="n">
        <f>10345223437</f>
        <v>1.0345223437E10</v>
      </c>
      <c r="W279" s="32" t="n">
        <f>2138746337</f>
        <v>2.138746337E9</v>
      </c>
      <c r="X279" s="36" t="n">
        <f>23</f>
        <v>23.0</v>
      </c>
    </row>
    <row r="280">
      <c r="A280" s="27" t="s">
        <v>42</v>
      </c>
      <c r="B280" s="27" t="s">
        <v>892</v>
      </c>
      <c r="C280" s="27" t="s">
        <v>893</v>
      </c>
      <c r="D280" s="27" t="s">
        <v>894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1.0</v>
      </c>
      <c r="K280" s="33" t="n">
        <f>602000</f>
        <v>602000.0</v>
      </c>
      <c r="L280" s="34" t="s">
        <v>48</v>
      </c>
      <c r="M280" s="33" t="n">
        <f>666000</f>
        <v>666000.0</v>
      </c>
      <c r="N280" s="34" t="s">
        <v>51</v>
      </c>
      <c r="O280" s="33" t="n">
        <f>567000</f>
        <v>567000.0</v>
      </c>
      <c r="P280" s="34" t="s">
        <v>50</v>
      </c>
      <c r="Q280" s="33" t="n">
        <f>649000</f>
        <v>649000.0</v>
      </c>
      <c r="R280" s="34" t="s">
        <v>51</v>
      </c>
      <c r="S280" s="35" t="n">
        <f>614652.17</f>
        <v>614652.17</v>
      </c>
      <c r="T280" s="32" t="n">
        <f>48907</f>
        <v>48907.0</v>
      </c>
      <c r="U280" s="32" t="n">
        <f>10345</f>
        <v>10345.0</v>
      </c>
      <c r="V280" s="32" t="n">
        <f>30003175330</f>
        <v>3.000317533E10</v>
      </c>
      <c r="W280" s="32" t="n">
        <f>6304828330</f>
        <v>6.30482833E9</v>
      </c>
      <c r="X280" s="36" t="n">
        <f>23</f>
        <v>23.0</v>
      </c>
    </row>
    <row r="281">
      <c r="A281" s="27" t="s">
        <v>42</v>
      </c>
      <c r="B281" s="27" t="s">
        <v>895</v>
      </c>
      <c r="C281" s="27" t="s">
        <v>896</v>
      </c>
      <c r="D281" s="27" t="s">
        <v>897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149500</f>
        <v>149500.0</v>
      </c>
      <c r="L281" s="34" t="s">
        <v>48</v>
      </c>
      <c r="M281" s="33" t="n">
        <f>155600</f>
        <v>155600.0</v>
      </c>
      <c r="N281" s="34" t="s">
        <v>51</v>
      </c>
      <c r="O281" s="33" t="n">
        <f>143500</f>
        <v>143500.0</v>
      </c>
      <c r="P281" s="34" t="s">
        <v>50</v>
      </c>
      <c r="Q281" s="33" t="n">
        <f>153300</f>
        <v>153300.0</v>
      </c>
      <c r="R281" s="34" t="s">
        <v>51</v>
      </c>
      <c r="S281" s="35" t="n">
        <f>149095.65</f>
        <v>149095.65</v>
      </c>
      <c r="T281" s="32" t="n">
        <f>178300</f>
        <v>178300.0</v>
      </c>
      <c r="U281" s="32" t="n">
        <f>39596</f>
        <v>39596.0</v>
      </c>
      <c r="V281" s="32" t="n">
        <f>26597662515</f>
        <v>2.6597662515E10</v>
      </c>
      <c r="W281" s="32" t="n">
        <f>5905348415</f>
        <v>5.905348415E9</v>
      </c>
      <c r="X281" s="36" t="n">
        <f>23</f>
        <v>23.0</v>
      </c>
    </row>
    <row r="282">
      <c r="A282" s="27" t="s">
        <v>42</v>
      </c>
      <c r="B282" s="27" t="s">
        <v>898</v>
      </c>
      <c r="C282" s="27" t="s">
        <v>899</v>
      </c>
      <c r="D282" s="27" t="s">
        <v>900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186300</f>
        <v>186300.0</v>
      </c>
      <c r="L282" s="34" t="s">
        <v>48</v>
      </c>
      <c r="M282" s="33" t="n">
        <f>193700</f>
        <v>193700.0</v>
      </c>
      <c r="N282" s="34" t="s">
        <v>51</v>
      </c>
      <c r="O282" s="33" t="n">
        <f>169200</f>
        <v>169200.0</v>
      </c>
      <c r="P282" s="34" t="s">
        <v>74</v>
      </c>
      <c r="Q282" s="33" t="n">
        <f>189900</f>
        <v>189900.0</v>
      </c>
      <c r="R282" s="34" t="s">
        <v>51</v>
      </c>
      <c r="S282" s="35" t="n">
        <f>182747.83</f>
        <v>182747.83</v>
      </c>
      <c r="T282" s="32" t="n">
        <f>186421</f>
        <v>186421.0</v>
      </c>
      <c r="U282" s="32" t="n">
        <f>40091</f>
        <v>40091.0</v>
      </c>
      <c r="V282" s="32" t="n">
        <f>33954374294</f>
        <v>3.3954374294E10</v>
      </c>
      <c r="W282" s="32" t="n">
        <f>7288755294</f>
        <v>7.288755294E9</v>
      </c>
      <c r="X282" s="36" t="n">
        <f>23</f>
        <v>23.0</v>
      </c>
    </row>
    <row r="283">
      <c r="A283" s="27" t="s">
        <v>42</v>
      </c>
      <c r="B283" s="27" t="s">
        <v>901</v>
      </c>
      <c r="C283" s="27" t="s">
        <v>902</v>
      </c>
      <c r="D283" s="27" t="s">
        <v>903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330500</f>
        <v>330500.0</v>
      </c>
      <c r="L283" s="34" t="s">
        <v>48</v>
      </c>
      <c r="M283" s="33" t="n">
        <f>356000</f>
        <v>356000.0</v>
      </c>
      <c r="N283" s="34" t="s">
        <v>51</v>
      </c>
      <c r="O283" s="33" t="n">
        <f>305500</f>
        <v>305500.0</v>
      </c>
      <c r="P283" s="34" t="s">
        <v>50</v>
      </c>
      <c r="Q283" s="33" t="n">
        <f>347000</f>
        <v>347000.0</v>
      </c>
      <c r="R283" s="34" t="s">
        <v>51</v>
      </c>
      <c r="S283" s="35" t="n">
        <f>329000</f>
        <v>329000.0</v>
      </c>
      <c r="T283" s="32" t="n">
        <f>122803</f>
        <v>122803.0</v>
      </c>
      <c r="U283" s="32" t="n">
        <f>27009</f>
        <v>27009.0</v>
      </c>
      <c r="V283" s="32" t="n">
        <f>40239126486</f>
        <v>4.0239126486E10</v>
      </c>
      <c r="W283" s="32" t="n">
        <f>8787920986</f>
        <v>8.787920986E9</v>
      </c>
      <c r="X283" s="36" t="n">
        <f>23</f>
        <v>23.0</v>
      </c>
    </row>
    <row r="284">
      <c r="A284" s="27" t="s">
        <v>42</v>
      </c>
      <c r="B284" s="27" t="s">
        <v>904</v>
      </c>
      <c r="C284" s="27" t="s">
        <v>905</v>
      </c>
      <c r="D284" s="27" t="s">
        <v>906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192800</f>
        <v>192800.0</v>
      </c>
      <c r="L284" s="34" t="s">
        <v>48</v>
      </c>
      <c r="M284" s="33" t="n">
        <f>218800</f>
        <v>218800.0</v>
      </c>
      <c r="N284" s="34" t="s">
        <v>51</v>
      </c>
      <c r="O284" s="33" t="n">
        <f>185500</f>
        <v>185500.0</v>
      </c>
      <c r="P284" s="34" t="s">
        <v>75</v>
      </c>
      <c r="Q284" s="33" t="n">
        <f>216000</f>
        <v>216000.0</v>
      </c>
      <c r="R284" s="34" t="s">
        <v>51</v>
      </c>
      <c r="S284" s="35" t="n">
        <f>200747.83</f>
        <v>200747.83</v>
      </c>
      <c r="T284" s="32" t="n">
        <f>112884</f>
        <v>112884.0</v>
      </c>
      <c r="U284" s="32" t="n">
        <f>21127</f>
        <v>21127.0</v>
      </c>
      <c r="V284" s="32" t="n">
        <f>22761486182</f>
        <v>2.2761486182E10</v>
      </c>
      <c r="W284" s="32" t="n">
        <f>4215664382</f>
        <v>4.215664382E9</v>
      </c>
      <c r="X284" s="36" t="n">
        <f>23</f>
        <v>23.0</v>
      </c>
    </row>
    <row r="285">
      <c r="A285" s="27" t="s">
        <v>42</v>
      </c>
      <c r="B285" s="27" t="s">
        <v>907</v>
      </c>
      <c r="C285" s="27" t="s">
        <v>908</v>
      </c>
      <c r="D285" s="27" t="s">
        <v>909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470000</f>
        <v>470000.0</v>
      </c>
      <c r="L285" s="34" t="s">
        <v>48</v>
      </c>
      <c r="M285" s="33" t="n">
        <f>497000</f>
        <v>497000.0</v>
      </c>
      <c r="N285" s="34" t="s">
        <v>82</v>
      </c>
      <c r="O285" s="33" t="n">
        <f>459000</f>
        <v>459000.0</v>
      </c>
      <c r="P285" s="34" t="s">
        <v>75</v>
      </c>
      <c r="Q285" s="33" t="n">
        <f>485500</f>
        <v>485500.0</v>
      </c>
      <c r="R285" s="34" t="s">
        <v>51</v>
      </c>
      <c r="S285" s="35" t="n">
        <f>472652.17</f>
        <v>472652.17</v>
      </c>
      <c r="T285" s="32" t="n">
        <f>88967</f>
        <v>88967.0</v>
      </c>
      <c r="U285" s="32" t="n">
        <f>20335</f>
        <v>20335.0</v>
      </c>
      <c r="V285" s="32" t="n">
        <f>42024194382</f>
        <v>4.2024194382E10</v>
      </c>
      <c r="W285" s="32" t="n">
        <f>9567556882</f>
        <v>9.567556882E9</v>
      </c>
      <c r="X285" s="36" t="n">
        <f>23</f>
        <v>23.0</v>
      </c>
    </row>
    <row r="286">
      <c r="A286" s="27" t="s">
        <v>42</v>
      </c>
      <c r="B286" s="27" t="s">
        <v>910</v>
      </c>
      <c r="C286" s="27" t="s">
        <v>911</v>
      </c>
      <c r="D286" s="27" t="s">
        <v>912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174000</f>
        <v>174000.0</v>
      </c>
      <c r="L286" s="34" t="s">
        <v>48</v>
      </c>
      <c r="M286" s="33" t="n">
        <f>186600</f>
        <v>186600.0</v>
      </c>
      <c r="N286" s="34" t="s">
        <v>51</v>
      </c>
      <c r="O286" s="33" t="n">
        <f>154900</f>
        <v>154900.0</v>
      </c>
      <c r="P286" s="34" t="s">
        <v>75</v>
      </c>
      <c r="Q286" s="33" t="n">
        <f>181800</f>
        <v>181800.0</v>
      </c>
      <c r="R286" s="34" t="s">
        <v>51</v>
      </c>
      <c r="S286" s="35" t="n">
        <f>169843.48</f>
        <v>169843.48</v>
      </c>
      <c r="T286" s="32" t="n">
        <f>477830</f>
        <v>477830.0</v>
      </c>
      <c r="U286" s="32" t="n">
        <f>115083</f>
        <v>115083.0</v>
      </c>
      <c r="V286" s="32" t="n">
        <f>80645498987</f>
        <v>8.0645498987E10</v>
      </c>
      <c r="W286" s="32" t="n">
        <f>19316829887</f>
        <v>1.9316829887E10</v>
      </c>
      <c r="X286" s="36" t="n">
        <f>23</f>
        <v>23.0</v>
      </c>
    </row>
    <row r="287">
      <c r="A287" s="27" t="s">
        <v>42</v>
      </c>
      <c r="B287" s="27" t="s">
        <v>913</v>
      </c>
      <c r="C287" s="27" t="s">
        <v>914</v>
      </c>
      <c r="D287" s="27" t="s">
        <v>915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322500</f>
        <v>322500.0</v>
      </c>
      <c r="L287" s="34" t="s">
        <v>48</v>
      </c>
      <c r="M287" s="33" t="n">
        <f>343000</f>
        <v>343000.0</v>
      </c>
      <c r="N287" s="34" t="s">
        <v>51</v>
      </c>
      <c r="O287" s="33" t="n">
        <f>302000</f>
        <v>302000.0</v>
      </c>
      <c r="P287" s="34" t="s">
        <v>75</v>
      </c>
      <c r="Q287" s="33" t="n">
        <f>337500</f>
        <v>337500.0</v>
      </c>
      <c r="R287" s="34" t="s">
        <v>51</v>
      </c>
      <c r="S287" s="35" t="n">
        <f>322782.61</f>
        <v>322782.61</v>
      </c>
      <c r="T287" s="32" t="n">
        <f>70246</f>
        <v>70246.0</v>
      </c>
      <c r="U287" s="32" t="n">
        <f>17265</f>
        <v>17265.0</v>
      </c>
      <c r="V287" s="32" t="n">
        <f>22743943669</f>
        <v>2.2743943669E10</v>
      </c>
      <c r="W287" s="32" t="n">
        <f>5601911669</f>
        <v>5.601911669E9</v>
      </c>
      <c r="X287" s="36" t="n">
        <f>23</f>
        <v>23.0</v>
      </c>
    </row>
    <row r="288">
      <c r="A288" s="27" t="s">
        <v>42</v>
      </c>
      <c r="B288" s="27" t="s">
        <v>916</v>
      </c>
      <c r="C288" s="27" t="s">
        <v>917</v>
      </c>
      <c r="D288" s="27" t="s">
        <v>918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332000</f>
        <v>332000.0</v>
      </c>
      <c r="L288" s="34" t="s">
        <v>48</v>
      </c>
      <c r="M288" s="33" t="n">
        <f>362500</f>
        <v>362500.0</v>
      </c>
      <c r="N288" s="34" t="s">
        <v>51</v>
      </c>
      <c r="O288" s="33" t="n">
        <f>300000</f>
        <v>300000.0</v>
      </c>
      <c r="P288" s="34" t="s">
        <v>366</v>
      </c>
      <c r="Q288" s="33" t="n">
        <f>355500</f>
        <v>355500.0</v>
      </c>
      <c r="R288" s="34" t="s">
        <v>51</v>
      </c>
      <c r="S288" s="35" t="n">
        <f>329021.74</f>
        <v>329021.74</v>
      </c>
      <c r="T288" s="32" t="n">
        <f>243634</f>
        <v>243634.0</v>
      </c>
      <c r="U288" s="32" t="n">
        <f>48610</f>
        <v>48610.0</v>
      </c>
      <c r="V288" s="32" t="n">
        <f>80255135484</f>
        <v>8.0255135484E10</v>
      </c>
      <c r="W288" s="32" t="n">
        <f>15953231984</f>
        <v>1.5953231984E10</v>
      </c>
      <c r="X288" s="36" t="n">
        <f>23</f>
        <v>23.0</v>
      </c>
    </row>
    <row r="289">
      <c r="A289" s="27" t="s">
        <v>42</v>
      </c>
      <c r="B289" s="27" t="s">
        <v>919</v>
      </c>
      <c r="C289" s="27" t="s">
        <v>920</v>
      </c>
      <c r="D289" s="27" t="s">
        <v>921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1.0</v>
      </c>
      <c r="K289" s="33" t="n">
        <f>593000</f>
        <v>593000.0</v>
      </c>
      <c r="L289" s="34" t="s">
        <v>48</v>
      </c>
      <c r="M289" s="33" t="n">
        <f>665000</f>
        <v>665000.0</v>
      </c>
      <c r="N289" s="34" t="s">
        <v>49</v>
      </c>
      <c r="O289" s="33" t="n">
        <f>562000</f>
        <v>562000.0</v>
      </c>
      <c r="P289" s="34" t="s">
        <v>50</v>
      </c>
      <c r="Q289" s="33" t="n">
        <f>638000</f>
        <v>638000.0</v>
      </c>
      <c r="R289" s="34" t="s">
        <v>51</v>
      </c>
      <c r="S289" s="35" t="n">
        <f>613695.65</f>
        <v>613695.65</v>
      </c>
      <c r="T289" s="32" t="n">
        <f>57161</f>
        <v>57161.0</v>
      </c>
      <c r="U289" s="32" t="n">
        <f>8969</f>
        <v>8969.0</v>
      </c>
      <c r="V289" s="32" t="n">
        <f>35723732074</f>
        <v>3.5723732074E10</v>
      </c>
      <c r="W289" s="32" t="n">
        <f>5610499074</f>
        <v>5.610499074E9</v>
      </c>
      <c r="X289" s="36" t="n">
        <f>23</f>
        <v>23.0</v>
      </c>
    </row>
    <row r="290">
      <c r="A290" s="27" t="s">
        <v>42</v>
      </c>
      <c r="B290" s="27" t="s">
        <v>922</v>
      </c>
      <c r="C290" s="27" t="s">
        <v>923</v>
      </c>
      <c r="D290" s="27" t="s">
        <v>924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288500</f>
        <v>288500.0</v>
      </c>
      <c r="L290" s="34" t="s">
        <v>48</v>
      </c>
      <c r="M290" s="33" t="n">
        <f>314500</f>
        <v>314500.0</v>
      </c>
      <c r="N290" s="34" t="s">
        <v>51</v>
      </c>
      <c r="O290" s="33" t="n">
        <f>277400</f>
        <v>277400.0</v>
      </c>
      <c r="P290" s="34" t="s">
        <v>75</v>
      </c>
      <c r="Q290" s="33" t="n">
        <f>311000</f>
        <v>311000.0</v>
      </c>
      <c r="R290" s="34" t="s">
        <v>51</v>
      </c>
      <c r="S290" s="35" t="n">
        <f>292300</f>
        <v>292300.0</v>
      </c>
      <c r="T290" s="32" t="n">
        <f>27795</f>
        <v>27795.0</v>
      </c>
      <c r="U290" s="32" t="n">
        <f>3506</f>
        <v>3506.0</v>
      </c>
      <c r="V290" s="32" t="n">
        <f>8134729671</f>
        <v>8.134729671E9</v>
      </c>
      <c r="W290" s="32" t="n">
        <f>1018456871</f>
        <v>1.018456871E9</v>
      </c>
      <c r="X290" s="36" t="n">
        <f>23</f>
        <v>23.0</v>
      </c>
    </row>
    <row r="291">
      <c r="A291" s="27" t="s">
        <v>42</v>
      </c>
      <c r="B291" s="27" t="s">
        <v>925</v>
      </c>
      <c r="C291" s="27" t="s">
        <v>926</v>
      </c>
      <c r="D291" s="27" t="s">
        <v>927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1.0</v>
      </c>
      <c r="K291" s="33" t="n">
        <f>147500</f>
        <v>147500.0</v>
      </c>
      <c r="L291" s="34" t="s">
        <v>48</v>
      </c>
      <c r="M291" s="33" t="n">
        <f>152100</f>
        <v>152100.0</v>
      </c>
      <c r="N291" s="34" t="s">
        <v>51</v>
      </c>
      <c r="O291" s="33" t="n">
        <f>140500</f>
        <v>140500.0</v>
      </c>
      <c r="P291" s="34" t="s">
        <v>50</v>
      </c>
      <c r="Q291" s="33" t="n">
        <f>149000</f>
        <v>149000.0</v>
      </c>
      <c r="R291" s="34" t="s">
        <v>51</v>
      </c>
      <c r="S291" s="35" t="n">
        <f>146495.65</f>
        <v>146495.65</v>
      </c>
      <c r="T291" s="32" t="n">
        <f>142215</f>
        <v>142215.0</v>
      </c>
      <c r="U291" s="32" t="n">
        <f>28012</f>
        <v>28012.0</v>
      </c>
      <c r="V291" s="32" t="n">
        <f>20826481035</f>
        <v>2.0826481035E10</v>
      </c>
      <c r="W291" s="32" t="n">
        <f>4089043935</f>
        <v>4.089043935E9</v>
      </c>
      <c r="X291" s="36" t="n">
        <f>23</f>
        <v>23.0</v>
      </c>
    </row>
    <row r="292">
      <c r="A292" s="27" t="s">
        <v>42</v>
      </c>
      <c r="B292" s="27" t="s">
        <v>928</v>
      </c>
      <c r="C292" s="27" t="s">
        <v>929</v>
      </c>
      <c r="D292" s="27" t="s">
        <v>930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169000</f>
        <v>169000.0</v>
      </c>
      <c r="L292" s="34" t="s">
        <v>48</v>
      </c>
      <c r="M292" s="33" t="n">
        <f>176300</f>
        <v>176300.0</v>
      </c>
      <c r="N292" s="34" t="s">
        <v>51</v>
      </c>
      <c r="O292" s="33" t="n">
        <f>164200</f>
        <v>164200.0</v>
      </c>
      <c r="P292" s="34" t="s">
        <v>50</v>
      </c>
      <c r="Q292" s="33" t="n">
        <f>173300</f>
        <v>173300.0</v>
      </c>
      <c r="R292" s="34" t="s">
        <v>51</v>
      </c>
      <c r="S292" s="35" t="n">
        <f>170539.13</f>
        <v>170539.13</v>
      </c>
      <c r="T292" s="32" t="n">
        <f>123211</f>
        <v>123211.0</v>
      </c>
      <c r="U292" s="32" t="n">
        <f>22458</f>
        <v>22458.0</v>
      </c>
      <c r="V292" s="32" t="n">
        <f>21016563614</f>
        <v>2.1016563614E10</v>
      </c>
      <c r="W292" s="32" t="n">
        <f>3813527514</f>
        <v>3.813527514E9</v>
      </c>
      <c r="X292" s="36" t="n">
        <f>23</f>
        <v>23.0</v>
      </c>
    </row>
    <row r="293">
      <c r="A293" s="27" t="s">
        <v>42</v>
      </c>
      <c r="B293" s="27" t="s">
        <v>931</v>
      </c>
      <c r="C293" s="27" t="s">
        <v>932</v>
      </c>
      <c r="D293" s="27" t="s">
        <v>933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399000</f>
        <v>399000.0</v>
      </c>
      <c r="L293" s="34" t="s">
        <v>48</v>
      </c>
      <c r="M293" s="33" t="n">
        <f>429500</f>
        <v>429500.0</v>
      </c>
      <c r="N293" s="34" t="s">
        <v>51</v>
      </c>
      <c r="O293" s="33" t="n">
        <f>380000</f>
        <v>380000.0</v>
      </c>
      <c r="P293" s="34" t="s">
        <v>50</v>
      </c>
      <c r="Q293" s="33" t="n">
        <f>422500</f>
        <v>422500.0</v>
      </c>
      <c r="R293" s="34" t="s">
        <v>51</v>
      </c>
      <c r="S293" s="35" t="n">
        <f>400260.87</f>
        <v>400260.87</v>
      </c>
      <c r="T293" s="32" t="n">
        <f>56363</f>
        <v>56363.0</v>
      </c>
      <c r="U293" s="32" t="n">
        <f>13411</f>
        <v>13411.0</v>
      </c>
      <c r="V293" s="32" t="n">
        <f>22520933684</f>
        <v>2.2520933684E10</v>
      </c>
      <c r="W293" s="32" t="n">
        <f>5312849684</f>
        <v>5.312849684E9</v>
      </c>
      <c r="X293" s="36" t="n">
        <f>23</f>
        <v>23.0</v>
      </c>
    </row>
    <row r="294">
      <c r="A294" s="27" t="s">
        <v>42</v>
      </c>
      <c r="B294" s="27" t="s">
        <v>934</v>
      </c>
      <c r="C294" s="27" t="s">
        <v>935</v>
      </c>
      <c r="D294" s="27" t="s">
        <v>936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17770</f>
        <v>17770.0</v>
      </c>
      <c r="L294" s="34" t="s">
        <v>48</v>
      </c>
      <c r="M294" s="33" t="n">
        <f>18270</f>
        <v>18270.0</v>
      </c>
      <c r="N294" s="34" t="s">
        <v>406</v>
      </c>
      <c r="O294" s="33" t="n">
        <f>16650</f>
        <v>16650.0</v>
      </c>
      <c r="P294" s="34" t="s">
        <v>62</v>
      </c>
      <c r="Q294" s="33" t="n">
        <f>17430</f>
        <v>17430.0</v>
      </c>
      <c r="R294" s="34" t="s">
        <v>51</v>
      </c>
      <c r="S294" s="35" t="n">
        <f>17444.78</f>
        <v>17444.78</v>
      </c>
      <c r="T294" s="32" t="n">
        <f>1421950</f>
        <v>1421950.0</v>
      </c>
      <c r="U294" s="32" t="n">
        <f>245802</f>
        <v>245802.0</v>
      </c>
      <c r="V294" s="32" t="n">
        <f>24801538512</f>
        <v>2.4801538512E10</v>
      </c>
      <c r="W294" s="32" t="n">
        <f>4290620322</f>
        <v>4.290620322E9</v>
      </c>
      <c r="X294" s="36" t="n">
        <f>23</f>
        <v>23.0</v>
      </c>
    </row>
    <row r="295">
      <c r="A295" s="27" t="s">
        <v>42</v>
      </c>
      <c r="B295" s="27" t="s">
        <v>937</v>
      </c>
      <c r="C295" s="27" t="s">
        <v>938</v>
      </c>
      <c r="D295" s="27" t="s">
        <v>939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85300</f>
        <v>85300.0</v>
      </c>
      <c r="L295" s="34" t="s">
        <v>48</v>
      </c>
      <c r="M295" s="33" t="n">
        <f>93400</f>
        <v>93400.0</v>
      </c>
      <c r="N295" s="34" t="s">
        <v>51</v>
      </c>
      <c r="O295" s="33" t="n">
        <f>82800</f>
        <v>82800.0</v>
      </c>
      <c r="P295" s="34" t="s">
        <v>50</v>
      </c>
      <c r="Q295" s="33" t="n">
        <f>92000</f>
        <v>92000.0</v>
      </c>
      <c r="R295" s="34" t="s">
        <v>51</v>
      </c>
      <c r="S295" s="35" t="n">
        <f>87204.35</f>
        <v>87204.35</v>
      </c>
      <c r="T295" s="32" t="n">
        <f>408356</f>
        <v>408356.0</v>
      </c>
      <c r="U295" s="32" t="n">
        <f>89737</f>
        <v>89737.0</v>
      </c>
      <c r="V295" s="32" t="n">
        <f>35660990502</f>
        <v>3.5660990502E10</v>
      </c>
      <c r="W295" s="32" t="n">
        <f>7783964002</f>
        <v>7.783964002E9</v>
      </c>
      <c r="X295" s="36" t="n">
        <f>23</f>
        <v>23.0</v>
      </c>
    </row>
    <row r="296">
      <c r="A296" s="27" t="s">
        <v>42</v>
      </c>
      <c r="B296" s="27" t="s">
        <v>940</v>
      </c>
      <c r="C296" s="27" t="s">
        <v>941</v>
      </c>
      <c r="D296" s="27" t="s">
        <v>942</v>
      </c>
      <c r="E296" s="28" t="s">
        <v>46</v>
      </c>
      <c r="F296" s="29" t="s">
        <v>46</v>
      </c>
      <c r="G296" s="30" t="s">
        <v>46</v>
      </c>
      <c r="H296" s="31"/>
      <c r="I296" s="31" t="s">
        <v>636</v>
      </c>
      <c r="J296" s="32" t="n">
        <v>1.0</v>
      </c>
      <c r="K296" s="33" t="n">
        <f>125000</f>
        <v>125000.0</v>
      </c>
      <c r="L296" s="34" t="s">
        <v>48</v>
      </c>
      <c r="M296" s="33" t="n">
        <f>135900</f>
        <v>135900.0</v>
      </c>
      <c r="N296" s="34" t="s">
        <v>51</v>
      </c>
      <c r="O296" s="33" t="n">
        <f>121200</f>
        <v>121200.0</v>
      </c>
      <c r="P296" s="34" t="s">
        <v>50</v>
      </c>
      <c r="Q296" s="33" t="n">
        <f>134200</f>
        <v>134200.0</v>
      </c>
      <c r="R296" s="34" t="s">
        <v>51</v>
      </c>
      <c r="S296" s="35" t="n">
        <f>127556.52</f>
        <v>127556.52</v>
      </c>
      <c r="T296" s="32" t="n">
        <f>55854</f>
        <v>55854.0</v>
      </c>
      <c r="U296" s="32" t="n">
        <f>5500</f>
        <v>5500.0</v>
      </c>
      <c r="V296" s="32" t="n">
        <f>7108578629</f>
        <v>7.108578629E9</v>
      </c>
      <c r="W296" s="32" t="n">
        <f>700179229</f>
        <v>7.00179229E8</v>
      </c>
      <c r="X296" s="36" t="n">
        <f>23</f>
        <v>23.0</v>
      </c>
    </row>
    <row r="297">
      <c r="A297" s="27" t="s">
        <v>42</v>
      </c>
      <c r="B297" s="27" t="s">
        <v>943</v>
      </c>
      <c r="C297" s="27" t="s">
        <v>944</v>
      </c>
      <c r="D297" s="27" t="s">
        <v>945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269100</f>
        <v>269100.0</v>
      </c>
      <c r="L297" s="34" t="s">
        <v>48</v>
      </c>
      <c r="M297" s="33" t="n">
        <f>273700</f>
        <v>273700.0</v>
      </c>
      <c r="N297" s="34" t="s">
        <v>175</v>
      </c>
      <c r="O297" s="33" t="n">
        <f>260300</f>
        <v>260300.0</v>
      </c>
      <c r="P297" s="34" t="s">
        <v>75</v>
      </c>
      <c r="Q297" s="33" t="n">
        <f>268700</f>
        <v>268700.0</v>
      </c>
      <c r="R297" s="34" t="s">
        <v>51</v>
      </c>
      <c r="S297" s="35" t="n">
        <f>266160.87</f>
        <v>266160.87</v>
      </c>
      <c r="T297" s="32" t="n">
        <f>115133</f>
        <v>115133.0</v>
      </c>
      <c r="U297" s="32" t="n">
        <f>19720</f>
        <v>19720.0</v>
      </c>
      <c r="V297" s="32" t="n">
        <f>30693425044</f>
        <v>3.0693425044E10</v>
      </c>
      <c r="W297" s="32" t="n">
        <f>5249790244</f>
        <v>5.249790244E9</v>
      </c>
      <c r="X297" s="36" t="n">
        <f>23</f>
        <v>23.0</v>
      </c>
    </row>
    <row r="298">
      <c r="A298" s="27" t="s">
        <v>42</v>
      </c>
      <c r="B298" s="27" t="s">
        <v>946</v>
      </c>
      <c r="C298" s="27" t="s">
        <v>947</v>
      </c>
      <c r="D298" s="27" t="s">
        <v>948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133700</f>
        <v>133700.0</v>
      </c>
      <c r="L298" s="34" t="s">
        <v>48</v>
      </c>
      <c r="M298" s="33" t="n">
        <f>138900</f>
        <v>138900.0</v>
      </c>
      <c r="N298" s="34" t="s">
        <v>49</v>
      </c>
      <c r="O298" s="33" t="n">
        <f>130200</f>
        <v>130200.0</v>
      </c>
      <c r="P298" s="34" t="s">
        <v>74</v>
      </c>
      <c r="Q298" s="33" t="n">
        <f>137600</f>
        <v>137600.0</v>
      </c>
      <c r="R298" s="34" t="s">
        <v>51</v>
      </c>
      <c r="S298" s="35" t="n">
        <f>135013.04</f>
        <v>135013.04</v>
      </c>
      <c r="T298" s="32" t="n">
        <f>22069</f>
        <v>22069.0</v>
      </c>
      <c r="U298" s="32" t="n">
        <f>4726</f>
        <v>4726.0</v>
      </c>
      <c r="V298" s="32" t="n">
        <f>2972129414</f>
        <v>2.972129414E9</v>
      </c>
      <c r="W298" s="32" t="n">
        <f>635002014</f>
        <v>6.35002014E8</v>
      </c>
      <c r="X298" s="36" t="n">
        <f>23</f>
        <v>23.0</v>
      </c>
    </row>
    <row r="299">
      <c r="A299" s="27" t="s">
        <v>42</v>
      </c>
      <c r="B299" s="27" t="s">
        <v>949</v>
      </c>
      <c r="C299" s="27" t="s">
        <v>950</v>
      </c>
      <c r="D299" s="27" t="s">
        <v>951</v>
      </c>
      <c r="E299" s="28" t="s">
        <v>46</v>
      </c>
      <c r="F299" s="29" t="s">
        <v>46</v>
      </c>
      <c r="G299" s="30" t="s">
        <v>46</v>
      </c>
      <c r="H299" s="31"/>
      <c r="I299" s="31" t="s">
        <v>636</v>
      </c>
      <c r="J299" s="32" t="n">
        <v>1.0</v>
      </c>
      <c r="K299" s="33" t="n">
        <f>113200</f>
        <v>113200.0</v>
      </c>
      <c r="L299" s="34" t="s">
        <v>48</v>
      </c>
      <c r="M299" s="33" t="n">
        <f>118900</f>
        <v>118900.0</v>
      </c>
      <c r="N299" s="34" t="s">
        <v>70</v>
      </c>
      <c r="O299" s="33" t="n">
        <f>108800</f>
        <v>108800.0</v>
      </c>
      <c r="P299" s="34" t="s">
        <v>50</v>
      </c>
      <c r="Q299" s="33" t="n">
        <f>116900</f>
        <v>116900.0</v>
      </c>
      <c r="R299" s="34" t="s">
        <v>51</v>
      </c>
      <c r="S299" s="35" t="n">
        <f>113726.09</f>
        <v>113726.09</v>
      </c>
      <c r="T299" s="32" t="n">
        <f>33641</f>
        <v>33641.0</v>
      </c>
      <c r="U299" s="32" t="n">
        <f>5763</f>
        <v>5763.0</v>
      </c>
      <c r="V299" s="32" t="n">
        <f>3831394915</f>
        <v>3.831394915E9</v>
      </c>
      <c r="W299" s="32" t="n">
        <f>652520615</f>
        <v>6.52520615E8</v>
      </c>
      <c r="X299" s="36" t="n">
        <f>23</f>
        <v>23.0</v>
      </c>
    </row>
    <row r="300">
      <c r="A300" s="27" t="s">
        <v>42</v>
      </c>
      <c r="B300" s="27" t="s">
        <v>952</v>
      </c>
      <c r="C300" s="27" t="s">
        <v>953</v>
      </c>
      <c r="D300" s="27" t="s">
        <v>954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161200</f>
        <v>161200.0</v>
      </c>
      <c r="L300" s="34" t="s">
        <v>48</v>
      </c>
      <c r="M300" s="33" t="n">
        <f>178100</f>
        <v>178100.0</v>
      </c>
      <c r="N300" s="34" t="s">
        <v>49</v>
      </c>
      <c r="O300" s="33" t="n">
        <f>159800</f>
        <v>159800.0</v>
      </c>
      <c r="P300" s="34" t="s">
        <v>50</v>
      </c>
      <c r="Q300" s="33" t="n">
        <f>166400</f>
        <v>166400.0</v>
      </c>
      <c r="R300" s="34" t="s">
        <v>51</v>
      </c>
      <c r="S300" s="35" t="n">
        <f>167713.04</f>
        <v>167713.04</v>
      </c>
      <c r="T300" s="32" t="n">
        <f>453543</f>
        <v>453543.0</v>
      </c>
      <c r="U300" s="32" t="n">
        <f>99115</f>
        <v>99115.0</v>
      </c>
      <c r="V300" s="32" t="n">
        <f>76361507697</f>
        <v>7.6361507697E10</v>
      </c>
      <c r="W300" s="32" t="n">
        <f>16638212497</f>
        <v>1.6638212497E10</v>
      </c>
      <c r="X300" s="36" t="n">
        <f>23</f>
        <v>23.0</v>
      </c>
    </row>
    <row r="301">
      <c r="A301" s="27" t="s">
        <v>42</v>
      </c>
      <c r="B301" s="27" t="s">
        <v>955</v>
      </c>
      <c r="C301" s="27" t="s">
        <v>956</v>
      </c>
      <c r="D301" s="27" t="s">
        <v>957</v>
      </c>
      <c r="E301" s="28" t="s">
        <v>46</v>
      </c>
      <c r="F301" s="29" t="s">
        <v>46</v>
      </c>
      <c r="G301" s="30" t="s">
        <v>46</v>
      </c>
      <c r="H301" s="31"/>
      <c r="I301" s="31" t="s">
        <v>636</v>
      </c>
      <c r="J301" s="32" t="n">
        <v>1.0</v>
      </c>
      <c r="K301" s="33" t="n">
        <f>92200</f>
        <v>92200.0</v>
      </c>
      <c r="L301" s="34" t="s">
        <v>48</v>
      </c>
      <c r="M301" s="33" t="n">
        <f>92900</f>
        <v>92900.0</v>
      </c>
      <c r="N301" s="34" t="s">
        <v>48</v>
      </c>
      <c r="O301" s="33" t="n">
        <f>80000</f>
        <v>80000.0</v>
      </c>
      <c r="P301" s="34" t="s">
        <v>50</v>
      </c>
      <c r="Q301" s="33" t="n">
        <f>84600</f>
        <v>84600.0</v>
      </c>
      <c r="R301" s="34" t="s">
        <v>51</v>
      </c>
      <c r="S301" s="35" t="n">
        <f>85969.57</f>
        <v>85969.57</v>
      </c>
      <c r="T301" s="32" t="n">
        <f>48053</f>
        <v>48053.0</v>
      </c>
      <c r="U301" s="32" t="n">
        <f>3020</f>
        <v>3020.0</v>
      </c>
      <c r="V301" s="32" t="n">
        <f>4128415958</f>
        <v>4.128415958E9</v>
      </c>
      <c r="W301" s="32" t="n">
        <f>258852558</f>
        <v>2.58852558E8</v>
      </c>
      <c r="X301" s="36" t="n">
        <f>23</f>
        <v>23.0</v>
      </c>
    </row>
    <row r="302">
      <c r="A302" s="27" t="s">
        <v>42</v>
      </c>
      <c r="B302" s="27" t="s">
        <v>958</v>
      </c>
      <c r="C302" s="27" t="s">
        <v>959</v>
      </c>
      <c r="D302" s="27" t="s">
        <v>960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160700</f>
        <v>160700.0</v>
      </c>
      <c r="L302" s="34" t="s">
        <v>48</v>
      </c>
      <c r="M302" s="33" t="n">
        <f>170900</f>
        <v>170900.0</v>
      </c>
      <c r="N302" s="34" t="s">
        <v>51</v>
      </c>
      <c r="O302" s="33" t="n">
        <f>147600</f>
        <v>147600.0</v>
      </c>
      <c r="P302" s="34" t="s">
        <v>75</v>
      </c>
      <c r="Q302" s="33" t="n">
        <f>167800</f>
        <v>167800.0</v>
      </c>
      <c r="R302" s="34" t="s">
        <v>51</v>
      </c>
      <c r="S302" s="35" t="n">
        <f>159434.78</f>
        <v>159434.78</v>
      </c>
      <c r="T302" s="32" t="n">
        <f>199354</f>
        <v>199354.0</v>
      </c>
      <c r="U302" s="32" t="n">
        <f>42073</f>
        <v>42073.0</v>
      </c>
      <c r="V302" s="32" t="n">
        <f>31544022969</f>
        <v>3.1544022969E10</v>
      </c>
      <c r="W302" s="32" t="n">
        <f>6640701669</f>
        <v>6.640701669E9</v>
      </c>
      <c r="X302" s="36" t="n">
        <f>23</f>
        <v>23.0</v>
      </c>
    </row>
    <row r="303">
      <c r="A303" s="27" t="s">
        <v>42</v>
      </c>
      <c r="B303" s="27" t="s">
        <v>961</v>
      </c>
      <c r="C303" s="27" t="s">
        <v>962</v>
      </c>
      <c r="D303" s="27" t="s">
        <v>963</v>
      </c>
      <c r="E303" s="28" t="s">
        <v>46</v>
      </c>
      <c r="F303" s="29" t="s">
        <v>46</v>
      </c>
      <c r="G303" s="30" t="s">
        <v>46</v>
      </c>
      <c r="H303" s="31"/>
      <c r="I303" s="31" t="s">
        <v>636</v>
      </c>
      <c r="J303" s="32" t="n">
        <v>1.0</v>
      </c>
      <c r="K303" s="33" t="n">
        <f>53800</f>
        <v>53800.0</v>
      </c>
      <c r="L303" s="34" t="s">
        <v>48</v>
      </c>
      <c r="M303" s="33" t="n">
        <f>54600</f>
        <v>54600.0</v>
      </c>
      <c r="N303" s="34" t="s">
        <v>179</v>
      </c>
      <c r="O303" s="33" t="n">
        <f>50900</f>
        <v>50900.0</v>
      </c>
      <c r="P303" s="34" t="s">
        <v>191</v>
      </c>
      <c r="Q303" s="33" t="n">
        <f>52600</f>
        <v>52600.0</v>
      </c>
      <c r="R303" s="34" t="s">
        <v>51</v>
      </c>
      <c r="S303" s="35" t="n">
        <f>52530.43</f>
        <v>52530.43</v>
      </c>
      <c r="T303" s="32" t="n">
        <f>155807</f>
        <v>155807.0</v>
      </c>
      <c r="U303" s="32" t="n">
        <f>30800</f>
        <v>30800.0</v>
      </c>
      <c r="V303" s="32" t="n">
        <f>8222460209</f>
        <v>8.222460209E9</v>
      </c>
      <c r="W303" s="32" t="n">
        <f>1627704809</f>
        <v>1.627704809E9</v>
      </c>
      <c r="X303" s="36" t="n">
        <f>23</f>
        <v>23.0</v>
      </c>
    </row>
    <row r="304">
      <c r="A304" s="27" t="s">
        <v>42</v>
      </c>
      <c r="B304" s="27" t="s">
        <v>964</v>
      </c>
      <c r="C304" s="27" t="s">
        <v>965</v>
      </c>
      <c r="D304" s="27" t="s">
        <v>966</v>
      </c>
      <c r="E304" s="28" t="s">
        <v>46</v>
      </c>
      <c r="F304" s="29" t="s">
        <v>46</v>
      </c>
      <c r="G304" s="30" t="s">
        <v>46</v>
      </c>
      <c r="H304" s="31"/>
      <c r="I304" s="31" t="s">
        <v>636</v>
      </c>
      <c r="J304" s="32" t="n">
        <v>1.0</v>
      </c>
      <c r="K304" s="33" t="n">
        <f>120800</f>
        <v>120800.0</v>
      </c>
      <c r="L304" s="34" t="s">
        <v>48</v>
      </c>
      <c r="M304" s="33" t="n">
        <f>124800</f>
        <v>124800.0</v>
      </c>
      <c r="N304" s="34" t="s">
        <v>51</v>
      </c>
      <c r="O304" s="33" t="n">
        <f>115500</f>
        <v>115500.0</v>
      </c>
      <c r="P304" s="34" t="s">
        <v>50</v>
      </c>
      <c r="Q304" s="33" t="n">
        <f>123200</f>
        <v>123200.0</v>
      </c>
      <c r="R304" s="34" t="s">
        <v>51</v>
      </c>
      <c r="S304" s="35" t="n">
        <f>121021.74</f>
        <v>121021.74</v>
      </c>
      <c r="T304" s="32" t="n">
        <f>13279</f>
        <v>13279.0</v>
      </c>
      <c r="U304" s="32" t="n">
        <f>1242</f>
        <v>1242.0</v>
      </c>
      <c r="V304" s="32" t="n">
        <f>1604103632</f>
        <v>1.604103632E9</v>
      </c>
      <c r="W304" s="32" t="n">
        <f>149959232</f>
        <v>1.49959232E8</v>
      </c>
      <c r="X304" s="36" t="n">
        <f>23</f>
        <v>23.0</v>
      </c>
    </row>
    <row r="305">
      <c r="A305" s="27" t="s">
        <v>42</v>
      </c>
      <c r="B305" s="27" t="s">
        <v>967</v>
      </c>
      <c r="C305" s="27" t="s">
        <v>968</v>
      </c>
      <c r="D305" s="27" t="s">
        <v>969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516000</f>
        <v>516000.0</v>
      </c>
      <c r="L305" s="34" t="s">
        <v>48</v>
      </c>
      <c r="M305" s="33" t="n">
        <f>557000</f>
        <v>557000.0</v>
      </c>
      <c r="N305" s="34" t="s">
        <v>51</v>
      </c>
      <c r="O305" s="33" t="n">
        <f>464000</f>
        <v>464000.0</v>
      </c>
      <c r="P305" s="34" t="s">
        <v>75</v>
      </c>
      <c r="Q305" s="33" t="n">
        <f>547000</f>
        <v>547000.0</v>
      </c>
      <c r="R305" s="34" t="s">
        <v>51</v>
      </c>
      <c r="S305" s="35" t="n">
        <f>514000</f>
        <v>514000.0</v>
      </c>
      <c r="T305" s="32" t="n">
        <f>81276</f>
        <v>81276.0</v>
      </c>
      <c r="U305" s="32" t="n">
        <f>15339</f>
        <v>15339.0</v>
      </c>
      <c r="V305" s="32" t="n">
        <f>41870599569</f>
        <v>4.1870599569E10</v>
      </c>
      <c r="W305" s="32" t="n">
        <f>7953352569</f>
        <v>7.953352569E9</v>
      </c>
      <c r="X305" s="36" t="n">
        <f>23</f>
        <v>23.0</v>
      </c>
    </row>
    <row r="306">
      <c r="A306" s="27" t="s">
        <v>42</v>
      </c>
      <c r="B306" s="27" t="s">
        <v>970</v>
      </c>
      <c r="C306" s="27" t="s">
        <v>971</v>
      </c>
      <c r="D306" s="27" t="s">
        <v>972</v>
      </c>
      <c r="E306" s="28" t="s">
        <v>46</v>
      </c>
      <c r="F306" s="29" t="s">
        <v>46</v>
      </c>
      <c r="G306" s="30" t="s">
        <v>46</v>
      </c>
      <c r="H306" s="31"/>
      <c r="I306" s="31" t="s">
        <v>636</v>
      </c>
      <c r="J306" s="32" t="n">
        <v>1.0</v>
      </c>
      <c r="K306" s="33" t="n">
        <f>79100</f>
        <v>79100.0</v>
      </c>
      <c r="L306" s="34" t="s">
        <v>48</v>
      </c>
      <c r="M306" s="33" t="n">
        <f>82600</f>
        <v>82600.0</v>
      </c>
      <c r="N306" s="34" t="s">
        <v>49</v>
      </c>
      <c r="O306" s="33" t="n">
        <f>75500</f>
        <v>75500.0</v>
      </c>
      <c r="P306" s="34" t="s">
        <v>50</v>
      </c>
      <c r="Q306" s="33" t="n">
        <f>80400</f>
        <v>80400.0</v>
      </c>
      <c r="R306" s="34" t="s">
        <v>51</v>
      </c>
      <c r="S306" s="35" t="n">
        <f>79147.83</f>
        <v>79147.83</v>
      </c>
      <c r="T306" s="32" t="n">
        <f>30472</f>
        <v>30472.0</v>
      </c>
      <c r="U306" s="32" t="n">
        <f>2614</f>
        <v>2614.0</v>
      </c>
      <c r="V306" s="32" t="n">
        <f>2416538918</f>
        <v>2.416538918E9</v>
      </c>
      <c r="W306" s="32" t="n">
        <f>205439218</f>
        <v>2.05439218E8</v>
      </c>
      <c r="X306" s="36" t="n">
        <f>23</f>
        <v>23.0</v>
      </c>
    </row>
    <row r="307">
      <c r="A307" s="27" t="s">
        <v>42</v>
      </c>
      <c r="B307" s="27" t="s">
        <v>973</v>
      </c>
      <c r="C307" s="27" t="s">
        <v>974</v>
      </c>
      <c r="D307" s="27" t="s">
        <v>975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45100</f>
        <v>45100.0</v>
      </c>
      <c r="L307" s="34" t="s">
        <v>48</v>
      </c>
      <c r="M307" s="33" t="n">
        <f>48800</f>
        <v>48800.0</v>
      </c>
      <c r="N307" s="34" t="s">
        <v>149</v>
      </c>
      <c r="O307" s="33" t="n">
        <f>42950</f>
        <v>42950.0</v>
      </c>
      <c r="P307" s="34" t="s">
        <v>50</v>
      </c>
      <c r="Q307" s="33" t="n">
        <f>48050</f>
        <v>48050.0</v>
      </c>
      <c r="R307" s="34" t="s">
        <v>51</v>
      </c>
      <c r="S307" s="35" t="n">
        <f>46054.35</f>
        <v>46054.35</v>
      </c>
      <c r="T307" s="32" t="n">
        <f>237643</f>
        <v>237643.0</v>
      </c>
      <c r="U307" s="32" t="n">
        <f>20562</f>
        <v>20562.0</v>
      </c>
      <c r="V307" s="32" t="n">
        <f>10990616380</f>
        <v>1.099061638E10</v>
      </c>
      <c r="W307" s="32" t="n">
        <f>941151330</f>
        <v>9.4115133E8</v>
      </c>
      <c r="X307" s="36" t="n">
        <f>23</f>
        <v>23.0</v>
      </c>
    </row>
    <row r="308">
      <c r="A308" s="27" t="s">
        <v>42</v>
      </c>
      <c r="B308" s="27" t="s">
        <v>976</v>
      </c>
      <c r="C308" s="27" t="s">
        <v>977</v>
      </c>
      <c r="D308" s="27" t="s">
        <v>978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133100</f>
        <v>133100.0</v>
      </c>
      <c r="L308" s="34" t="s">
        <v>48</v>
      </c>
      <c r="M308" s="33" t="n">
        <f>141000</f>
        <v>141000.0</v>
      </c>
      <c r="N308" s="34" t="s">
        <v>51</v>
      </c>
      <c r="O308" s="33" t="n">
        <f>127600</f>
        <v>127600.0</v>
      </c>
      <c r="P308" s="34" t="s">
        <v>89</v>
      </c>
      <c r="Q308" s="33" t="n">
        <f>138300</f>
        <v>138300.0</v>
      </c>
      <c r="R308" s="34" t="s">
        <v>51</v>
      </c>
      <c r="S308" s="35" t="n">
        <f>134195.65</f>
        <v>134195.65</v>
      </c>
      <c r="T308" s="32" t="n">
        <f>34682</f>
        <v>34682.0</v>
      </c>
      <c r="U308" s="32" t="n">
        <f>5909</f>
        <v>5909.0</v>
      </c>
      <c r="V308" s="32" t="n">
        <f>4649055699</f>
        <v>4.649055699E9</v>
      </c>
      <c r="W308" s="32" t="n">
        <f>789544099</f>
        <v>7.89544099E8</v>
      </c>
      <c r="X308" s="36" t="n">
        <f>23</f>
        <v>23.0</v>
      </c>
    </row>
    <row r="309">
      <c r="A309" s="27" t="s">
        <v>42</v>
      </c>
      <c r="B309" s="27" t="s">
        <v>979</v>
      </c>
      <c r="C309" s="27" t="s">
        <v>980</v>
      </c>
      <c r="D309" s="27" t="s">
        <v>981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421500</f>
        <v>421500.0</v>
      </c>
      <c r="L309" s="34" t="s">
        <v>48</v>
      </c>
      <c r="M309" s="33" t="n">
        <f>444000</f>
        <v>444000.0</v>
      </c>
      <c r="N309" s="34" t="s">
        <v>51</v>
      </c>
      <c r="O309" s="33" t="n">
        <f>387000</f>
        <v>387000.0</v>
      </c>
      <c r="P309" s="34" t="s">
        <v>75</v>
      </c>
      <c r="Q309" s="33" t="n">
        <f>435000</f>
        <v>435000.0</v>
      </c>
      <c r="R309" s="34" t="s">
        <v>51</v>
      </c>
      <c r="S309" s="35" t="n">
        <f>413108.7</f>
        <v>413108.7</v>
      </c>
      <c r="T309" s="32" t="n">
        <f>85024</f>
        <v>85024.0</v>
      </c>
      <c r="U309" s="32" t="n">
        <f>12865</f>
        <v>12865.0</v>
      </c>
      <c r="V309" s="32" t="n">
        <f>34840476129</f>
        <v>3.4840476129E10</v>
      </c>
      <c r="W309" s="32" t="n">
        <f>5241418129</f>
        <v>5.241418129E9</v>
      </c>
      <c r="X309" s="36" t="n">
        <f>23</f>
        <v>23.0</v>
      </c>
    </row>
    <row r="310">
      <c r="A310" s="27" t="s">
        <v>42</v>
      </c>
      <c r="B310" s="27" t="s">
        <v>982</v>
      </c>
      <c r="C310" s="27" t="s">
        <v>983</v>
      </c>
      <c r="D310" s="27" t="s">
        <v>984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154200</f>
        <v>154200.0</v>
      </c>
      <c r="L310" s="34" t="s">
        <v>48</v>
      </c>
      <c r="M310" s="33" t="n">
        <f>173300</f>
        <v>173300.0</v>
      </c>
      <c r="N310" s="34" t="s">
        <v>51</v>
      </c>
      <c r="O310" s="33" t="n">
        <f>147500</f>
        <v>147500.0</v>
      </c>
      <c r="P310" s="34" t="s">
        <v>75</v>
      </c>
      <c r="Q310" s="33" t="n">
        <f>171300</f>
        <v>171300.0</v>
      </c>
      <c r="R310" s="34" t="s">
        <v>51</v>
      </c>
      <c r="S310" s="35" t="n">
        <f>157369.57</f>
        <v>157369.57</v>
      </c>
      <c r="T310" s="32" t="n">
        <f>75320</f>
        <v>75320.0</v>
      </c>
      <c r="U310" s="32" t="n">
        <f>10583</f>
        <v>10583.0</v>
      </c>
      <c r="V310" s="32" t="n">
        <f>11850500321</f>
        <v>1.1850500321E10</v>
      </c>
      <c r="W310" s="32" t="n">
        <f>1651666721</f>
        <v>1.651666721E9</v>
      </c>
      <c r="X310" s="36" t="n">
        <f>23</f>
        <v>23.0</v>
      </c>
    </row>
    <row r="311">
      <c r="A311" s="27" t="s">
        <v>42</v>
      </c>
      <c r="B311" s="27" t="s">
        <v>985</v>
      </c>
      <c r="C311" s="27" t="s">
        <v>986</v>
      </c>
      <c r="D311" s="27" t="s">
        <v>987</v>
      </c>
      <c r="E311" s="28" t="s">
        <v>46</v>
      </c>
      <c r="F311" s="29" t="s">
        <v>46</v>
      </c>
      <c r="G311" s="30" t="s">
        <v>46</v>
      </c>
      <c r="H311" s="31"/>
      <c r="I311" s="31" t="s">
        <v>636</v>
      </c>
      <c r="J311" s="32" t="n">
        <v>1.0</v>
      </c>
      <c r="K311" s="33" t="n">
        <f>107800</f>
        <v>107800.0</v>
      </c>
      <c r="L311" s="34" t="s">
        <v>48</v>
      </c>
      <c r="M311" s="33" t="n">
        <f>111900</f>
        <v>111900.0</v>
      </c>
      <c r="N311" s="34" t="s">
        <v>51</v>
      </c>
      <c r="O311" s="33" t="n">
        <f>104000</f>
        <v>104000.0</v>
      </c>
      <c r="P311" s="34" t="s">
        <v>74</v>
      </c>
      <c r="Q311" s="33" t="n">
        <f>109900</f>
        <v>109900.0</v>
      </c>
      <c r="R311" s="34" t="s">
        <v>51</v>
      </c>
      <c r="S311" s="35" t="n">
        <f>107739.13</f>
        <v>107739.13</v>
      </c>
      <c r="T311" s="32" t="n">
        <f>32348</f>
        <v>32348.0</v>
      </c>
      <c r="U311" s="32" t="n">
        <f>3281</f>
        <v>3281.0</v>
      </c>
      <c r="V311" s="32" t="n">
        <f>3480022462</f>
        <v>3.480022462E9</v>
      </c>
      <c r="W311" s="32" t="n">
        <f>351456962</f>
        <v>3.51456962E8</v>
      </c>
      <c r="X311" s="36" t="n">
        <f>23</f>
        <v>23.0</v>
      </c>
    </row>
    <row r="312">
      <c r="A312" s="27" t="s">
        <v>42</v>
      </c>
      <c r="B312" s="27" t="s">
        <v>988</v>
      </c>
      <c r="C312" s="27" t="s">
        <v>989</v>
      </c>
      <c r="D312" s="27" t="s">
        <v>990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107000</f>
        <v>107000.0</v>
      </c>
      <c r="L312" s="34" t="s">
        <v>48</v>
      </c>
      <c r="M312" s="33" t="n">
        <f>111500</f>
        <v>111500.0</v>
      </c>
      <c r="N312" s="34" t="s">
        <v>49</v>
      </c>
      <c r="O312" s="33" t="n">
        <f>102000</f>
        <v>102000.0</v>
      </c>
      <c r="P312" s="34" t="s">
        <v>50</v>
      </c>
      <c r="Q312" s="33" t="n">
        <f>109100</f>
        <v>109100.0</v>
      </c>
      <c r="R312" s="34" t="s">
        <v>51</v>
      </c>
      <c r="S312" s="35" t="n">
        <f>107295.65</f>
        <v>107295.65</v>
      </c>
      <c r="T312" s="32" t="n">
        <f>68122</f>
        <v>68122.0</v>
      </c>
      <c r="U312" s="32" t="n">
        <f>7430</f>
        <v>7430.0</v>
      </c>
      <c r="V312" s="32" t="n">
        <f>7316028086</f>
        <v>7.316028086E9</v>
      </c>
      <c r="W312" s="32" t="n">
        <f>794572886</f>
        <v>7.94572886E8</v>
      </c>
      <c r="X312" s="36" t="n">
        <f>23</f>
        <v>23.0</v>
      </c>
    </row>
    <row r="313">
      <c r="A313" s="27" t="s">
        <v>42</v>
      </c>
      <c r="B313" s="27" t="s">
        <v>991</v>
      </c>
      <c r="C313" s="27" t="s">
        <v>992</v>
      </c>
      <c r="D313" s="27" t="s">
        <v>993</v>
      </c>
      <c r="E313" s="28" t="s">
        <v>46</v>
      </c>
      <c r="F313" s="29" t="s">
        <v>46</v>
      </c>
      <c r="G313" s="30" t="s">
        <v>46</v>
      </c>
      <c r="H313" s="31"/>
      <c r="I313" s="31" t="s">
        <v>636</v>
      </c>
      <c r="J313" s="32" t="n">
        <v>1.0</v>
      </c>
      <c r="K313" s="33" t="n">
        <f>130800</f>
        <v>130800.0</v>
      </c>
      <c r="L313" s="34" t="s">
        <v>48</v>
      </c>
      <c r="M313" s="33" t="n">
        <f>141000</f>
        <v>141000.0</v>
      </c>
      <c r="N313" s="34" t="s">
        <v>51</v>
      </c>
      <c r="O313" s="33" t="n">
        <f>125700</f>
        <v>125700.0</v>
      </c>
      <c r="P313" s="34" t="s">
        <v>74</v>
      </c>
      <c r="Q313" s="33" t="n">
        <f>138800</f>
        <v>138800.0</v>
      </c>
      <c r="R313" s="34" t="s">
        <v>51</v>
      </c>
      <c r="S313" s="35" t="n">
        <f>133221.74</f>
        <v>133221.74</v>
      </c>
      <c r="T313" s="32" t="n">
        <f>81307</f>
        <v>81307.0</v>
      </c>
      <c r="U313" s="32" t="n">
        <f>11782</f>
        <v>11782.0</v>
      </c>
      <c r="V313" s="32" t="n">
        <f>10805180336</f>
        <v>1.0805180336E10</v>
      </c>
      <c r="W313" s="32" t="n">
        <f>1555788336</f>
        <v>1.555788336E9</v>
      </c>
      <c r="X313" s="36" t="n">
        <f>23</f>
        <v>23.0</v>
      </c>
    </row>
    <row r="314">
      <c r="A314" s="27" t="s">
        <v>42</v>
      </c>
      <c r="B314" s="27" t="s">
        <v>994</v>
      </c>
      <c r="C314" s="27" t="s">
        <v>995</v>
      </c>
      <c r="D314" s="27" t="s">
        <v>996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658000</f>
        <v>658000.0</v>
      </c>
      <c r="L314" s="34" t="s">
        <v>48</v>
      </c>
      <c r="M314" s="33" t="n">
        <f>689000</f>
        <v>689000.0</v>
      </c>
      <c r="N314" s="34" t="s">
        <v>406</v>
      </c>
      <c r="O314" s="33" t="n">
        <f>635000</f>
        <v>635000.0</v>
      </c>
      <c r="P314" s="34" t="s">
        <v>62</v>
      </c>
      <c r="Q314" s="33" t="n">
        <f>651000</f>
        <v>651000.0</v>
      </c>
      <c r="R314" s="34" t="s">
        <v>51</v>
      </c>
      <c r="S314" s="35" t="n">
        <f>660434.78</f>
        <v>660434.78</v>
      </c>
      <c r="T314" s="32" t="n">
        <f>199101</f>
        <v>199101.0</v>
      </c>
      <c r="U314" s="32" t="n">
        <f>39979</f>
        <v>39979.0</v>
      </c>
      <c r="V314" s="32" t="n">
        <f>131621514161</f>
        <v>1.31621514161E11</v>
      </c>
      <c r="W314" s="32" t="n">
        <f>26431436161</f>
        <v>2.6431436161E10</v>
      </c>
      <c r="X314" s="36" t="n">
        <f>23</f>
        <v>23.0</v>
      </c>
    </row>
    <row r="315">
      <c r="A315" s="27" t="s">
        <v>42</v>
      </c>
      <c r="B315" s="27" t="s">
        <v>997</v>
      </c>
      <c r="C315" s="27" t="s">
        <v>998</v>
      </c>
      <c r="D315" s="27" t="s">
        <v>999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659000</f>
        <v>659000.0</v>
      </c>
      <c r="L315" s="34" t="s">
        <v>48</v>
      </c>
      <c r="M315" s="33" t="n">
        <f>691000</f>
        <v>691000.0</v>
      </c>
      <c r="N315" s="34" t="s">
        <v>406</v>
      </c>
      <c r="O315" s="33" t="n">
        <f>649000</f>
        <v>649000.0</v>
      </c>
      <c r="P315" s="34" t="s">
        <v>62</v>
      </c>
      <c r="Q315" s="33" t="n">
        <f>653000</f>
        <v>653000.0</v>
      </c>
      <c r="R315" s="34" t="s">
        <v>51</v>
      </c>
      <c r="S315" s="35" t="n">
        <f>664956.52</f>
        <v>664956.52</v>
      </c>
      <c r="T315" s="32" t="n">
        <f>156975</f>
        <v>156975.0</v>
      </c>
      <c r="U315" s="32" t="n">
        <f>33854</f>
        <v>33854.0</v>
      </c>
      <c r="V315" s="32" t="n">
        <f>104578387542</f>
        <v>1.04578387542E11</v>
      </c>
      <c r="W315" s="32" t="n">
        <f>22541186542</f>
        <v>2.2541186542E10</v>
      </c>
      <c r="X315" s="36" t="n">
        <f>23</f>
        <v>23.0</v>
      </c>
    </row>
    <row r="316">
      <c r="A316" s="27" t="s">
        <v>42</v>
      </c>
      <c r="B316" s="27" t="s">
        <v>1000</v>
      </c>
      <c r="C316" s="27" t="s">
        <v>1001</v>
      </c>
      <c r="D316" s="27" t="s">
        <v>1002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105500</f>
        <v>105500.0</v>
      </c>
      <c r="L316" s="34" t="s">
        <v>48</v>
      </c>
      <c r="M316" s="33" t="n">
        <f>116200</f>
        <v>116200.0</v>
      </c>
      <c r="N316" s="34" t="s">
        <v>51</v>
      </c>
      <c r="O316" s="33" t="n">
        <f>99300</f>
        <v>99300.0</v>
      </c>
      <c r="P316" s="34" t="s">
        <v>61</v>
      </c>
      <c r="Q316" s="33" t="n">
        <f>113100</f>
        <v>113100.0</v>
      </c>
      <c r="R316" s="34" t="s">
        <v>51</v>
      </c>
      <c r="S316" s="35" t="n">
        <f>107865.22</f>
        <v>107865.22</v>
      </c>
      <c r="T316" s="32" t="n">
        <f>791821</f>
        <v>791821.0</v>
      </c>
      <c r="U316" s="32" t="n">
        <f>152599</f>
        <v>152599.0</v>
      </c>
      <c r="V316" s="32" t="n">
        <f>84892689993</f>
        <v>8.4892689993E10</v>
      </c>
      <c r="W316" s="32" t="n">
        <f>16314011893</f>
        <v>1.6314011893E10</v>
      </c>
      <c r="X316" s="36" t="n">
        <f>23</f>
        <v>23.0</v>
      </c>
    </row>
    <row r="317">
      <c r="A317" s="27" t="s">
        <v>42</v>
      </c>
      <c r="B317" s="27" t="s">
        <v>1003</v>
      </c>
      <c r="C317" s="27" t="s">
        <v>1004</v>
      </c>
      <c r="D317" s="27" t="s">
        <v>1005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182800</f>
        <v>182800.0</v>
      </c>
      <c r="L317" s="34" t="s">
        <v>48</v>
      </c>
      <c r="M317" s="33" t="n">
        <f>197600</f>
        <v>197600.0</v>
      </c>
      <c r="N317" s="34" t="s">
        <v>51</v>
      </c>
      <c r="O317" s="33" t="n">
        <f>174500</f>
        <v>174500.0</v>
      </c>
      <c r="P317" s="34" t="s">
        <v>74</v>
      </c>
      <c r="Q317" s="33" t="n">
        <f>192400</f>
        <v>192400.0</v>
      </c>
      <c r="R317" s="34" t="s">
        <v>51</v>
      </c>
      <c r="S317" s="35" t="n">
        <f>185369.57</f>
        <v>185369.57</v>
      </c>
      <c r="T317" s="32" t="n">
        <f>289915</f>
        <v>289915.0</v>
      </c>
      <c r="U317" s="32" t="n">
        <f>65167</f>
        <v>65167.0</v>
      </c>
      <c r="V317" s="32" t="n">
        <f>53676549952</f>
        <v>5.3676549952E10</v>
      </c>
      <c r="W317" s="32" t="n">
        <f>12010897252</f>
        <v>1.2010897252E10</v>
      </c>
      <c r="X317" s="36" t="n">
        <f>23</f>
        <v>23.0</v>
      </c>
    </row>
    <row r="318">
      <c r="A318" s="27" t="s">
        <v>42</v>
      </c>
      <c r="B318" s="27" t="s">
        <v>1006</v>
      </c>
      <c r="C318" s="27" t="s">
        <v>1007</v>
      </c>
      <c r="D318" s="27" t="s">
        <v>1008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385500</f>
        <v>385500.0</v>
      </c>
      <c r="L318" s="34" t="s">
        <v>48</v>
      </c>
      <c r="M318" s="33" t="n">
        <f>424500</f>
        <v>424500.0</v>
      </c>
      <c r="N318" s="34" t="s">
        <v>51</v>
      </c>
      <c r="O318" s="33" t="n">
        <f>382000</f>
        <v>382000.0</v>
      </c>
      <c r="P318" s="34" t="s">
        <v>75</v>
      </c>
      <c r="Q318" s="33" t="n">
        <f>413000</f>
        <v>413000.0</v>
      </c>
      <c r="R318" s="34" t="s">
        <v>51</v>
      </c>
      <c r="S318" s="35" t="n">
        <f>398239.13</f>
        <v>398239.13</v>
      </c>
      <c r="T318" s="32" t="n">
        <f>93723</f>
        <v>93723.0</v>
      </c>
      <c r="U318" s="32" t="n">
        <f>21176</f>
        <v>21176.0</v>
      </c>
      <c r="V318" s="32" t="n">
        <f>37292144786</f>
        <v>3.7292144786E10</v>
      </c>
      <c r="W318" s="32" t="n">
        <f>8391778786</f>
        <v>8.391778786E9</v>
      </c>
      <c r="X318" s="36" t="n">
        <f>23</f>
        <v>23.0</v>
      </c>
    </row>
    <row r="319">
      <c r="A319" s="27" t="s">
        <v>42</v>
      </c>
      <c r="B319" s="27" t="s">
        <v>1009</v>
      </c>
      <c r="C319" s="27" t="s">
        <v>1010</v>
      </c>
      <c r="D319" s="27" t="s">
        <v>1011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144900</f>
        <v>144900.0</v>
      </c>
      <c r="L319" s="34" t="s">
        <v>48</v>
      </c>
      <c r="M319" s="33" t="n">
        <f>162000</f>
        <v>162000.0</v>
      </c>
      <c r="N319" s="34" t="s">
        <v>51</v>
      </c>
      <c r="O319" s="33" t="n">
        <f>141000</f>
        <v>141000.0</v>
      </c>
      <c r="P319" s="34" t="s">
        <v>50</v>
      </c>
      <c r="Q319" s="33" t="n">
        <f>158100</f>
        <v>158100.0</v>
      </c>
      <c r="R319" s="34" t="s">
        <v>51</v>
      </c>
      <c r="S319" s="35" t="n">
        <f>149865.22</f>
        <v>149865.22</v>
      </c>
      <c r="T319" s="32" t="n">
        <f>130706</f>
        <v>130706.0</v>
      </c>
      <c r="U319" s="32" t="n">
        <f>30603</f>
        <v>30603.0</v>
      </c>
      <c r="V319" s="32" t="n">
        <f>19574448577</f>
        <v>1.9574448577E10</v>
      </c>
      <c r="W319" s="32" t="n">
        <f>4543146977</f>
        <v>4.543146977E9</v>
      </c>
      <c r="X319" s="36" t="n">
        <f>23</f>
        <v>23.0</v>
      </c>
    </row>
    <row r="320">
      <c r="A320" s="27" t="s">
        <v>42</v>
      </c>
      <c r="B320" s="27" t="s">
        <v>1012</v>
      </c>
      <c r="C320" s="27" t="s">
        <v>1013</v>
      </c>
      <c r="D320" s="27" t="s">
        <v>1014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182300</f>
        <v>182300.0</v>
      </c>
      <c r="L320" s="34" t="s">
        <v>48</v>
      </c>
      <c r="M320" s="33" t="n">
        <f>187800</f>
        <v>187800.0</v>
      </c>
      <c r="N320" s="34" t="s">
        <v>406</v>
      </c>
      <c r="O320" s="33" t="n">
        <f>173500</f>
        <v>173500.0</v>
      </c>
      <c r="P320" s="34" t="s">
        <v>75</v>
      </c>
      <c r="Q320" s="33" t="n">
        <f>180900</f>
        <v>180900.0</v>
      </c>
      <c r="R320" s="34" t="s">
        <v>51</v>
      </c>
      <c r="S320" s="35" t="n">
        <f>179800</f>
        <v>179800.0</v>
      </c>
      <c r="T320" s="32" t="n">
        <f>93724</f>
        <v>93724.0</v>
      </c>
      <c r="U320" s="32" t="n">
        <f>17327</f>
        <v>17327.0</v>
      </c>
      <c r="V320" s="32" t="n">
        <f>16896679492</f>
        <v>1.6896679492E10</v>
      </c>
      <c r="W320" s="32" t="n">
        <f>3116196992</f>
        <v>3.116196992E9</v>
      </c>
      <c r="X320" s="36" t="n">
        <f>23</f>
        <v>23.0</v>
      </c>
    </row>
    <row r="321">
      <c r="A321" s="27" t="s">
        <v>42</v>
      </c>
      <c r="B321" s="27" t="s">
        <v>1015</v>
      </c>
      <c r="C321" s="27" t="s">
        <v>1016</v>
      </c>
      <c r="D321" s="27" t="s">
        <v>1017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117400</f>
        <v>117400.0</v>
      </c>
      <c r="L321" s="34" t="s">
        <v>48</v>
      </c>
      <c r="M321" s="33" t="n">
        <f>127200</f>
        <v>127200.0</v>
      </c>
      <c r="N321" s="34" t="s">
        <v>82</v>
      </c>
      <c r="O321" s="33" t="n">
        <f>115400</f>
        <v>115400.0</v>
      </c>
      <c r="P321" s="34" t="s">
        <v>50</v>
      </c>
      <c r="Q321" s="33" t="n">
        <f>120600</f>
        <v>120600.0</v>
      </c>
      <c r="R321" s="34" t="s">
        <v>51</v>
      </c>
      <c r="S321" s="35" t="n">
        <f>120852.17</f>
        <v>120852.17</v>
      </c>
      <c r="T321" s="32" t="n">
        <f>108807</f>
        <v>108807.0</v>
      </c>
      <c r="U321" s="32" t="n">
        <f>20015</f>
        <v>20015.0</v>
      </c>
      <c r="V321" s="32" t="n">
        <f>13162937906</f>
        <v>1.3162937906E10</v>
      </c>
      <c r="W321" s="32" t="n">
        <f>2409239406</f>
        <v>2.409239406E9</v>
      </c>
      <c r="X321" s="36" t="n">
        <f>23</f>
        <v>23.0</v>
      </c>
    </row>
    <row r="322">
      <c r="A322" s="27" t="s">
        <v>42</v>
      </c>
      <c r="B322" s="27" t="s">
        <v>1018</v>
      </c>
      <c r="C322" s="27" t="s">
        <v>1019</v>
      </c>
      <c r="D322" s="27" t="s">
        <v>1020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147200</f>
        <v>147200.0</v>
      </c>
      <c r="L322" s="34" t="s">
        <v>48</v>
      </c>
      <c r="M322" s="33" t="n">
        <f>153000</f>
        <v>153000.0</v>
      </c>
      <c r="N322" s="34" t="s">
        <v>49</v>
      </c>
      <c r="O322" s="33" t="n">
        <f>143600</f>
        <v>143600.0</v>
      </c>
      <c r="P322" s="34" t="s">
        <v>50</v>
      </c>
      <c r="Q322" s="33" t="n">
        <f>148600</f>
        <v>148600.0</v>
      </c>
      <c r="R322" s="34" t="s">
        <v>51</v>
      </c>
      <c r="S322" s="35" t="n">
        <f>147860.87</f>
        <v>147860.87</v>
      </c>
      <c r="T322" s="32" t="n">
        <f>389700</f>
        <v>389700.0</v>
      </c>
      <c r="U322" s="32" t="n">
        <f>63039</f>
        <v>63039.0</v>
      </c>
      <c r="V322" s="32" t="n">
        <f>57766356832</f>
        <v>5.7766356832E10</v>
      </c>
      <c r="W322" s="32" t="n">
        <f>9314483232</f>
        <v>9.314483232E9</v>
      </c>
      <c r="X322" s="36" t="n">
        <f>23</f>
        <v>23.0</v>
      </c>
    </row>
    <row r="323">
      <c r="A323" s="27" t="s">
        <v>42</v>
      </c>
      <c r="B323" s="27" t="s">
        <v>1021</v>
      </c>
      <c r="C323" s="27" t="s">
        <v>1022</v>
      </c>
      <c r="D323" s="27" t="s">
        <v>1023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151200</f>
        <v>151200.0</v>
      </c>
      <c r="L323" s="34" t="s">
        <v>48</v>
      </c>
      <c r="M323" s="33" t="n">
        <f>161400</f>
        <v>161400.0</v>
      </c>
      <c r="N323" s="34" t="s">
        <v>175</v>
      </c>
      <c r="O323" s="33" t="n">
        <f>149500</f>
        <v>149500.0</v>
      </c>
      <c r="P323" s="34" t="s">
        <v>61</v>
      </c>
      <c r="Q323" s="33" t="n">
        <f>155300</f>
        <v>155300.0</v>
      </c>
      <c r="R323" s="34" t="s">
        <v>51</v>
      </c>
      <c r="S323" s="35" t="n">
        <f>154386.96</f>
        <v>154386.96</v>
      </c>
      <c r="T323" s="32" t="n">
        <f>134037</f>
        <v>134037.0</v>
      </c>
      <c r="U323" s="32" t="n">
        <f>22718</f>
        <v>22718.0</v>
      </c>
      <c r="V323" s="32" t="n">
        <f>20735774271</f>
        <v>2.0735774271E10</v>
      </c>
      <c r="W323" s="32" t="n">
        <f>3497599471</f>
        <v>3.497599471E9</v>
      </c>
      <c r="X323" s="36" t="n">
        <f>23</f>
        <v>23.0</v>
      </c>
    </row>
    <row r="324">
      <c r="A324" s="27" t="s">
        <v>42</v>
      </c>
      <c r="B324" s="27" t="s">
        <v>1024</v>
      </c>
      <c r="C324" s="27" t="s">
        <v>1025</v>
      </c>
      <c r="D324" s="27" t="s">
        <v>1026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42850</f>
        <v>42850.0</v>
      </c>
      <c r="L324" s="34" t="s">
        <v>48</v>
      </c>
      <c r="M324" s="33" t="n">
        <f>43450</f>
        <v>43450.0</v>
      </c>
      <c r="N324" s="34" t="s">
        <v>48</v>
      </c>
      <c r="O324" s="33" t="n">
        <f>39150</f>
        <v>39150.0</v>
      </c>
      <c r="P324" s="34" t="s">
        <v>74</v>
      </c>
      <c r="Q324" s="33" t="n">
        <f>41750</f>
        <v>41750.0</v>
      </c>
      <c r="R324" s="34" t="s">
        <v>51</v>
      </c>
      <c r="S324" s="35" t="n">
        <f>41006.52</f>
        <v>41006.52</v>
      </c>
      <c r="T324" s="32" t="n">
        <f>1624211</f>
        <v>1624211.0</v>
      </c>
      <c r="U324" s="32" t="n">
        <f>203195</f>
        <v>203195.0</v>
      </c>
      <c r="V324" s="32" t="n">
        <f>66314198430</f>
        <v>6.631419843E10</v>
      </c>
      <c r="W324" s="32" t="n">
        <f>8301748930</f>
        <v>8.30174893E9</v>
      </c>
      <c r="X324" s="36" t="n">
        <f>23</f>
        <v>23.0</v>
      </c>
    </row>
    <row r="325">
      <c r="A325" s="27" t="s">
        <v>42</v>
      </c>
      <c r="B325" s="27" t="s">
        <v>1027</v>
      </c>
      <c r="C325" s="27" t="s">
        <v>1028</v>
      </c>
      <c r="D325" s="27" t="s">
        <v>1029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471000</f>
        <v>471000.0</v>
      </c>
      <c r="L325" s="34" t="s">
        <v>48</v>
      </c>
      <c r="M325" s="33" t="n">
        <f>483000</f>
        <v>483000.0</v>
      </c>
      <c r="N325" s="34" t="s">
        <v>179</v>
      </c>
      <c r="O325" s="33" t="n">
        <f>455000</f>
        <v>455000.0</v>
      </c>
      <c r="P325" s="34" t="s">
        <v>75</v>
      </c>
      <c r="Q325" s="33" t="n">
        <f>471500</f>
        <v>471500.0</v>
      </c>
      <c r="R325" s="34" t="s">
        <v>51</v>
      </c>
      <c r="S325" s="35" t="n">
        <f>465913.04</f>
        <v>465913.04</v>
      </c>
      <c r="T325" s="32" t="n">
        <f>48150</f>
        <v>48150.0</v>
      </c>
      <c r="U325" s="32" t="n">
        <f>8900</f>
        <v>8900.0</v>
      </c>
      <c r="V325" s="32" t="n">
        <f>22411764080</f>
        <v>2.241176408E10</v>
      </c>
      <c r="W325" s="32" t="n">
        <f>4145327080</f>
        <v>4.14532708E9</v>
      </c>
      <c r="X325" s="36" t="n">
        <f>23</f>
        <v>23.0</v>
      </c>
    </row>
    <row r="326">
      <c r="A326" s="27" t="s">
        <v>42</v>
      </c>
      <c r="B326" s="27" t="s">
        <v>1030</v>
      </c>
      <c r="C326" s="27" t="s">
        <v>1031</v>
      </c>
      <c r="D326" s="27" t="s">
        <v>1032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155400</f>
        <v>155400.0</v>
      </c>
      <c r="L326" s="34" t="s">
        <v>48</v>
      </c>
      <c r="M326" s="33" t="n">
        <f>159900</f>
        <v>159900.0</v>
      </c>
      <c r="N326" s="34" t="s">
        <v>179</v>
      </c>
      <c r="O326" s="33" t="n">
        <f>143300</f>
        <v>143300.0</v>
      </c>
      <c r="P326" s="34" t="s">
        <v>50</v>
      </c>
      <c r="Q326" s="33" t="n">
        <f>155400</f>
        <v>155400.0</v>
      </c>
      <c r="R326" s="34" t="s">
        <v>51</v>
      </c>
      <c r="S326" s="35" t="n">
        <f>151378.26</f>
        <v>151378.26</v>
      </c>
      <c r="T326" s="32" t="n">
        <f>95669</f>
        <v>95669.0</v>
      </c>
      <c r="U326" s="32" t="n">
        <f>16287</f>
        <v>16287.0</v>
      </c>
      <c r="V326" s="32" t="n">
        <f>14475956775</f>
        <v>1.4475956775E10</v>
      </c>
      <c r="W326" s="32" t="n">
        <f>2447926775</f>
        <v>2.447926775E9</v>
      </c>
      <c r="X326" s="36" t="n">
        <f>23</f>
        <v>23.0</v>
      </c>
    </row>
    <row r="327">
      <c r="A327" s="27" t="s">
        <v>42</v>
      </c>
      <c r="B327" s="27" t="s">
        <v>1033</v>
      </c>
      <c r="C327" s="27" t="s">
        <v>1034</v>
      </c>
      <c r="D327" s="27" t="s">
        <v>1035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316000</f>
        <v>316000.0</v>
      </c>
      <c r="L327" s="34" t="s">
        <v>48</v>
      </c>
      <c r="M327" s="33" t="n">
        <f>321000</f>
        <v>321000.0</v>
      </c>
      <c r="N327" s="34" t="s">
        <v>179</v>
      </c>
      <c r="O327" s="33" t="n">
        <f>288800</f>
        <v>288800.0</v>
      </c>
      <c r="P327" s="34" t="s">
        <v>75</v>
      </c>
      <c r="Q327" s="33" t="n">
        <f>312000</f>
        <v>312000.0</v>
      </c>
      <c r="R327" s="34" t="s">
        <v>51</v>
      </c>
      <c r="S327" s="35" t="n">
        <f>304152.17</f>
        <v>304152.17</v>
      </c>
      <c r="T327" s="32" t="n">
        <f>94192</f>
        <v>94192.0</v>
      </c>
      <c r="U327" s="32" t="n">
        <f>20115</f>
        <v>20115.0</v>
      </c>
      <c r="V327" s="32" t="n">
        <f>28592261431</f>
        <v>2.8592261431E10</v>
      </c>
      <c r="W327" s="32" t="n">
        <f>6107797331</f>
        <v>6.107797331E9</v>
      </c>
      <c r="X327" s="36" t="n">
        <f>23</f>
        <v>23.0</v>
      </c>
    </row>
    <row r="328">
      <c r="A328" s="27" t="s">
        <v>42</v>
      </c>
      <c r="B328" s="27" t="s">
        <v>1036</v>
      </c>
      <c r="C328" s="27" t="s">
        <v>1037</v>
      </c>
      <c r="D328" s="27" t="s">
        <v>1038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169000</f>
        <v>169000.0</v>
      </c>
      <c r="L328" s="34" t="s">
        <v>48</v>
      </c>
      <c r="M328" s="33" t="n">
        <f>177400</f>
        <v>177400.0</v>
      </c>
      <c r="N328" s="34" t="s">
        <v>51</v>
      </c>
      <c r="O328" s="33" t="n">
        <f>162400</f>
        <v>162400.0</v>
      </c>
      <c r="P328" s="34" t="s">
        <v>50</v>
      </c>
      <c r="Q328" s="33" t="n">
        <f>173800</f>
        <v>173800.0</v>
      </c>
      <c r="R328" s="34" t="s">
        <v>51</v>
      </c>
      <c r="S328" s="35" t="n">
        <f>168760.87</f>
        <v>168760.87</v>
      </c>
      <c r="T328" s="32" t="n">
        <f>70378</f>
        <v>70378.0</v>
      </c>
      <c r="U328" s="32" t="n">
        <f>10223</f>
        <v>10223.0</v>
      </c>
      <c r="V328" s="32" t="n">
        <f>11892253492</f>
        <v>1.1892253492E10</v>
      </c>
      <c r="W328" s="32" t="n">
        <f>1721482992</f>
        <v>1.721482992E9</v>
      </c>
      <c r="X328" s="36" t="n">
        <f>23</f>
        <v>23.0</v>
      </c>
    </row>
    <row r="329">
      <c r="A329" s="27" t="s">
        <v>42</v>
      </c>
      <c r="B329" s="27" t="s">
        <v>1039</v>
      </c>
      <c r="C329" s="27" t="s">
        <v>1040</v>
      </c>
      <c r="D329" s="27" t="s">
        <v>1041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713000</f>
        <v>713000.0</v>
      </c>
      <c r="L329" s="34" t="s">
        <v>48</v>
      </c>
      <c r="M329" s="33" t="n">
        <f>796000</f>
        <v>796000.0</v>
      </c>
      <c r="N329" s="34" t="s">
        <v>51</v>
      </c>
      <c r="O329" s="33" t="n">
        <f>703000</f>
        <v>703000.0</v>
      </c>
      <c r="P329" s="34" t="s">
        <v>61</v>
      </c>
      <c r="Q329" s="33" t="n">
        <f>787000</f>
        <v>787000.0</v>
      </c>
      <c r="R329" s="34" t="s">
        <v>51</v>
      </c>
      <c r="S329" s="35" t="n">
        <f>749086.96</f>
        <v>749086.96</v>
      </c>
      <c r="T329" s="32" t="n">
        <f>55168</f>
        <v>55168.0</v>
      </c>
      <c r="U329" s="32" t="n">
        <f>12159</f>
        <v>12159.0</v>
      </c>
      <c r="V329" s="32" t="n">
        <f>41432481468</f>
        <v>4.1432481468E10</v>
      </c>
      <c r="W329" s="32" t="n">
        <f>9072985468</f>
        <v>9.072985468E9</v>
      </c>
      <c r="X329" s="36" t="n">
        <f>23</f>
        <v>23.0</v>
      </c>
    </row>
    <row r="330">
      <c r="A330" s="27" t="s">
        <v>42</v>
      </c>
      <c r="B330" s="27" t="s">
        <v>1042</v>
      </c>
      <c r="C330" s="27" t="s">
        <v>1043</v>
      </c>
      <c r="D330" s="27" t="s">
        <v>1044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88500</f>
        <v>88500.0</v>
      </c>
      <c r="L330" s="34" t="s">
        <v>48</v>
      </c>
      <c r="M330" s="33" t="n">
        <f>97100</f>
        <v>97100.0</v>
      </c>
      <c r="N330" s="34" t="s">
        <v>51</v>
      </c>
      <c r="O330" s="33" t="n">
        <f>85100</f>
        <v>85100.0</v>
      </c>
      <c r="P330" s="34" t="s">
        <v>75</v>
      </c>
      <c r="Q330" s="33" t="n">
        <f>94800</f>
        <v>94800.0</v>
      </c>
      <c r="R330" s="34" t="s">
        <v>51</v>
      </c>
      <c r="S330" s="35" t="n">
        <f>89756.52</f>
        <v>89756.52</v>
      </c>
      <c r="T330" s="32" t="n">
        <f>115463</f>
        <v>115463.0</v>
      </c>
      <c r="U330" s="32" t="n">
        <f>20569</f>
        <v>20569.0</v>
      </c>
      <c r="V330" s="32" t="n">
        <f>10382252352</f>
        <v>1.0382252352E10</v>
      </c>
      <c r="W330" s="32" t="n">
        <f>1838954952</f>
        <v>1.838954952E9</v>
      </c>
      <c r="X330" s="36" t="n">
        <f>23</f>
        <v>23.0</v>
      </c>
    </row>
    <row r="331">
      <c r="A331" s="27" t="s">
        <v>42</v>
      </c>
      <c r="B331" s="27" t="s">
        <v>1045</v>
      </c>
      <c r="C331" s="27" t="s">
        <v>1046</v>
      </c>
      <c r="D331" s="27" t="s">
        <v>1047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731000</f>
        <v>731000.0</v>
      </c>
      <c r="L331" s="34" t="s">
        <v>48</v>
      </c>
      <c r="M331" s="33" t="n">
        <f>792000</f>
        <v>792000.0</v>
      </c>
      <c r="N331" s="34" t="s">
        <v>51</v>
      </c>
      <c r="O331" s="33" t="n">
        <f>719000</f>
        <v>719000.0</v>
      </c>
      <c r="P331" s="34" t="s">
        <v>74</v>
      </c>
      <c r="Q331" s="33" t="n">
        <f>779000</f>
        <v>779000.0</v>
      </c>
      <c r="R331" s="34" t="s">
        <v>51</v>
      </c>
      <c r="S331" s="35" t="n">
        <f>741695.65</f>
        <v>741695.65</v>
      </c>
      <c r="T331" s="32" t="n">
        <f>41456</f>
        <v>41456.0</v>
      </c>
      <c r="U331" s="32" t="n">
        <f>8119</f>
        <v>8119.0</v>
      </c>
      <c r="V331" s="32" t="n">
        <f>30689699778</f>
        <v>3.0689699778E10</v>
      </c>
      <c r="W331" s="32" t="n">
        <f>5991770778</f>
        <v>5.991770778E9</v>
      </c>
      <c r="X331" s="36" t="n">
        <f>23</f>
        <v>23.0</v>
      </c>
    </row>
    <row r="332">
      <c r="A332" s="27" t="s">
        <v>42</v>
      </c>
      <c r="B332" s="27" t="s">
        <v>1048</v>
      </c>
      <c r="C332" s="27" t="s">
        <v>1049</v>
      </c>
      <c r="D332" s="27" t="s">
        <v>1050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149000</f>
        <v>149000.0</v>
      </c>
      <c r="L332" s="34" t="s">
        <v>48</v>
      </c>
      <c r="M332" s="33" t="n">
        <f>152300</f>
        <v>152300.0</v>
      </c>
      <c r="N332" s="34" t="s">
        <v>51</v>
      </c>
      <c r="O332" s="33" t="n">
        <f>142700</f>
        <v>142700.0</v>
      </c>
      <c r="P332" s="34" t="s">
        <v>74</v>
      </c>
      <c r="Q332" s="33" t="n">
        <f>151000</f>
        <v>151000.0</v>
      </c>
      <c r="R332" s="34" t="s">
        <v>51</v>
      </c>
      <c r="S332" s="35" t="n">
        <f>147330.43</f>
        <v>147330.43</v>
      </c>
      <c r="T332" s="32" t="n">
        <f>54678</f>
        <v>54678.0</v>
      </c>
      <c r="U332" s="32" t="n">
        <f>8241</f>
        <v>8241.0</v>
      </c>
      <c r="V332" s="32" t="n">
        <f>8063166415</f>
        <v>8.063166415E9</v>
      </c>
      <c r="W332" s="32" t="n">
        <f>1213927515</f>
        <v>1.213927515E9</v>
      </c>
      <c r="X332" s="36" t="n">
        <f>23</f>
        <v>23.0</v>
      </c>
    </row>
    <row r="333">
      <c r="A333" s="27" t="s">
        <v>42</v>
      </c>
      <c r="B333" s="27" t="s">
        <v>1051</v>
      </c>
      <c r="C333" s="27" t="s">
        <v>1052</v>
      </c>
      <c r="D333" s="27" t="s">
        <v>1053</v>
      </c>
      <c r="E333" s="28" t="s">
        <v>46</v>
      </c>
      <c r="F333" s="29" t="s">
        <v>46</v>
      </c>
      <c r="G333" s="30" t="s">
        <v>46</v>
      </c>
      <c r="H333" s="31"/>
      <c r="I333" s="31" t="s">
        <v>636</v>
      </c>
      <c r="J333" s="32" t="n">
        <v>1.0</v>
      </c>
      <c r="K333" s="33" t="n">
        <f>216300</f>
        <v>216300.0</v>
      </c>
      <c r="L333" s="34" t="s">
        <v>48</v>
      </c>
      <c r="M333" s="33" t="n">
        <f>227800</f>
        <v>227800.0</v>
      </c>
      <c r="N333" s="34" t="s">
        <v>51</v>
      </c>
      <c r="O333" s="33" t="n">
        <f>208700</f>
        <v>208700.0</v>
      </c>
      <c r="P333" s="34" t="s">
        <v>74</v>
      </c>
      <c r="Q333" s="33" t="n">
        <f>224900</f>
        <v>224900.0</v>
      </c>
      <c r="R333" s="34" t="s">
        <v>51</v>
      </c>
      <c r="S333" s="35" t="n">
        <f>218678.26</f>
        <v>218678.26</v>
      </c>
      <c r="T333" s="32" t="n">
        <f>20773</f>
        <v>20773.0</v>
      </c>
      <c r="U333" s="32" t="n">
        <f>3008</f>
        <v>3008.0</v>
      </c>
      <c r="V333" s="32" t="n">
        <f>4556408900</f>
        <v>4.5564089E9</v>
      </c>
      <c r="W333" s="32" t="n">
        <f>656071100</f>
        <v>6.560711E8</v>
      </c>
      <c r="X333" s="36" t="n">
        <f>23</f>
        <v>23.0</v>
      </c>
    </row>
    <row r="334">
      <c r="A334" s="27" t="s">
        <v>42</v>
      </c>
      <c r="B334" s="27" t="s">
        <v>1054</v>
      </c>
      <c r="C334" s="27" t="s">
        <v>1055</v>
      </c>
      <c r="D334" s="27" t="s">
        <v>1056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281600</f>
        <v>281600.0</v>
      </c>
      <c r="L334" s="34" t="s">
        <v>48</v>
      </c>
      <c r="M334" s="33" t="n">
        <f>305500</f>
        <v>305500.0</v>
      </c>
      <c r="N334" s="34" t="s">
        <v>51</v>
      </c>
      <c r="O334" s="33" t="n">
        <f>271200</f>
        <v>271200.0</v>
      </c>
      <c r="P334" s="34" t="s">
        <v>75</v>
      </c>
      <c r="Q334" s="33" t="n">
        <f>297100</f>
        <v>297100.0</v>
      </c>
      <c r="R334" s="34" t="s">
        <v>51</v>
      </c>
      <c r="S334" s="35" t="n">
        <f>286113.04</f>
        <v>286113.04</v>
      </c>
      <c r="T334" s="32" t="n">
        <f>197654</f>
        <v>197654.0</v>
      </c>
      <c r="U334" s="32" t="n">
        <f>44800</f>
        <v>44800.0</v>
      </c>
      <c r="V334" s="32" t="n">
        <f>56452954833</f>
        <v>5.6452954833E10</v>
      </c>
      <c r="W334" s="32" t="n">
        <f>12725937533</f>
        <v>1.2725937533E10</v>
      </c>
      <c r="X334" s="36" t="n">
        <f>23</f>
        <v>23.0</v>
      </c>
    </row>
    <row r="335">
      <c r="A335" s="27" t="s">
        <v>42</v>
      </c>
      <c r="B335" s="27" t="s">
        <v>1057</v>
      </c>
      <c r="C335" s="27" t="s">
        <v>1058</v>
      </c>
      <c r="D335" s="27" t="s">
        <v>1059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66100</f>
        <v>66100.0</v>
      </c>
      <c r="L335" s="34" t="s">
        <v>48</v>
      </c>
      <c r="M335" s="33" t="n">
        <f>67100</f>
        <v>67100.0</v>
      </c>
      <c r="N335" s="34" t="s">
        <v>48</v>
      </c>
      <c r="O335" s="33" t="n">
        <f>59200</f>
        <v>59200.0</v>
      </c>
      <c r="P335" s="34" t="s">
        <v>406</v>
      </c>
      <c r="Q335" s="33" t="n">
        <f>62300</f>
        <v>62300.0</v>
      </c>
      <c r="R335" s="34" t="s">
        <v>51</v>
      </c>
      <c r="S335" s="35" t="n">
        <f>62426.09</f>
        <v>62426.09</v>
      </c>
      <c r="T335" s="32" t="n">
        <f>920215</f>
        <v>920215.0</v>
      </c>
      <c r="U335" s="32" t="n">
        <f>247621</f>
        <v>247621.0</v>
      </c>
      <c r="V335" s="32" t="n">
        <f>57454973864</f>
        <v>5.7454973864E10</v>
      </c>
      <c r="W335" s="32" t="n">
        <f>15503432864</f>
        <v>1.5503432864E10</v>
      </c>
      <c r="X335" s="36" t="n">
        <f>23</f>
        <v>23.0</v>
      </c>
    </row>
    <row r="336">
      <c r="A336" s="27" t="s">
        <v>42</v>
      </c>
      <c r="B336" s="27" t="s">
        <v>1060</v>
      </c>
      <c r="C336" s="27" t="s">
        <v>1061</v>
      </c>
      <c r="D336" s="27" t="s">
        <v>1062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103700</f>
        <v>103700.0</v>
      </c>
      <c r="L336" s="34" t="s">
        <v>48</v>
      </c>
      <c r="M336" s="33" t="n">
        <f>111400</f>
        <v>111400.0</v>
      </c>
      <c r="N336" s="34" t="s">
        <v>406</v>
      </c>
      <c r="O336" s="33" t="n">
        <f>101700</f>
        <v>101700.0</v>
      </c>
      <c r="P336" s="34" t="s">
        <v>48</v>
      </c>
      <c r="Q336" s="33" t="n">
        <f>108600</f>
        <v>108600.0</v>
      </c>
      <c r="R336" s="34" t="s">
        <v>51</v>
      </c>
      <c r="S336" s="35" t="n">
        <f>106460.87</f>
        <v>106460.87</v>
      </c>
      <c r="T336" s="32" t="n">
        <f>236669</f>
        <v>236669.0</v>
      </c>
      <c r="U336" s="32" t="n">
        <f>58080</f>
        <v>58080.0</v>
      </c>
      <c r="V336" s="32" t="n">
        <f>25194489386</f>
        <v>2.5194489386E10</v>
      </c>
      <c r="W336" s="32" t="n">
        <f>6156264986</f>
        <v>6.156264986E9</v>
      </c>
      <c r="X336" s="36" t="n">
        <f>23</f>
        <v>23.0</v>
      </c>
    </row>
    <row r="337">
      <c r="A337" s="27" t="s">
        <v>42</v>
      </c>
      <c r="B337" s="27" t="s">
        <v>1063</v>
      </c>
      <c r="C337" s="27" t="s">
        <v>1064</v>
      </c>
      <c r="D337" s="27" t="s">
        <v>1065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138500</f>
        <v>138500.0</v>
      </c>
      <c r="L337" s="34" t="s">
        <v>48</v>
      </c>
      <c r="M337" s="33" t="n">
        <f>147100</f>
        <v>147100.0</v>
      </c>
      <c r="N337" s="34" t="s">
        <v>51</v>
      </c>
      <c r="O337" s="33" t="n">
        <f>131100</f>
        <v>131100.0</v>
      </c>
      <c r="P337" s="34" t="s">
        <v>75</v>
      </c>
      <c r="Q337" s="33" t="n">
        <f>143400</f>
        <v>143400.0</v>
      </c>
      <c r="R337" s="34" t="s">
        <v>51</v>
      </c>
      <c r="S337" s="35" t="n">
        <f>137552.17</f>
        <v>137552.17</v>
      </c>
      <c r="T337" s="32" t="n">
        <f>148741</f>
        <v>148741.0</v>
      </c>
      <c r="U337" s="32" t="n">
        <f>27657</f>
        <v>27657.0</v>
      </c>
      <c r="V337" s="32" t="n">
        <f>20446635040</f>
        <v>2.044663504E10</v>
      </c>
      <c r="W337" s="32" t="n">
        <f>3796904040</f>
        <v>3.79690404E9</v>
      </c>
      <c r="X337" s="36" t="n">
        <f>23</f>
        <v>23.0</v>
      </c>
    </row>
    <row r="338">
      <c r="A338" s="27" t="s">
        <v>42</v>
      </c>
      <c r="B338" s="27" t="s">
        <v>1066</v>
      </c>
      <c r="C338" s="27" t="s">
        <v>1067</v>
      </c>
      <c r="D338" s="27" t="s">
        <v>1068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118300</f>
        <v>118300.0</v>
      </c>
      <c r="L338" s="34" t="s">
        <v>48</v>
      </c>
      <c r="M338" s="33" t="n">
        <f>122800</f>
        <v>122800.0</v>
      </c>
      <c r="N338" s="34" t="s">
        <v>51</v>
      </c>
      <c r="O338" s="33" t="n">
        <f>117500</f>
        <v>117500.0</v>
      </c>
      <c r="P338" s="34" t="s">
        <v>50</v>
      </c>
      <c r="Q338" s="33" t="n">
        <f>122800</f>
        <v>122800.0</v>
      </c>
      <c r="R338" s="34" t="s">
        <v>51</v>
      </c>
      <c r="S338" s="35" t="n">
        <f>120004.35</f>
        <v>120004.35</v>
      </c>
      <c r="T338" s="32" t="n">
        <f>9544</f>
        <v>9544.0</v>
      </c>
      <c r="U338" s="32" t="n">
        <f>553</f>
        <v>553.0</v>
      </c>
      <c r="V338" s="32" t="n">
        <f>1144331835</f>
        <v>1.144331835E9</v>
      </c>
      <c r="W338" s="32" t="n">
        <f>65138835</f>
        <v>6.5138835E7</v>
      </c>
      <c r="X338" s="36" t="n">
        <f>23</f>
        <v>23.0</v>
      </c>
    </row>
    <row r="339">
      <c r="A339" s="27" t="s">
        <v>42</v>
      </c>
      <c r="B339" s="27" t="s">
        <v>1069</v>
      </c>
      <c r="C339" s="27" t="s">
        <v>1070</v>
      </c>
      <c r="D339" s="27" t="s">
        <v>1071</v>
      </c>
      <c r="E339" s="28" t="s">
        <v>46</v>
      </c>
      <c r="F339" s="29" t="s">
        <v>46</v>
      </c>
      <c r="G339" s="30" t="s">
        <v>46</v>
      </c>
      <c r="H339" s="31"/>
      <c r="I339" s="31" t="s">
        <v>636</v>
      </c>
      <c r="J339" s="32" t="n">
        <v>1.0</v>
      </c>
      <c r="K339" s="33" t="n">
        <f>66600</f>
        <v>66600.0</v>
      </c>
      <c r="L339" s="34" t="s">
        <v>48</v>
      </c>
      <c r="M339" s="33" t="n">
        <f>68900</f>
        <v>68900.0</v>
      </c>
      <c r="N339" s="34" t="s">
        <v>51</v>
      </c>
      <c r="O339" s="33" t="n">
        <f>64900</f>
        <v>64900.0</v>
      </c>
      <c r="P339" s="34" t="s">
        <v>50</v>
      </c>
      <c r="Q339" s="33" t="n">
        <f>68400</f>
        <v>68400.0</v>
      </c>
      <c r="R339" s="34" t="s">
        <v>51</v>
      </c>
      <c r="S339" s="35" t="n">
        <f>66947.83</f>
        <v>66947.83</v>
      </c>
      <c r="T339" s="32" t="n">
        <f>4899</f>
        <v>4899.0</v>
      </c>
      <c r="U339" s="32" t="n">
        <f>11</f>
        <v>11.0</v>
      </c>
      <c r="V339" s="32" t="n">
        <f>328022300</f>
        <v>3.280223E8</v>
      </c>
      <c r="W339" s="32" t="n">
        <f>737700</f>
        <v>737700.0</v>
      </c>
      <c r="X339" s="36" t="n">
        <f>23</f>
        <v>23.0</v>
      </c>
    </row>
    <row r="340">
      <c r="A340" s="27" t="s">
        <v>42</v>
      </c>
      <c r="B340" s="27" t="s">
        <v>1072</v>
      </c>
      <c r="C340" s="27" t="s">
        <v>1073</v>
      </c>
      <c r="D340" s="27" t="s">
        <v>1074</v>
      </c>
      <c r="E340" s="28" t="s">
        <v>46</v>
      </c>
      <c r="F340" s="29" t="s">
        <v>46</v>
      </c>
      <c r="G340" s="30" t="s">
        <v>46</v>
      </c>
      <c r="H340" s="31"/>
      <c r="I340" s="31" t="s">
        <v>636</v>
      </c>
      <c r="J340" s="32" t="n">
        <v>1.0</v>
      </c>
      <c r="K340" s="33" t="n">
        <f>104000</f>
        <v>104000.0</v>
      </c>
      <c r="L340" s="34" t="s">
        <v>48</v>
      </c>
      <c r="M340" s="33" t="n">
        <f>107700</f>
        <v>107700.0</v>
      </c>
      <c r="N340" s="34" t="s">
        <v>51</v>
      </c>
      <c r="O340" s="33" t="n">
        <f>103200</f>
        <v>103200.0</v>
      </c>
      <c r="P340" s="34" t="s">
        <v>187</v>
      </c>
      <c r="Q340" s="33" t="n">
        <f>107200</f>
        <v>107200.0</v>
      </c>
      <c r="R340" s="34" t="s">
        <v>51</v>
      </c>
      <c r="S340" s="35" t="n">
        <f>104821.74</f>
        <v>104821.74</v>
      </c>
      <c r="T340" s="32" t="n">
        <f>13157</f>
        <v>13157.0</v>
      </c>
      <c r="U340" s="32" t="n">
        <f>1220</f>
        <v>1220.0</v>
      </c>
      <c r="V340" s="32" t="n">
        <f>1378066660</f>
        <v>1.37806666E9</v>
      </c>
      <c r="W340" s="32" t="n">
        <f>127445960</f>
        <v>1.2744596E8</v>
      </c>
      <c r="X340" s="36" t="n">
        <f>23</f>
        <v>23.0</v>
      </c>
    </row>
    <row r="341">
      <c r="A341" s="27" t="s">
        <v>42</v>
      </c>
      <c r="B341" s="27" t="s">
        <v>1075</v>
      </c>
      <c r="C341" s="27" t="s">
        <v>1076</v>
      </c>
      <c r="D341" s="27" t="s">
        <v>1077</v>
      </c>
      <c r="E341" s="28" t="s">
        <v>46</v>
      </c>
      <c r="F341" s="29" t="s">
        <v>46</v>
      </c>
      <c r="G341" s="30" t="s">
        <v>46</v>
      </c>
      <c r="H341" s="31"/>
      <c r="I341" s="31" t="s">
        <v>636</v>
      </c>
      <c r="J341" s="32" t="n">
        <v>1.0</v>
      </c>
      <c r="K341" s="33" t="n">
        <f>132900</f>
        <v>132900.0</v>
      </c>
      <c r="L341" s="34" t="s">
        <v>48</v>
      </c>
      <c r="M341" s="33" t="n">
        <f>134200</f>
        <v>134200.0</v>
      </c>
      <c r="N341" s="34" t="s">
        <v>48</v>
      </c>
      <c r="O341" s="33" t="n">
        <f>124200</f>
        <v>124200.0</v>
      </c>
      <c r="P341" s="34" t="s">
        <v>50</v>
      </c>
      <c r="Q341" s="33" t="n">
        <f>126200</f>
        <v>126200.0</v>
      </c>
      <c r="R341" s="34" t="s">
        <v>51</v>
      </c>
      <c r="S341" s="35" t="n">
        <f>125900</f>
        <v>125900.0</v>
      </c>
      <c r="T341" s="32" t="n">
        <f>52016</f>
        <v>52016.0</v>
      </c>
      <c r="U341" s="32" t="n">
        <f>3390</f>
        <v>3390.0</v>
      </c>
      <c r="V341" s="32" t="n">
        <f>6538375796</f>
        <v>6.538375796E9</v>
      </c>
      <c r="W341" s="32" t="n">
        <f>427269696</f>
        <v>4.27269696E8</v>
      </c>
      <c r="X341" s="36" t="n">
        <f>23</f>
        <v>23.0</v>
      </c>
    </row>
    <row r="342">
      <c r="A342" s="27" t="s">
        <v>42</v>
      </c>
      <c r="B342" s="27" t="s">
        <v>1078</v>
      </c>
      <c r="C342" s="27" t="s">
        <v>1079</v>
      </c>
      <c r="D342" s="27" t="s">
        <v>1080</v>
      </c>
      <c r="E342" s="28" t="s">
        <v>46</v>
      </c>
      <c r="F342" s="29" t="s">
        <v>46</v>
      </c>
      <c r="G342" s="30" t="s">
        <v>46</v>
      </c>
      <c r="H342" s="31"/>
      <c r="I342" s="31" t="s">
        <v>636</v>
      </c>
      <c r="J342" s="32" t="n">
        <v>1.0</v>
      </c>
      <c r="K342" s="33" t="n">
        <f>97300</f>
        <v>97300.0</v>
      </c>
      <c r="L342" s="34" t="s">
        <v>48</v>
      </c>
      <c r="M342" s="33" t="n">
        <f>101000</f>
        <v>101000.0</v>
      </c>
      <c r="N342" s="34" t="s">
        <v>93</v>
      </c>
      <c r="O342" s="33" t="n">
        <f>96100</f>
        <v>96100.0</v>
      </c>
      <c r="P342" s="34" t="s">
        <v>50</v>
      </c>
      <c r="Q342" s="33" t="n">
        <f>100300</f>
        <v>100300.0</v>
      </c>
      <c r="R342" s="34" t="s">
        <v>51</v>
      </c>
      <c r="S342" s="35" t="n">
        <f>98356.52</f>
        <v>98356.52</v>
      </c>
      <c r="T342" s="32" t="n">
        <f>9173</f>
        <v>9173.0</v>
      </c>
      <c r="U342" s="32" t="n">
        <f>408</f>
        <v>408.0</v>
      </c>
      <c r="V342" s="32" t="n">
        <f>903345579</f>
        <v>9.03345579E8</v>
      </c>
      <c r="W342" s="32" t="n">
        <f>40183879</f>
        <v>4.0183879E7</v>
      </c>
      <c r="X342" s="36" t="n">
        <f>23</f>
        <v>23.0</v>
      </c>
    </row>
    <row r="343">
      <c r="A343" s="27" t="s">
        <v>42</v>
      </c>
      <c r="B343" s="27" t="s">
        <v>1081</v>
      </c>
      <c r="C343" s="27" t="s">
        <v>1082</v>
      </c>
      <c r="D343" s="27" t="s">
        <v>1083</v>
      </c>
      <c r="E343" s="28" t="s">
        <v>46</v>
      </c>
      <c r="F343" s="29" t="s">
        <v>46</v>
      </c>
      <c r="G343" s="30" t="s">
        <v>46</v>
      </c>
      <c r="H343" s="31"/>
      <c r="I343" s="31" t="s">
        <v>636</v>
      </c>
      <c r="J343" s="32" t="n">
        <v>1.0</v>
      </c>
      <c r="K343" s="33" t="n">
        <f>89800</f>
        <v>89800.0</v>
      </c>
      <c r="L343" s="34" t="s">
        <v>48</v>
      </c>
      <c r="M343" s="33" t="n">
        <f>94800</f>
        <v>94800.0</v>
      </c>
      <c r="N343" s="34" t="s">
        <v>51</v>
      </c>
      <c r="O343" s="33" t="n">
        <f>88900</f>
        <v>88900.0</v>
      </c>
      <c r="P343" s="34" t="s">
        <v>50</v>
      </c>
      <c r="Q343" s="33" t="n">
        <f>94200</f>
        <v>94200.0</v>
      </c>
      <c r="R343" s="34" t="s">
        <v>51</v>
      </c>
      <c r="S343" s="35" t="n">
        <f>90469.57</f>
        <v>90469.57</v>
      </c>
      <c r="T343" s="32" t="n">
        <f>53968</f>
        <v>53968.0</v>
      </c>
      <c r="U343" s="32" t="n">
        <f>557</f>
        <v>557.0</v>
      </c>
      <c r="V343" s="32" t="n">
        <f>4881184720</f>
        <v>4.88118472E9</v>
      </c>
      <c r="W343" s="32" t="n">
        <f>50417820</f>
        <v>5.041782E7</v>
      </c>
      <c r="X343" s="36" t="n">
        <f>23</f>
        <v>23.0</v>
      </c>
    </row>
    <row r="344">
      <c r="A344" s="27" t="s">
        <v>42</v>
      </c>
      <c r="B344" s="27" t="s">
        <v>1084</v>
      </c>
      <c r="C344" s="27" t="s">
        <v>1085</v>
      </c>
      <c r="D344" s="27" t="s">
        <v>1086</v>
      </c>
      <c r="E344" s="28" t="s">
        <v>46</v>
      </c>
      <c r="F344" s="29" t="s">
        <v>46</v>
      </c>
      <c r="G344" s="30" t="s">
        <v>46</v>
      </c>
      <c r="H344" s="31"/>
      <c r="I344" s="31" t="s">
        <v>636</v>
      </c>
      <c r="J344" s="32" t="n">
        <v>1.0</v>
      </c>
      <c r="K344" s="33" t="n">
        <f>95100</f>
        <v>95100.0</v>
      </c>
      <c r="L344" s="34" t="s">
        <v>48</v>
      </c>
      <c r="M344" s="33" t="n">
        <f>100400</f>
        <v>100400.0</v>
      </c>
      <c r="N344" s="34" t="s">
        <v>51</v>
      </c>
      <c r="O344" s="33" t="n">
        <f>94500</f>
        <v>94500.0</v>
      </c>
      <c r="P344" s="34" t="s">
        <v>179</v>
      </c>
      <c r="Q344" s="33" t="n">
        <f>100000</f>
        <v>100000.0</v>
      </c>
      <c r="R344" s="34" t="s">
        <v>51</v>
      </c>
      <c r="S344" s="35" t="n">
        <f>96943.48</f>
        <v>96943.48</v>
      </c>
      <c r="T344" s="32" t="n">
        <f>12530</f>
        <v>12530.0</v>
      </c>
      <c r="U344" s="32" t="n">
        <f>660</f>
        <v>660.0</v>
      </c>
      <c r="V344" s="32" t="n">
        <f>1214842044</f>
        <v>1.214842044E9</v>
      </c>
      <c r="W344" s="32" t="n">
        <f>64517844</f>
        <v>6.4517844E7</v>
      </c>
      <c r="X344" s="36" t="n">
        <f>23</f>
        <v>23.0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