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EM0004" r:id="rId1" sheetId="1"/>
  </sheets>
  <definedNames>
    <definedName localSheetId="0" name="_xlnm.Print_Titles">BO_EM0004!$1:$6</definedName>
  </definedNames>
  <calcPr calcId="145621"/>
</workbook>
</file>

<file path=xl/sharedStrings.xml><?xml version="1.0" encoding="utf-8"?>
<sst xmlns="http://schemas.openxmlformats.org/spreadsheetml/2006/main" count="4109" uniqueCount="1079">
  <si>
    <t>(注) 1.信用：制度信用銘柄                  　　　　　　　　　　 (Notes) 1."信用"：Issues eligible for Standardized margin transactions.
     2.貸借：制度信用銘柄及び貸借銘柄                                   2."貸借"：Issues eligible for Standardized margin transactions and loan transactions.
     3.審　：監理銘柄（審査中）　確　：監理銘柄（確認中）               3."審""確""監"：Securities Under Supervision(Examination/Confirmation).
       監　：監理銘柄（審査中・確認中）                                   "整"　　　　：Securities to be Delisted.
       整　：整理銘柄</t>
    <phoneticPr fontId="3"/>
  </si>
  <si>
    <t>投　信　等　相　場　表</t>
    <rPh eb="1" sb="0">
      <t>トウ</t>
    </rPh>
    <rPh eb="3" sb="2">
      <t>シン</t>
    </rPh>
    <rPh eb="5" sb="4">
      <t>トウ</t>
    </rPh>
    <rPh eb="7" sb="6">
      <t>ソウ</t>
    </rPh>
    <rPh eb="9" sb="8">
      <t>バ</t>
    </rPh>
    <rPh eb="11" sb="10">
      <t>ヒョウ</t>
    </rPh>
    <phoneticPr fontId="3"/>
  </si>
  <si>
    <t>Investment Trust Quotations</t>
    <phoneticPr fontId="3"/>
  </si>
  <si>
    <t>年月</t>
  </si>
  <si>
    <t>銘柄コード</t>
    <rPh eb="2" sb="0">
      <t>メイガラ</t>
    </rPh>
    <phoneticPr fontId="3"/>
  </si>
  <si>
    <t>銘柄名称</t>
    <rPh eb="2" sb="0">
      <t>メイガラ</t>
    </rPh>
    <rPh eb="4" sb="2">
      <t>メイショウ</t>
    </rPh>
    <phoneticPr fontId="3"/>
  </si>
  <si>
    <t>Issues</t>
  </si>
  <si>
    <t>銘柄属性</t>
    <phoneticPr fontId="3"/>
  </si>
  <si>
    <t>Attribute</t>
    <phoneticPr fontId="3"/>
  </si>
  <si>
    <t>日付</t>
    <rPh eb="2" sb="0">
      <t>ヒヅケ</t>
    </rPh>
    <phoneticPr fontId="3"/>
  </si>
  <si>
    <t>区分</t>
  </si>
  <si>
    <t>信用・貸借</t>
    <rPh eb="2" sb="0">
      <t>シンヨウ</t>
    </rPh>
    <rPh eb="5" sb="3">
      <t>タイシャク</t>
    </rPh>
    <phoneticPr fontId="3"/>
  </si>
  <si>
    <t>売買単位</t>
    <rPh eb="2" sb="0">
      <t>バイバイ</t>
    </rPh>
    <rPh eb="4" sb="2">
      <t>タンイ</t>
    </rPh>
    <phoneticPr fontId="3"/>
  </si>
  <si>
    <t>始値</t>
    <rPh eb="2" sb="0">
      <t>ハジメネ</t>
    </rPh>
    <phoneticPr fontId="3"/>
  </si>
  <si>
    <t>高値</t>
    <rPh eb="1" sb="0">
      <t>タカ</t>
    </rPh>
    <rPh eb="2" sb="1">
      <t>ネ</t>
    </rPh>
    <phoneticPr fontId="3"/>
  </si>
  <si>
    <t>安値</t>
    <rPh eb="2" sb="0">
      <t>ヤスネ</t>
    </rPh>
    <phoneticPr fontId="3"/>
  </si>
  <si>
    <t>終値</t>
    <rPh eb="2" sb="0">
      <t>オワリネ</t>
    </rPh>
    <phoneticPr fontId="3"/>
  </si>
  <si>
    <t>終値平均</t>
    <rPh eb="2" sb="0">
      <t>オワリネ</t>
    </rPh>
    <rPh eb="4" sb="2">
      <t>ヘイキン</t>
    </rPh>
    <phoneticPr fontId="3"/>
  </si>
  <si>
    <t>売買高</t>
    <rPh eb="3" sb="0">
      <t>バイバイダカ</t>
    </rPh>
    <phoneticPr fontId="3"/>
  </si>
  <si>
    <t>うちToSTNeT売買高</t>
  </si>
  <si>
    <t>売買代金</t>
    <rPh eb="2" sb="0">
      <t>バイバイ</t>
    </rPh>
    <rPh eb="4" sb="2">
      <t>ダイキン</t>
    </rPh>
    <phoneticPr fontId="3"/>
  </si>
  <si>
    <t>うちToSTNeT売買代金</t>
  </si>
  <si>
    <t>値付日数</t>
    <rPh eb="2" sb="0">
      <t>ネツ</t>
    </rPh>
    <rPh eb="4" sb="2">
      <t>ニッスウ</t>
    </rPh>
    <phoneticPr fontId="3"/>
  </si>
  <si>
    <t>Year/Month</t>
  </si>
  <si>
    <t>Code</t>
    <phoneticPr fontId="10"/>
  </si>
  <si>
    <t>Date</t>
    <phoneticPr fontId="3"/>
  </si>
  <si>
    <t>Sector</t>
  </si>
  <si>
    <t>margin/loan</t>
    <phoneticPr fontId="10"/>
  </si>
  <si>
    <t>Trading Unit</t>
    <phoneticPr fontId="3"/>
  </si>
  <si>
    <t>Open</t>
  </si>
  <si>
    <t>High</t>
    <phoneticPr fontId="3"/>
  </si>
  <si>
    <t>Low</t>
  </si>
  <si>
    <t>Close</t>
  </si>
  <si>
    <t>Average Closing Price</t>
    <phoneticPr fontId="10"/>
  </si>
  <si>
    <t>Trading Volume</t>
  </si>
  <si>
    <t>Trading Volume(ToSTNeT)</t>
    <phoneticPr fontId="10"/>
  </si>
  <si>
    <t>Trading Value</t>
  </si>
  <si>
    <t>Trading Value(ToSTNeT)</t>
    <phoneticPr fontId="10"/>
  </si>
  <si>
    <t>Days Traded</t>
    <phoneticPr fontId="3"/>
  </si>
  <si>
    <t>口(units）</t>
    <phoneticPr fontId="10"/>
  </si>
  <si>
    <t>円(￥)</t>
    <phoneticPr fontId="10"/>
  </si>
  <si>
    <t>口(units）</t>
  </si>
  <si>
    <t>2021/05</t>
  </si>
  <si>
    <t>1305</t>
  </si>
  <si>
    <t>ダイワ上場投信－トピックス　受益証券</t>
  </si>
  <si>
    <t>Daiwa ETF-TOPIX</t>
  </si>
  <si>
    <t/>
  </si>
  <si>
    <t>貸借</t>
  </si>
  <si>
    <t>6</t>
  </si>
  <si>
    <t>10</t>
  </si>
  <si>
    <t>13</t>
  </si>
  <si>
    <t>31</t>
  </si>
  <si>
    <t>1306</t>
  </si>
  <si>
    <t>ＮＥＸＴ　ＦＵＮＤＳ　ＴＯＰＩＸ連動型上場投信　受益証券</t>
  </si>
  <si>
    <t>NEXT FUNDS TOPIX Exchange Traded Fund</t>
  </si>
  <si>
    <t>1308</t>
  </si>
  <si>
    <t>上場インデックスファンドＴＯＰＩＸ　受益証券</t>
  </si>
  <si>
    <t>Nikko Exchange Traded Index Fund TOPIX</t>
  </si>
  <si>
    <t>1309</t>
  </si>
  <si>
    <t>ＮＥＸＴ　ＦＵＮＤＳ　ＣｈｉｎａＡＭＣ・中国株式・上証５０連動型上場投信　受益証券</t>
  </si>
  <si>
    <t>NEXT FUNDS ChinaAMC SSE50 Index Exchange Traded Fund</t>
  </si>
  <si>
    <t>11</t>
  </si>
  <si>
    <t>1311</t>
  </si>
  <si>
    <t>ＮＥＸＴ　ＦＵＮＤＳ　ＴＯＰＩＸ　Ｃｏｒｅ　３０連動型上場投信　受益証券</t>
  </si>
  <si>
    <t>NEXT FUNDS TOPIX Core 30 Exchange Traded Fund</t>
  </si>
  <si>
    <t>1312</t>
  </si>
  <si>
    <t>ＮＥＸＴ　ＦＵＮＤＳ　ラッセル野村小型コア・インデックス連動型上場投信　受益証券</t>
  </si>
  <si>
    <t>NEXT FUNDS Russell/Nomura Small Cap Core Index Exchange Traded Fund</t>
  </si>
  <si>
    <t>1313</t>
  </si>
  <si>
    <t>サムスンＫＯＤＥＸ２００証券上場指数投資信託[株式]　受益証券</t>
  </si>
  <si>
    <t>SAMSUNG KODEX200 SECURITIES EXCHANGE TRADED FUND [STOCK]</t>
  </si>
  <si>
    <t>19</t>
  </si>
  <si>
    <t>1319</t>
  </si>
  <si>
    <t>ＮＥＸＴ　ＦＵＮＤＳ　日経３００株価指数連動型上場投信　受益証券</t>
  </si>
  <si>
    <t>NEXT FUNDS Nikkei 300 Index Exchange Traded Fund</t>
  </si>
  <si>
    <t>1320</t>
  </si>
  <si>
    <t>ダイワ上場投信－日経２２５　受益証券</t>
  </si>
  <si>
    <t>Daiwa ETF-Nikkei 225</t>
  </si>
  <si>
    <t>1321</t>
  </si>
  <si>
    <t>ＮＥＸＴ　ＦＵＮＤＳ　日経２２５連動型上場投信　受益証券</t>
  </si>
  <si>
    <t>NEXT FUNDS Nikkei 225 Exchange Traded Fund</t>
  </si>
  <si>
    <t>1322</t>
  </si>
  <si>
    <t>上場インデックスファンド中国Ａ株（パンダ）Ｅ　Ｆｕｎｄ　ＣＳＩ３００　受益証券</t>
  </si>
  <si>
    <t>Listed Index Fund China A Share (Panda) E Fund CSI300</t>
  </si>
  <si>
    <t>28</t>
  </si>
  <si>
    <t>12</t>
  </si>
  <si>
    <t>1323</t>
  </si>
  <si>
    <t>ＮＥＸＴ　ＦＵＮＤＳ　南アフリカ株式指数・ＦＴＳＥ／ＪＳＥ　Ａｆｒｉｃａ　Ｔｏｐ４０連動型上場投信　受益証券</t>
  </si>
  <si>
    <t>NEXT FUNDS FTSE/JSE Africa Top40 Linked Exchange Traded Fund</t>
  </si>
  <si>
    <t>1324</t>
  </si>
  <si>
    <t>ＮＥＸＴ　ＦＵＮＤＳ　ロシア株式指数・ＲＴＳ連動型上場投信　受益証券</t>
  </si>
  <si>
    <t>NEXT FUNDS Russia RTS Linked Exchange Traded Fund</t>
  </si>
  <si>
    <t>1325</t>
  </si>
  <si>
    <t>ＮＥＸＴ　ＦＵＮＤＳ　ブラジル株式指数・ボベスパ連動型上場投信　受益証券</t>
  </si>
  <si>
    <t>NEXT FUNDS Ibovespa Linked Exchange Traded Fund</t>
  </si>
  <si>
    <t>1326</t>
  </si>
  <si>
    <t>ＳＰＤＲゴールド・シェア　受益証券</t>
  </si>
  <si>
    <t>SPDR Gold Shares</t>
  </si>
  <si>
    <t>1327</t>
  </si>
  <si>
    <t>イージーＥＴＦ　Ｓ＆Ｐ　ＧＳＣＩ　商品指数　キャップド・コモディティ　３５／２０　クラスＡ米ドル建受益証券</t>
  </si>
  <si>
    <t>S&amp;P GSCI Energy &amp; Metals Capped Component 35/20 THEAM Easy UCITS ETF Class A USD Unit</t>
  </si>
  <si>
    <t>26</t>
  </si>
  <si>
    <t>1328</t>
  </si>
  <si>
    <t>ＮＥＸＴ　ＦＵＮＤＳ　金価格連動型上場投信　受益証券</t>
  </si>
  <si>
    <t>NEXT FUNDS Gold Price Exchange Traded Fund</t>
  </si>
  <si>
    <t>1329</t>
  </si>
  <si>
    <t>ｉシェアーズ・コア　日経２２５　ＥＴＦ　受益証券</t>
  </si>
  <si>
    <t>iShares Core Nikkei 225 ETF</t>
  </si>
  <si>
    <t>1330</t>
  </si>
  <si>
    <t>上場インデックスファンド２２５　受益証券</t>
  </si>
  <si>
    <t>Nikko Exchange Traded Index Fund 225</t>
  </si>
  <si>
    <t>1343</t>
  </si>
  <si>
    <t>ＮＥＸＴ　ＦＵＮＤＳ　東証ＲＥＩＴ指数連動型上場投信　受益証券</t>
  </si>
  <si>
    <t>NEXT FUNDS REIT INDEX ETF</t>
  </si>
  <si>
    <t>14</t>
  </si>
  <si>
    <t>1344</t>
  </si>
  <si>
    <t>ＭＡＸＩＳ　トピックス・コア３０上場投信　受益証券</t>
  </si>
  <si>
    <t>MAXIS TOPIX Core30 ETF</t>
  </si>
  <si>
    <t>1345</t>
  </si>
  <si>
    <t>上場インデックスファンドＪリート（東証ＲＥＩＴ指数）隔月分配型　受益証券</t>
  </si>
  <si>
    <t>Listed Index Fund J-REIT (Tokyo Stock Exchange REIT Index)</t>
  </si>
  <si>
    <t>1346</t>
  </si>
  <si>
    <t>ＭＡＸＩＳ　日経２２５上場投信　受益証券</t>
  </si>
  <si>
    <t>MAXIS NIKKEI225 ETF</t>
  </si>
  <si>
    <t>1348</t>
  </si>
  <si>
    <t>ＭＡＸＩＳ　トピックス上場投信　受益証券</t>
  </si>
  <si>
    <t>MAXIS TOPIX ETF</t>
  </si>
  <si>
    <t>1349</t>
  </si>
  <si>
    <t>ABF汎アジア債券インデックス・ファンド　受益証券</t>
  </si>
  <si>
    <t>ABF PAN ASIA BOND INDEX FUND</t>
  </si>
  <si>
    <t>7</t>
  </si>
  <si>
    <t>1356</t>
  </si>
  <si>
    <t>ＴＯＰＩＸベア２倍上場投信　受益証券</t>
  </si>
  <si>
    <t>TOPIX Bear -2x ETF</t>
  </si>
  <si>
    <t>1357</t>
  </si>
  <si>
    <t>ＮＥＸＴ　ＦＵＮＤＳ　日経平均ダブルインバース・インデックス連動型上場投信　受益証券</t>
  </si>
  <si>
    <t>NEXT FUNDS Nikkei 225 Double Inverse Index ETF</t>
  </si>
  <si>
    <t>1358</t>
  </si>
  <si>
    <t>上場インデックスファンド日経レバレッジ指数　受益証券</t>
  </si>
  <si>
    <t>Listed Index Fund Nikkei Leveraged Index</t>
  </si>
  <si>
    <t>1360</t>
  </si>
  <si>
    <t>日経平均ベア２倍上場投信　受益証券</t>
  </si>
  <si>
    <t>Nikkei225 Bear -2x ETF</t>
  </si>
  <si>
    <t>1364</t>
  </si>
  <si>
    <t>ｉシェアーズ　ＪＰＸ日経４００　ＥＴＦ　受益証券</t>
  </si>
  <si>
    <t>iShares JPX-Nikkei 400 ETF</t>
  </si>
  <si>
    <t>1365</t>
  </si>
  <si>
    <t>ダイワ上場投信－日経平均レバレッジ・インデックス　受益証券</t>
  </si>
  <si>
    <t>Daiwa ETF Japan Nikkei225 Leveraged Index</t>
  </si>
  <si>
    <t>1366</t>
  </si>
  <si>
    <t>ダイワ上場投信－日経平均ダブルインバース・インデックス　受益証券</t>
  </si>
  <si>
    <t>Daiwa ETF Japan Nikkei225 Double Inverse Index</t>
  </si>
  <si>
    <t>1367</t>
  </si>
  <si>
    <t>ダイワ上場投信－ＴＯＰＩＸレバレッジ（２倍）指数　受益証券</t>
  </si>
  <si>
    <t>Daiwa ETF Japan TOPIX Leveraged (2x) Index</t>
  </si>
  <si>
    <t>1368</t>
  </si>
  <si>
    <t>ダイワ上場投信－ＴＯＰＩＸダブルインバース（－２倍）指数　受益証券</t>
  </si>
  <si>
    <t>Daiwa ETF Japan TOPIX Double Inverse (-2x) Index</t>
  </si>
  <si>
    <t>1369</t>
  </si>
  <si>
    <t>Ｏｎｅ　ＥＴＦ　日経２２５　受益証券</t>
  </si>
  <si>
    <t>One ETF Nikkei225</t>
  </si>
  <si>
    <t>1385</t>
  </si>
  <si>
    <t>ＵＢＳ　ＥＴＦ　ユーロ圏大型株５０（ユーロ・ストックス５０）　受益証券</t>
  </si>
  <si>
    <t>UBS ETF EURO STOXX 50 UCITS ETF-JDR</t>
  </si>
  <si>
    <t>1386</t>
  </si>
  <si>
    <t>ＵＢＳ　ＥＴＦ　欧州株（ＭＳＣＩヨーロッパ）　受益証券</t>
  </si>
  <si>
    <t>UBS ETF MSCI Europe UCITS ETF-JDR</t>
  </si>
  <si>
    <t>1387</t>
  </si>
  <si>
    <t>ＵＢＳ　ＥＴＦ　ユーロ圏株（ＭＳＣＩ　ＥＭＵ）　受益証券</t>
  </si>
  <si>
    <t>UBS ETF MSCI EMU UCITS ETF-JDR</t>
  </si>
  <si>
    <t>1388</t>
  </si>
  <si>
    <t>ＵＢＳ　ＥＴＦ　ユーロ圏小型株（ＭＳＣＩ　ＥＭＵ小型株）　受益証券</t>
  </si>
  <si>
    <t>UBS ETF MSCI EMU Small Cap UCITS ETF-JDR</t>
  </si>
  <si>
    <t>25</t>
  </si>
  <si>
    <t>1389</t>
  </si>
  <si>
    <t>ＵＢＳ　ＥＴＦ　英国大型株１００（ＦＴＳＥ　１００）　受益証券</t>
  </si>
  <si>
    <t>UBS ETF FTSE 100 UCITS ETF-JDR</t>
  </si>
  <si>
    <t>1390</t>
  </si>
  <si>
    <t>ＵＢＳ　ＥＴＦ　ＭＳＣＩアジア太平洋株（除く日本）　受益証券</t>
  </si>
  <si>
    <t>UBS ETF MSCI Pacific (ex Japan) UCITS ETF-JDR</t>
  </si>
  <si>
    <t>1391</t>
  </si>
  <si>
    <t>ＵＢＳ　ＥＴＦ　スイス株（ＭＳＣＩスイス２０／３５）　受益証券</t>
  </si>
  <si>
    <t>UBS ETF MSCI Switzerland 20/35 UCITS ETF-JDR</t>
  </si>
  <si>
    <t>1392</t>
  </si>
  <si>
    <t>ＵＢＳ　ＥＴＦ　英国株（ＭＳＣＩ英国）　受益証券</t>
  </si>
  <si>
    <t>UBS ETF MSCI United Kingdom UCITS ETF-JDR</t>
  </si>
  <si>
    <t>1393</t>
  </si>
  <si>
    <t>ＵＢＳ　ＥＴＦ　米国株（ＭＳＣＩ米国）　受益証券</t>
  </si>
  <si>
    <t>UBS ETF MSCI USA UCITS ETF-JDR</t>
  </si>
  <si>
    <t>1394</t>
  </si>
  <si>
    <t>ＵＢＳ　ＥＴＦ　先進国株（ＭＳＣＩワールド）　受益証券</t>
  </si>
  <si>
    <t>UBS ETF MSCI World UCITS ETF-JDR</t>
  </si>
  <si>
    <t>1397</t>
  </si>
  <si>
    <t>ＳＭＤＡＭ　日経２２５上場投信　受益証券</t>
  </si>
  <si>
    <t>SMDAM NIKKEI225 ETF</t>
  </si>
  <si>
    <t>1398</t>
  </si>
  <si>
    <t>ＳＭＤＡＭ　東証ＲＥＩＴ指数上場投信　受益証券</t>
  </si>
  <si>
    <t>SMDAM REIT Index ETF</t>
  </si>
  <si>
    <t>1399</t>
  </si>
  <si>
    <t>上場インデックスファンドＭＳＣＩ日本株高配当低ボラティリティ　受益証券</t>
  </si>
  <si>
    <t>Listed Index Fund MSCI Japan Equity High Dividend Low Volatility</t>
  </si>
  <si>
    <t>1456</t>
  </si>
  <si>
    <t>ダイワ上場投信－日経平均インバース・インデックス　受益証券</t>
  </si>
  <si>
    <t>Daiwa ETF Japan Nikkei225 Inverse Index</t>
  </si>
  <si>
    <t>1457</t>
  </si>
  <si>
    <t>ダイワ上場投信－ＴＯＰＩＸインバース（－１倍）指数　受益証券</t>
  </si>
  <si>
    <t>Daiwa ETF Japan TOPIX Inverse (-1x) Index</t>
  </si>
  <si>
    <t>1458</t>
  </si>
  <si>
    <t>楽天ＥＴＦ‐日経レバレッジ指数連動型　受益証券</t>
  </si>
  <si>
    <t>Rakuten ETF - Nikkei 225 Leveraged Index</t>
  </si>
  <si>
    <t>1459</t>
  </si>
  <si>
    <t>楽天ＥＴＦ‐日経ダブルインバース指数連動型　受益証券</t>
  </si>
  <si>
    <t>Rakuten ETF - Nikkei 225 Double Inverse Index</t>
  </si>
  <si>
    <t>1460</t>
  </si>
  <si>
    <t>ＭＡＸＩＳ　ＪＡＰＡＮ　クオリティ１５０上場投信　受益証券</t>
  </si>
  <si>
    <t>MAXIS JAPAN Quality 150 Index ETF</t>
  </si>
  <si>
    <t>1464</t>
  </si>
  <si>
    <t>ダイワ上場投信－ＪＰＸ日経４００レバレッジ・インデックス　受益証券</t>
  </si>
  <si>
    <t>Daiwa ETF Japan JPX-Nikkei 400 Leveraged (2x) Index</t>
  </si>
  <si>
    <t>1465</t>
  </si>
  <si>
    <t>ダイワ上場投信－ＪＰＸ日経４００インバース・インデックス　受益証券</t>
  </si>
  <si>
    <t>Daiwa ETF Japan JPX-Nikkei 400 Inverse (-1x) Index</t>
  </si>
  <si>
    <t>1466</t>
  </si>
  <si>
    <t>ダイワ上場投信－ＪＰＸ日経４００ダブルインバース・インデックス　受益証券</t>
  </si>
  <si>
    <t>Daiwa ETF Japan JPX-Nikkei 400 Double Inverse (-2x) Index</t>
  </si>
  <si>
    <t>1467</t>
  </si>
  <si>
    <t>ＪＰＸ日経４００ブル２倍上場投信（レバレッジ）　受益証券</t>
  </si>
  <si>
    <t>JPX-Nikkei 400 Bull 2x Leveraged ETF</t>
  </si>
  <si>
    <t>1468</t>
  </si>
  <si>
    <t>ＪＰＸ日経４００ベア上場投信（インバース）　受益証券</t>
  </si>
  <si>
    <t>JPX-Nikkei 400 Bear -1x Inverse ETF</t>
  </si>
  <si>
    <t>24</t>
  </si>
  <si>
    <t>1469</t>
  </si>
  <si>
    <t>ＪＰＸ日経４００ベア２倍上場投信（ダブルインバース）　受益証券</t>
  </si>
  <si>
    <t>JPX-Nikkei 400 Bear -2x Double Inverse ETF</t>
  </si>
  <si>
    <t>1470</t>
  </si>
  <si>
    <t>ＮＥＸＴ　ＦＵＮＤＳ　ＪＰＸ日経４００レバレッジ・インデックス連動型上場投信　受益証券</t>
  </si>
  <si>
    <t>NEXT FUNDS JPX-Nikkei 400 Leveraged Index Exchange Traded Fund</t>
  </si>
  <si>
    <t>整</t>
  </si>
  <si>
    <t>1471</t>
  </si>
  <si>
    <t>ＮＥＸＴ　ＦＵＮＤＳ　ＪＰＸ日経４００インバース・インデックス連動型上場投信　受益証券</t>
  </si>
  <si>
    <t>NEXT FUNDS JPX-Nikkei 400 Inverse Index Exchange Traded Fund</t>
  </si>
  <si>
    <t>1472</t>
  </si>
  <si>
    <t>ＮＥＸＴ　ＦＵＮＤＳ　ＪＰＸ日経４００ダブルインバース・インデックス連動型上場投信　受益証券</t>
  </si>
  <si>
    <t>NEXT FUNDS JPX-Nikkei 400 Double Inverse Index Exchange Traded Fund</t>
  </si>
  <si>
    <t>1473</t>
  </si>
  <si>
    <t>Ｏｎｅ　ＥＴＦ　トピックス　受益証券</t>
  </si>
  <si>
    <t>One ETF TOPIX</t>
  </si>
  <si>
    <t>1474</t>
  </si>
  <si>
    <t>Ｏｎｅ　ＥＴＦ　ＪＰＸ日経４００　受益証券</t>
  </si>
  <si>
    <t>One ETF JPX-Nikkei 400</t>
  </si>
  <si>
    <t>1475</t>
  </si>
  <si>
    <t>ｉシェアーズ・コア　ＴＯＰＩＸ　ＥＴＦ　受益証券</t>
  </si>
  <si>
    <t>iShares Core TOPIX ETF</t>
  </si>
  <si>
    <t>1476</t>
  </si>
  <si>
    <t>ｉシェアーズ・コア　Ｊリート　ＥＴＦ　受益証券</t>
  </si>
  <si>
    <t>iShares Core Japan REIT ETF</t>
  </si>
  <si>
    <t>1477</t>
  </si>
  <si>
    <t>ｉシェアーズ　ＭＳＣＩ　日本株最小分散　ＥＴＦ　受益証券</t>
  </si>
  <si>
    <t>iShares MSCI Japan Minimum Volatility (ex-REITs) ETF</t>
  </si>
  <si>
    <t>1478</t>
  </si>
  <si>
    <t>ｉシェアーズ　ＭＳＣＩ　ジャパン高配当利回り　ＥＴＦ　受益証券</t>
  </si>
  <si>
    <t>iShares MSCI Japan High Dividend ETF</t>
  </si>
  <si>
    <t>1479</t>
  </si>
  <si>
    <t>ダイワ上場投信－ＭＳＣＩ日本株人材設備投資指数　受益証券</t>
  </si>
  <si>
    <t>Daiwa ETF MSCI Japan Human and Physical Investment Index</t>
  </si>
  <si>
    <t>1480</t>
  </si>
  <si>
    <t>ＮＥＸＴ　ＦＵＮＤＳ　野村企業価値分配指数連動型上場投信　受益証券</t>
  </si>
  <si>
    <t>NEXT FUNDS Nomura Enterprise Value Allocation Index Exchange Traded Fund</t>
  </si>
  <si>
    <t>1481</t>
  </si>
  <si>
    <t>上場インデックスファンド日本経済貢献株　受益証券</t>
  </si>
  <si>
    <t>Listed Index Fund Japanese Economy Contributor Stocks</t>
  </si>
  <si>
    <t>1482</t>
  </si>
  <si>
    <t>ｉシェアーズ・コア　米国債７－１０年　ＥＴＦ（為替ヘッジあり）　受益証券</t>
  </si>
  <si>
    <t>iShares Core 7-10 Year US Treasury Bond JPY Hedged ETF</t>
  </si>
  <si>
    <t>1483</t>
  </si>
  <si>
    <t>ｉシェアーズ　ＪＰＸ／Ｓ＆Ｐ設備・人材投資　ＥＴＦ　受益証券</t>
  </si>
  <si>
    <t>iShares JPX/S&amp;P CAPEX &amp; Human Capital ETF</t>
  </si>
  <si>
    <t>1484</t>
  </si>
  <si>
    <t>Ｏｎｅ　ＥＴＦ　ＪＰＸ／Ｓ＆Ｐ　設備・人材投資指数　受益証券</t>
  </si>
  <si>
    <t>One ETF JPX/S&amp;P CAPEX &amp; Human Capital Index</t>
  </si>
  <si>
    <t>1485</t>
  </si>
  <si>
    <t>ＭＡＸＩＳ　ＪＡＰＡＮ　設備・人材積極投資企業２００上場投信　受益証券</t>
  </si>
  <si>
    <t>MAXIS JAPAN Proactive Investment in Physical and Human Capital 200 Index ETF</t>
  </si>
  <si>
    <t>1486</t>
  </si>
  <si>
    <t>上場インデックスファンド米国債券（為替ヘッジなし）　受益証券</t>
  </si>
  <si>
    <t>Listed Index Fund US Bond (No Currency Hedge)</t>
  </si>
  <si>
    <t>27</t>
  </si>
  <si>
    <t>1487</t>
  </si>
  <si>
    <t>上場インデックスファンド米国債券（為替ヘッジあり）　受益証券</t>
  </si>
  <si>
    <t>Listed Index Fund US Bond (Currency Hedge)</t>
  </si>
  <si>
    <t>1488</t>
  </si>
  <si>
    <t>ダイワ上場投信－東証ＲＥＩＴ指数　受益証券</t>
  </si>
  <si>
    <t>Daiwa ETF Tokyo Stock Exchange REIT Index</t>
  </si>
  <si>
    <t>1489</t>
  </si>
  <si>
    <t>ＮＥＸＴ　ＦＵＮＤＳ　日経平均高配当株５０指数連動型上場投信　受益証券</t>
  </si>
  <si>
    <t>NEXT FUNDS Nikkei 225 High Dividend Yield Stock 50 Index Exchange Traded Fund</t>
  </si>
  <si>
    <t>1490</t>
  </si>
  <si>
    <t>上場インデックスファンドＭＳＣＩ日本株高配当低ボラティリティ（βヘッジ）　受益証券</t>
  </si>
  <si>
    <t>Listed Index Fund MSCI Japan Equity High Dividend Low Volatility (Beta Hedged)</t>
  </si>
  <si>
    <t>1492</t>
  </si>
  <si>
    <t>ＭＡＸＩＳ　ＪＰＸ　日経中小型株指数上場投信　受益証券</t>
  </si>
  <si>
    <t>MAXIS JPX-Nikkei Mid and Small Cap Index ETF</t>
  </si>
  <si>
    <t>1493</t>
  </si>
  <si>
    <t>Ｏｎｅ　ＥＴＦ　ＪＰＸ日経中小型　受益証券</t>
  </si>
  <si>
    <t>One ETF JPX-Nikkei Mid Small</t>
  </si>
  <si>
    <t>1494</t>
  </si>
  <si>
    <t>Ｏｎｅ　ＥＴＦ　高配当日本株　受益証券</t>
  </si>
  <si>
    <t>One ETF High Dividend Japan Equity</t>
  </si>
  <si>
    <t>21</t>
  </si>
  <si>
    <t>1495</t>
  </si>
  <si>
    <t>上場インデックスファンドアジアリート　受益証券</t>
  </si>
  <si>
    <t>Listed Index Fund Asian REIT</t>
  </si>
  <si>
    <t>1496</t>
  </si>
  <si>
    <t>ｉシェアーズ　米ドル建て投資適格社債　ＥＴＦ（為替ヘッジあり）　受益証券</t>
  </si>
  <si>
    <t>iShares USD Investment Grade Corporate Bond JPY Hedged ETF</t>
  </si>
  <si>
    <t>1497</t>
  </si>
  <si>
    <t>ｉシェアーズ　米ドル建てハイイールド社債　ＥＴＦ（為替ヘッジあり）　受益証券</t>
  </si>
  <si>
    <t>iShares USD High Yield Corporate Bond JPY Hedged ETF</t>
  </si>
  <si>
    <t>20</t>
  </si>
  <si>
    <t>1498</t>
  </si>
  <si>
    <t>Ｏｎｅ　ＥＴＦ　ＥＳＧ　受益証券</t>
  </si>
  <si>
    <t>One ETF ESG</t>
  </si>
  <si>
    <t>1499</t>
  </si>
  <si>
    <t>ＭＡＸＩＳ日本株高配当７０マーケットニュートラル上場投信　受益証券</t>
  </si>
  <si>
    <t>MAXIS Japan Equity High Dividend 70 Market Neutral ETF</t>
  </si>
  <si>
    <t>1540</t>
  </si>
  <si>
    <t>純金上場信託（現物国内保管型）　受益証券</t>
  </si>
  <si>
    <t>Japan Physical Gold ETF</t>
  </si>
  <si>
    <t>1541</t>
  </si>
  <si>
    <t>純プラチナ上場信託（現物国内保管型）　受益証券</t>
  </si>
  <si>
    <t>Japan Physical Platinum ETF</t>
  </si>
  <si>
    <t>1542</t>
  </si>
  <si>
    <t>純銀上場信託（現物国内保管型）　受益証券</t>
  </si>
  <si>
    <t>Japan Physical Silver ETF</t>
  </si>
  <si>
    <t>18</t>
  </si>
  <si>
    <t>1543</t>
  </si>
  <si>
    <t>純パラジウム上場信託（現物国内保管型）　受益証券</t>
  </si>
  <si>
    <t>Japan Physical Palladium ETF</t>
  </si>
  <si>
    <t>1545</t>
  </si>
  <si>
    <t>ＮＥＸＴ　ＦＵＮＤＳ　ＮＡＳＤＡＱ－１００連動型上場投信　受益証券</t>
  </si>
  <si>
    <t>NEXT FUNDS NASDAQ-100 Exchange Traded Fund</t>
  </si>
  <si>
    <t>1546</t>
  </si>
  <si>
    <t>ＮＥＸＴ　ＦＵＮＤＳ　ダウ・ジョーンズ工業株３０種平均株価連動型上場投信　受益証券</t>
  </si>
  <si>
    <t>NEXT FUNDS Dow Jones Industrial Average Exchange Traded Fund</t>
  </si>
  <si>
    <t>1547</t>
  </si>
  <si>
    <t>上場インデックスファンド米国株式（Ｓ＆Ｐ５００）　受益証券</t>
  </si>
  <si>
    <t>Listed Index Fund US Equity (S&amp;P500)</t>
  </si>
  <si>
    <t>1550</t>
  </si>
  <si>
    <t>ＭＡＸＩＳ　海外株式（ＭＳＣＩコクサイ）上場投信　受益証券</t>
  </si>
  <si>
    <t>MAXIS Global Equity (MSCI Kokusai) ETF</t>
  </si>
  <si>
    <t>1551</t>
  </si>
  <si>
    <t>ＪＡＳＤＡＱ－ＴＯＰ２０上場投信　受益証券</t>
  </si>
  <si>
    <t>JASDAQ-TOP20 ETF</t>
  </si>
  <si>
    <t>1552</t>
  </si>
  <si>
    <t>国際のＥＴＦ　ＶＩＸ短期先物指数　受益証券</t>
  </si>
  <si>
    <t>KOKUSAI S&amp;P500 VIX SHORT-TERM FUTURES INDEX ETF</t>
  </si>
  <si>
    <t>1554</t>
  </si>
  <si>
    <t>上場インデックスファンド世界株式（ＭＳＣＩ　ＡＣＷＩ）除く日本　受益証券</t>
  </si>
  <si>
    <t>Listed Index Fund World Equity (MSCI ACWI) ex Japan</t>
  </si>
  <si>
    <t>1555</t>
  </si>
  <si>
    <t>上場インデックスファンド豪州リート（Ｓ＆Ｐ／ＡＳＸ２００　Ａ‐ＲＥＩＴ）　受益証券</t>
  </si>
  <si>
    <t>Listed Index Fund Australian REIT (S&amp;P/ASX200 A-REIT)</t>
  </si>
  <si>
    <t>1557</t>
  </si>
  <si>
    <t>ＳＰＤＲ　Ｓ＆Ｐ５００　ＥＴＦ　受益証券</t>
  </si>
  <si>
    <t>SPDR S&amp;P500 ETF Trust</t>
  </si>
  <si>
    <t>1559</t>
  </si>
  <si>
    <t>ＮＥＸＴ　ＦＵＮＤＳ　タイ株式ＳＥＴ５０指数連動型上場投信　受益証券</t>
  </si>
  <si>
    <t>NEXT FUNDS Thai Stock SET50 Exchange Traded Fund</t>
  </si>
  <si>
    <t>1560</t>
  </si>
  <si>
    <t>ＮＥＸＴ　ＦＵＮＤＳ　ＦＴＳＥブルサ・マレーシアＫＬＣＩ連動型上場投信　受益証券</t>
  </si>
  <si>
    <t>NEXT FUNDS FTSE Bursa Malaysia KLCI Exchange Traded Fund</t>
  </si>
  <si>
    <t>1563</t>
  </si>
  <si>
    <t>マザーズ・コア上場投信　受益証券</t>
  </si>
  <si>
    <t>TSE Mothers Core ETF</t>
  </si>
  <si>
    <t>1566</t>
  </si>
  <si>
    <t>上場インデックスファンド新興国債券　受益証券</t>
  </si>
  <si>
    <t>Listed Index Fund Emerging Bond</t>
  </si>
  <si>
    <t>1567</t>
  </si>
  <si>
    <t>ＭＡＸＩＳトピックスリスクコントロール（５％）上場投信　受益証券</t>
  </si>
  <si>
    <t>MAXIS TOPIX Risk Control (5%) ETF</t>
  </si>
  <si>
    <t>1568</t>
  </si>
  <si>
    <t>ＴＯＰＩＸブル２倍上場投信　受益証券</t>
  </si>
  <si>
    <t>TOPIX Bull 2x ETF</t>
  </si>
  <si>
    <t>1569</t>
  </si>
  <si>
    <t>ＴＯＰＩＸベア上場投信　受益証券</t>
  </si>
  <si>
    <t>TOPIX Bear -1x ETF</t>
  </si>
  <si>
    <t>1570</t>
  </si>
  <si>
    <t>ＮＥＸＴ　ＦＵＮＤＳ　日経平均レバレッジ・インデックス連動型上場投信　受益証券</t>
  </si>
  <si>
    <t>NEXT FUNDS Nikkei 225 Leveraged Index Exchange Traded Fund</t>
  </si>
  <si>
    <t>1571</t>
  </si>
  <si>
    <t>ＮＥＸＴ　ＦＵＮＤＳ　日経平均インバース・インデックス連動型上場投信　受益証券</t>
  </si>
  <si>
    <t>NEXT FUNDS Nikkei 225 Inverse Index Exchange Traded Fund</t>
  </si>
  <si>
    <t>1572</t>
  </si>
  <si>
    <t>中国Ｈ株ブル２倍上場投信　受益証券</t>
  </si>
  <si>
    <t>China Bull 2x HSCEI ETF</t>
  </si>
  <si>
    <t>1573</t>
  </si>
  <si>
    <t>中国Ｈ株ベア上場投信　受益証券</t>
  </si>
  <si>
    <t>China Bear -1x HSCEI ETF</t>
  </si>
  <si>
    <t>1574</t>
  </si>
  <si>
    <t>ＭＡＸＩＳトピックスリスクコントロール（１０％）上場投信　受益証券</t>
  </si>
  <si>
    <t>MAXIS TOPIX Risk Control (10%) ETF</t>
  </si>
  <si>
    <t>1575</t>
  </si>
  <si>
    <t>ＣｈｉｎａＡＭＣ　ＣＳＩ　３００　Ｉｎｄｅｘ　ＥＴＦ－ＪＤＲ　受益証券</t>
  </si>
  <si>
    <t>ChinaAMC CSI 300 Index ETF-JDR</t>
  </si>
  <si>
    <t>1576</t>
  </si>
  <si>
    <t>南方　ＦＴＳＥ　中国Ａ株５０　ＥＴＦ　受益証券</t>
  </si>
  <si>
    <t>CSOP FTSE CHINA A50 ETF</t>
  </si>
  <si>
    <t>1577</t>
  </si>
  <si>
    <t>ＮＥＸＴ　ＦＵＮＤＳ　野村日本株高配当７０連動型上場投信　受益証券</t>
  </si>
  <si>
    <t>NEXT FUNDS Nomura Japan Equity High Dividend 70 ETF</t>
  </si>
  <si>
    <t>1578</t>
  </si>
  <si>
    <t>上場インデックスファンド日経２２５（ミニ）　受益証券</t>
  </si>
  <si>
    <t>Listed Index Fund Nikkei 225 (Mini)</t>
  </si>
  <si>
    <t>1579</t>
  </si>
  <si>
    <t>日経平均ブル２倍上場投信　受益証券</t>
  </si>
  <si>
    <t>Nikkei 225 Bull 2x ETF</t>
  </si>
  <si>
    <t>1580</t>
  </si>
  <si>
    <t>日経平均ベア上場投信　受益証券</t>
  </si>
  <si>
    <t>Nikkei 225 Bear -1x ETF</t>
  </si>
  <si>
    <t>1584</t>
  </si>
  <si>
    <t>サムスンＫＯＤＥＸサムスングループ株証券上場指数投資信託［株式］　受益証券</t>
  </si>
  <si>
    <t>Samsung KODEX Samsung Group Securities Exchange Traded Investment Trust [Share]</t>
  </si>
  <si>
    <t>1585</t>
  </si>
  <si>
    <t>ダイワ上場投信・ＴＯＰＩＸ　Ｅｘ－Ｆｉｎａｎｃｉａｌｓ　受益証券</t>
  </si>
  <si>
    <t>Daiwa ETF TOPIX Ex-Financials</t>
  </si>
  <si>
    <t>1586</t>
  </si>
  <si>
    <t>上場インデックスファンドＴＯＰＩＸ　Ｅｘ－Ｆｉｎａｎｃｉａｌｓ　受益証券</t>
  </si>
  <si>
    <t>Listed Index Fund TOPIX Ex-Financials</t>
  </si>
  <si>
    <t>1591</t>
  </si>
  <si>
    <t>ＮＥＸＴ　ＦＵＮＤＳ　ＪＰＸ日経インデックス４００連動型上場投信　受益証券</t>
  </si>
  <si>
    <t>NEXT FUNDS JPX-Nikkei Index 400 Exchange Traded Fund</t>
  </si>
  <si>
    <t>1592</t>
  </si>
  <si>
    <t>上場インデックスファンドＪＰＸ日経インデックス４００　受益証券</t>
  </si>
  <si>
    <t>Listed Index Fund JPX-Nikkei Index 400</t>
  </si>
  <si>
    <t>1593</t>
  </si>
  <si>
    <t>ＭＡＸＩＳ　ＪＰＸ日経インデックス４００上場投信　受益証券</t>
  </si>
  <si>
    <t>MAXIS JPX-Nikkei Index 400 ETF</t>
  </si>
  <si>
    <t>1595</t>
  </si>
  <si>
    <t>ＮＺＡＭ　上場投信　東証ＲＥＩＴ指数　受益証券</t>
  </si>
  <si>
    <t>NZAM ETF J-REIT Index</t>
  </si>
  <si>
    <t>1596</t>
  </si>
  <si>
    <t>ＮＺＡＭ　上場投信　ＴＯＰＩＸ　Ｅｘ－Ｆｉｎａｎｃｉａｌｓ　受益証券</t>
  </si>
  <si>
    <t>NZAM ETF TOPIX Ex-Financials</t>
  </si>
  <si>
    <t>1597</t>
  </si>
  <si>
    <t>ＭＡＸＩＳ　Ｊリート上場投信　受益証券</t>
  </si>
  <si>
    <t>MAXIS J-REIT ETF</t>
  </si>
  <si>
    <t>1598</t>
  </si>
  <si>
    <t>ＮＥＸＴ　ＦＵＮＤＳ　Ｒ／Ｎファンダメンタル・インデックス上場投信　受益証券</t>
  </si>
  <si>
    <t>NEXT FUNDS Russell/Nomura Fundamental Index ETF</t>
  </si>
  <si>
    <t>1599</t>
  </si>
  <si>
    <t>ダイワ上場投信－ＪＰＸ日経４００　受益証券</t>
  </si>
  <si>
    <t>Daiwa ETF JPX-Nikkei 400</t>
  </si>
  <si>
    <t>1615</t>
  </si>
  <si>
    <t>ＮＥＸＴ　ＦＵＮＤＳ　東証銀行業株価指数連動型上場投信　受益証券</t>
  </si>
  <si>
    <t>NEXT FUNDS TOPIX Banks Exchange Traded Fund</t>
  </si>
  <si>
    <t>1617</t>
  </si>
  <si>
    <t>ＮＥＸＴ　ＦＵＮＤＳ　食品（ＴＯＰＩＸ－１７）上場投信　受益証券</t>
  </si>
  <si>
    <t>NEXT FUNDS TOPIX-17 FOODS ETF</t>
  </si>
  <si>
    <t>1618</t>
  </si>
  <si>
    <t>ＮＥＸＴ　ＦＵＮＤＳ　エネルギー資源（ＴＯＰＩＸ－１７）上場投信　受益証券</t>
  </si>
  <si>
    <t>NEXT FUNDS TOPIX-17 ENERGY RESOURCES ETF</t>
  </si>
  <si>
    <t>1619</t>
  </si>
  <si>
    <t>ＮＥＸＴ　ＦＵＮＤＳ　建設・資材（ＴＯＰＩＸ－１７）上場投信　受益証券</t>
  </si>
  <si>
    <t>NEXT FUNDS TOPIX-17 CONSTRUCTION &amp; MATERIALS ETF</t>
  </si>
  <si>
    <t>1620</t>
  </si>
  <si>
    <t>ＮＥＸＴ　ＦＵＮＤＳ　素材・化学（ＴＯＰＩＸ－１７）上場投信　受益証券</t>
  </si>
  <si>
    <t>NEXT FUNDS TOPIX-17 RAW MATERIALS &amp; CHEMICALS ETF</t>
  </si>
  <si>
    <t>1621</t>
  </si>
  <si>
    <t>ＮＥＸＴ　ＦＵＮＤＳ　医薬品（ＴＯＰＩＸ－１７）上場投信　受益証券</t>
  </si>
  <si>
    <t>NEXT FUNDS TOPIX-17 PHARMACEUTICAL ETF</t>
  </si>
  <si>
    <t>1622</t>
  </si>
  <si>
    <t>ＮＥＸＴ　ＦＵＮＤＳ　自動車・輸送機（ＴＯＰＩＸ－１７）上場投信　受益証券</t>
  </si>
  <si>
    <t>NEXT FUNDS TOPIX-17 AUTOMOBILES TRANSPORTATION EQUIPMENT ETF</t>
  </si>
  <si>
    <t>1623</t>
  </si>
  <si>
    <t>ＮＥＸＴ　ＦＵＮＤＳ　鉄鋼・非鉄（ＴＯＰＩＸ－１７）上場投信　受益証券</t>
  </si>
  <si>
    <t>NEXT FUNDS TOPIX-17 STEEL &amp; NONFERROUS ETF</t>
  </si>
  <si>
    <t>1624</t>
  </si>
  <si>
    <t>ＮＥＸＴ　ＦＵＮＤＳ　機械（ＴＯＰＩＸ－１７）上場投信　受益証券</t>
  </si>
  <si>
    <t>NEXT FUNDS TOPIX-17 MACHINERY ETF</t>
  </si>
  <si>
    <t>17</t>
  </si>
  <si>
    <t>1625</t>
  </si>
  <si>
    <t>ＮＥＸＴ　ＦＵＮＤＳ　電機・精密（ＴＯＰＩＸ－１７）上場投信　受益証券</t>
  </si>
  <si>
    <t>NEXT FUNDS TOPIX-17 ELECTRIC &amp; PRECISION INSTRUMENTS ETF</t>
  </si>
  <si>
    <t>1626</t>
  </si>
  <si>
    <t>ＮＥＸＴ　ＦＵＮＤＳ　情報通信・サービスその他（ＴＯＰＩＸ－１７）上場投信　受益証券</t>
  </si>
  <si>
    <t>NEXT FUNDS TOPIX-17 IT &amp; SERVICES,OTHERS ETF</t>
  </si>
  <si>
    <t>1627</t>
  </si>
  <si>
    <t>ＮＥＸＴ　ＦＵＮＤＳ　電力・ガス（ＴＯＰＩＸ－１７）上場投信　受益証券</t>
  </si>
  <si>
    <t>NEXT FUNDS TOPIX-17 ELECTRIC POWER &amp; GAS ETF</t>
  </si>
  <si>
    <t>1628</t>
  </si>
  <si>
    <t>ＮＥＸＴ　ＦＵＮＤＳ　運輸・物流（ＴＯＰＩＸ－１７）上場投信　受益証券</t>
  </si>
  <si>
    <t>NEXT FUNDS TOPIX-17 TRANSPORTATION &amp; LOGISTICS ETF</t>
  </si>
  <si>
    <t>1629</t>
  </si>
  <si>
    <t>ＮＥＸＴ　ＦＵＮＤＳ　商社・卸売（ＴＯＰＩＸ－１７）上場投信　受益証券</t>
  </si>
  <si>
    <t>NEXT FUNDS TOPIX-17 COMMERCIAL &amp; WHOLESALE TRADE ETF</t>
  </si>
  <si>
    <t>1630</t>
  </si>
  <si>
    <t>ＮＥＸＴ　ＦＵＮＤＳ　小売（ＴＯＰＩＸ－１７）上場投信　受益証券</t>
  </si>
  <si>
    <t>NEXT FUNDS TOPIX-17 RETAIL TRADE ETF</t>
  </si>
  <si>
    <t>1631</t>
  </si>
  <si>
    <t>ＮＥＸＴ　ＦＵＮＤＳ　銀行（ＴＯＰＩＸ－１７）上場投信　受益証券</t>
  </si>
  <si>
    <t>NEXT FUNDS TOPIX-17 BANKS ETF</t>
  </si>
  <si>
    <t>1632</t>
  </si>
  <si>
    <t>ＮＥＸＴ　ＦＵＮＤＳ　金融（除く銀行）（ＴＯＰＩＸ－１７）上場投信　受益証券</t>
  </si>
  <si>
    <t>NEXT FUNDS TOPIX-17 FINANCIALS (EX BANKS) ETF</t>
  </si>
  <si>
    <t>1633</t>
  </si>
  <si>
    <t>ＮＥＸＴ　ＦＵＮＤＳ　不動産（ＴＯＰＩＸ－１７）上場投信　受益証券</t>
  </si>
  <si>
    <t>NEXT FUNDS TOPIX-17 REAL ESTATE ETF</t>
  </si>
  <si>
    <t>1651</t>
  </si>
  <si>
    <t>ダイワ上場投信－ＴＯＰＩＸ高配当４０指数　受益証券</t>
  </si>
  <si>
    <t>Daiwa ETF TOPIX High Dividend Yield 40 Index</t>
  </si>
  <si>
    <t>1652</t>
  </si>
  <si>
    <t>ダイワ上場投信－ＭＳＣＩ日本株女性活躍指数（ＷＩＮ）　受益証券</t>
  </si>
  <si>
    <t>Daiwa ETF MSCI Japan Empowering Women Index (WIN)</t>
  </si>
  <si>
    <t>1653</t>
  </si>
  <si>
    <t>ダイワ上場投信－ＭＳＣＩジャパンＥＳＧセレクト・リーダーズ指数　受益証券</t>
  </si>
  <si>
    <t>Daiwa ETF MSCI Japan ESG Select Leaders Index</t>
  </si>
  <si>
    <t>1654</t>
  </si>
  <si>
    <t>ダイワ上場投信－ＦＴＳＥ　Ｂｌｏｓｓｏｍ　Ｊａｐａｎ　Ｉｎｄｅｘ　受益証券</t>
  </si>
  <si>
    <t>Daiwa ETF FTSE Blossom Japan Index</t>
  </si>
  <si>
    <t>1655</t>
  </si>
  <si>
    <t>ｉシェアーズ　Ｓ＆Ｐ　５００　米国株　ＥＴＦ　受益証券</t>
  </si>
  <si>
    <t>iShares S&amp;P 500 ETF</t>
  </si>
  <si>
    <t>1656</t>
  </si>
  <si>
    <t>ｉシェアーズ・コア　米国債７－１０年　ＥＴＦ　受益証券</t>
  </si>
  <si>
    <t>iShares Core 7-10 Year US Treasury Bond ETF</t>
  </si>
  <si>
    <t>1657</t>
  </si>
  <si>
    <t>ｉシェアーズ・コア　ＭＳＣＩ　先進国株（除く日本）　ＥＴＦ　受益証券</t>
  </si>
  <si>
    <t>iShares Core MSCI Kokusai ETF</t>
  </si>
  <si>
    <t>1658</t>
  </si>
  <si>
    <t>ｉシェアーズ・コア　ＭＳＣＩ　新興国株　ＥＴＦ　受益証券</t>
  </si>
  <si>
    <t>iShares Core MSCI Emerging Markets IMI ETF</t>
  </si>
  <si>
    <t>1659</t>
  </si>
  <si>
    <t>ｉシェアーズ　米国リート　ＥＴＦ　受益証券</t>
  </si>
  <si>
    <t>iShares US REIT ETF</t>
  </si>
  <si>
    <t>1660</t>
  </si>
  <si>
    <t>ＭＡＸＩＳ高利回りＪリート上場投信　受益証券</t>
  </si>
  <si>
    <t>MAXIS High Yield J-REIT ETF</t>
  </si>
  <si>
    <t>1671</t>
  </si>
  <si>
    <t>ＷＴＩ原油価格連動型上場投信　受益証券</t>
  </si>
  <si>
    <t>Simplex WTI ETF</t>
  </si>
  <si>
    <t>1672</t>
  </si>
  <si>
    <t>ＥＴＦＳ　金上場投資信託　投資証券</t>
  </si>
  <si>
    <t>WisdomTree Physical Gold Individual Securities</t>
  </si>
  <si>
    <t>1673</t>
  </si>
  <si>
    <t>ＥＴＦＳ　銀上場投資信託　投資証券</t>
  </si>
  <si>
    <t>WisdomTree Physical Silver Individual Securities</t>
  </si>
  <si>
    <t>1674</t>
  </si>
  <si>
    <t>ＥＴＦＳ　白金上場投資信託　投資証券</t>
  </si>
  <si>
    <t>WisdomTree Physical Platinum Individual Securities</t>
  </si>
  <si>
    <t>1675</t>
  </si>
  <si>
    <t>ＥＴＦＳ　パラジウム上場投資信託　投資証券</t>
  </si>
  <si>
    <t>WisdomTree Physical Palladium Individual Securities</t>
  </si>
  <si>
    <t>1676</t>
  </si>
  <si>
    <t>ＥＴＦＳ　貴金属バスケット上場投資信託　投資証券</t>
  </si>
  <si>
    <t>WisdomTree Physical Precious Metals Basket Securities</t>
  </si>
  <si>
    <t>1677</t>
  </si>
  <si>
    <t>上場インデックスファンド海外債券（ＦＴＳＥ　ＷＧＢＩ）毎月分配型　受益証券</t>
  </si>
  <si>
    <t>Listed Index Fund International Bond (FTSE WGBI) Monthly Dividend Payment Type</t>
  </si>
  <si>
    <t>1678</t>
  </si>
  <si>
    <t>ＮＥＸＴ　ＦＵＮＤＳ　インド株式指数・Ｎｉｆｔｙ　５０連動型上場投信　受益証券</t>
  </si>
  <si>
    <t>NEXT FUNDS Nifty 50 Linked Exchange Traded Fund</t>
  </si>
  <si>
    <t>1679</t>
  </si>
  <si>
    <t>Ｓｉｍｐｌｅ－Ｘ　ＮＹダウ・ジョーンズ・インデックス上場投信　受益証券</t>
  </si>
  <si>
    <t>Simple-X NY Dow Jones Index ETF</t>
  </si>
  <si>
    <t>1680</t>
  </si>
  <si>
    <t>上場インデックスファンド海外先進国株式（ＭＳＣＩ－ＫＯＫＵＳＡＩ）　受益証券</t>
  </si>
  <si>
    <t>Listed Index Fund International Developed Countries Equity</t>
  </si>
  <si>
    <t>1681</t>
  </si>
  <si>
    <t>上場インデックスファンド海外新興国株式（ＭＳＣＩエマージング）　受益証券</t>
  </si>
  <si>
    <t>Listed Index Fund International Emerging Countries Equity</t>
  </si>
  <si>
    <t>1682</t>
  </si>
  <si>
    <t>ＮＥＸＴ　ＦＵＮＤＳ　日経・ＪＰＸ白金指数連動型上場投信　受益証券</t>
  </si>
  <si>
    <t>NEXT FUNDS Nikkei-JPX Platinum Index Linked Exchange Traded Fund</t>
  </si>
  <si>
    <t>1684</t>
  </si>
  <si>
    <t>ＥＴＦＳ　総合上場投資信託　投資証券</t>
  </si>
  <si>
    <t>WisdomTree Broad Commodities</t>
  </si>
  <si>
    <t>1685</t>
  </si>
  <si>
    <t>ＥＴＦＳ　エネルギー上場投資信託　投資証券</t>
  </si>
  <si>
    <t>WisdomTree Energy</t>
  </si>
  <si>
    <t>1686</t>
  </si>
  <si>
    <t>ＥＴＦＳ　産業用金属上場投資信託　投資証券</t>
  </si>
  <si>
    <t>WisdomTree Industrial Metals</t>
  </si>
  <si>
    <t>1687</t>
  </si>
  <si>
    <t>ＥＴＦＳ　農産物上場投資信託　投資証券</t>
  </si>
  <si>
    <t>WisdomTree Agriculture</t>
  </si>
  <si>
    <t>1688</t>
  </si>
  <si>
    <t>ＥＴＦＳ　穀物上場投資信託　投資証券</t>
  </si>
  <si>
    <t>WisdomTree Grains</t>
  </si>
  <si>
    <t>1689</t>
  </si>
  <si>
    <t>ＥＴＦＳ　天然ガス上場投資信託　投資証券</t>
  </si>
  <si>
    <t>WisdomTree Natural Gas</t>
  </si>
  <si>
    <t>1690</t>
  </si>
  <si>
    <t>ＥＴＦＳ　ＷＴＩ　原油上場投資信託　投資証券</t>
  </si>
  <si>
    <t>WisdomTree WTI Crude Oil</t>
  </si>
  <si>
    <t>1691</t>
  </si>
  <si>
    <t>ＥＴＦＳ　ガソリン上場投資信託　投資証券</t>
  </si>
  <si>
    <t>WisdomTree Gasoline</t>
  </si>
  <si>
    <t>1692</t>
  </si>
  <si>
    <t>ＥＴＦＳ　アルミニウム上場投資信託　投資証券</t>
  </si>
  <si>
    <t>WisdomTree Aluminium</t>
  </si>
  <si>
    <t>1693</t>
  </si>
  <si>
    <t>ＥＴＦＳ　銅上場投資信託　投資証券</t>
  </si>
  <si>
    <t>WisdomTree Copper</t>
  </si>
  <si>
    <t>1694</t>
  </si>
  <si>
    <t>ＥＴＦＳ　ニッケル上場投資信託　投資証券</t>
  </si>
  <si>
    <t>WisdomTree Nickel</t>
  </si>
  <si>
    <t>1695</t>
  </si>
  <si>
    <t>ＥＴＦＳ　小麦上場投資信託　投資証券</t>
  </si>
  <si>
    <t>WisdomTree Wheat</t>
  </si>
  <si>
    <t>1696</t>
  </si>
  <si>
    <t>ＥＴＦＳ　とうもろこし上場投資信託　投資証券</t>
  </si>
  <si>
    <t>WisdomTree Corn</t>
  </si>
  <si>
    <t>1697</t>
  </si>
  <si>
    <t>ＥＴＦＳ　大豆上場投資信託　投資証券</t>
  </si>
  <si>
    <t>WisdomTree Soybeans</t>
  </si>
  <si>
    <t>1698</t>
  </si>
  <si>
    <t>上場インデックスファンド日本高配当（東証配当フォーカス１００）　受益証券</t>
  </si>
  <si>
    <t>Listed Index Fund Japan High Dividend</t>
  </si>
  <si>
    <t>1699</t>
  </si>
  <si>
    <t>ＮＥＸＴ　ＦＵＮＤＳ　ＮＯＭＵＲＡ原油インデックス連動型上場投信　受益証券</t>
  </si>
  <si>
    <t>NEXT FUNDS NOMURA Crude Oil Long Index Linked Exchange</t>
  </si>
  <si>
    <t>2031</t>
  </si>
  <si>
    <t>ＮＥＸＴ　ＮＯＴＥＳ　香港ハンセン・ダブル・ブル　ＥＴＮ　受益証券</t>
  </si>
  <si>
    <t>NEXT NOTES HSI Leveraged ETN</t>
  </si>
  <si>
    <t>信用</t>
  </si>
  <si>
    <t>2032</t>
  </si>
  <si>
    <t>ＮＥＸＴ　ＮＯＴＥＳ　香港ハンセン・ベア　ＥＴＮ　受益証券</t>
  </si>
  <si>
    <t>NEXT NOTES HSI Short ETN</t>
  </si>
  <si>
    <t>2033</t>
  </si>
  <si>
    <t>ＮＥＸＴ　ＮＯＴＥＳ　韓国ＫＯＳＰＩ・ダブル・ブル　ＥＴＮ　受益証券</t>
  </si>
  <si>
    <t>NEXT NOTES KOSPI200 Leverage ETN</t>
  </si>
  <si>
    <t>2034</t>
  </si>
  <si>
    <t>ＮＥＸＴ　ＮＯＴＥＳ　韓国ＫＯＳＰＩ・ベア　ＥＴＮ　受益証券</t>
  </si>
  <si>
    <t>NEXT NOTES F-KOSPI200 Inverse ETN</t>
  </si>
  <si>
    <t>2035</t>
  </si>
  <si>
    <t>ＮＥＸＴ　ＮＯＴＥＳ　日経平均ＶＩ先物指数　ＥＴＮ　受益証券</t>
  </si>
  <si>
    <t>NEXT NOTES Nikkei 225 VI Futures Index ETN</t>
  </si>
  <si>
    <t>2036</t>
  </si>
  <si>
    <t>ＮＥＸＴ　ＮＯＴＥＳ　金先物　ダブル・ブル　ＥＴＮ　受益証券</t>
  </si>
  <si>
    <t>NEXT NOTES Gold Futures Double Bull ETN</t>
  </si>
  <si>
    <t>2037</t>
  </si>
  <si>
    <t>ＮＥＸＴ　ＮＯＴＥＳ　金先物　ベア　ＥＴＮ　受益証券</t>
  </si>
  <si>
    <t>NEXT NOTES Gold Futures Bear ETN</t>
  </si>
  <si>
    <t>2038</t>
  </si>
  <si>
    <t>ＮＥＸＴ　ＮＯＴＥＳ　ドバイ原油先物　ダブル・ブル　ＥＴＮ　受益証券</t>
  </si>
  <si>
    <t>NEXT NOTES Dubai Crude Oil Futures Double Bull ETN</t>
  </si>
  <si>
    <t>2039</t>
  </si>
  <si>
    <t>ＮＥＸＴ　ＮＯＴＥＳ　ドバイ原油先物　ベア　ＥＴＮ　受益証券</t>
  </si>
  <si>
    <t>NEXT NOTES Dubai Crude Oil Futures Bear ETN</t>
  </si>
  <si>
    <t>2040</t>
  </si>
  <si>
    <t>ＮＥＸＴ　ＮＯＴＥＳ　ＮＹダウ・ダブル・ブル・ドルヘッジ　ＥＴＮ　受益証券</t>
  </si>
  <si>
    <t>NEXT NOTES DJIA PR JPY-Monthly Hedged Leveraged (x2) ETN</t>
  </si>
  <si>
    <t>2041</t>
  </si>
  <si>
    <t>ＮＥＸＴ　ＮＯＴＥＳ　ＮＹダウ・ベア・ドルヘッジ　ＥＴＮ　受益証券</t>
  </si>
  <si>
    <t>NEXT NOTES DJIA TR JPY-Monthly Hedged Inverse (x1) ETN</t>
  </si>
  <si>
    <t>2042</t>
  </si>
  <si>
    <t>ＮＥＸＴ　ＮＯＴＥＳ　東証マザーズ　ＥＴＮ　受益証券</t>
  </si>
  <si>
    <t>NEXT NOTES Tokyo Stock Exchange Mothers Index ETN</t>
  </si>
  <si>
    <t>2043</t>
  </si>
  <si>
    <t>ＮＥＸＴ　ＮＯＴＥＳ　ＳＴＯＸＸ　アセアン好配当５０（円、ネットリターン）ＥＴＮ　受益証券</t>
  </si>
  <si>
    <t>NEXT NOTES STOXX ASEAN-Five Select Dividend 50(NR-JPY) ETN</t>
  </si>
  <si>
    <t>2044</t>
  </si>
  <si>
    <t>ＮＥＸＴ　ＮＯＴＥＳ　Ｓ＆Ｐ５００　配当貴族（ネットリターン）　ＥＴＮ　受益証券</t>
  </si>
  <si>
    <t>NEXT NOTES S&amp;P 500 Dividend Aristocrats Net Total Return Index ETN</t>
  </si>
  <si>
    <t>2045</t>
  </si>
  <si>
    <t>ＮＥＸＴ　ＮＯＴＥＳ　Ｓ＆Ｐ　シンガポール　リート（ネットリターン）　ＥＴＮ　受益証券</t>
  </si>
  <si>
    <t>NEXT NOTES S&amp;P Singapore REIT Net Total Return Index ETN</t>
  </si>
  <si>
    <t>2046</t>
  </si>
  <si>
    <t>ＮＥＸＴ　ＮＯＴＥＳ　インドＮｉｆｔｙ・ダブル・ブル　ＥＴＮ　受益証券</t>
  </si>
  <si>
    <t>NEXT NOTES Nifty PR 2x Leverage Index ETN</t>
  </si>
  <si>
    <t>2047</t>
  </si>
  <si>
    <t>ＮＥＸＴ　ＮＯＴＥＳ　インドＮｉｆｔｙ・ベア　ＥＴＮ　受益証券</t>
  </si>
  <si>
    <t>NEXT NOTES Nifty Total Returns(TR) Daily Inverse Index ETN</t>
  </si>
  <si>
    <t>2048</t>
  </si>
  <si>
    <t>ＮＥＸＴ　ＮＯＴＥＳ　野村日本株高配当７０（ドルヘッジ、ネットリターン）ＥＴＮ　受益証券</t>
  </si>
  <si>
    <t>NEXT NOTES Nomura Japan Equity High Dividend 70,Net Total Return US Dollar Hedged Index ETN</t>
  </si>
  <si>
    <t>2050</t>
  </si>
  <si>
    <t>ＮＥＸＴ　ＮＯＴＥＳ　ニッチトップ　中小型日本株（ネットリターン）ＥＴＮ　受益証券</t>
  </si>
  <si>
    <t>NEXT NOTES Niche Top Mid Small Cap Japan Equity, Net Total Return ETN</t>
  </si>
  <si>
    <t>2065</t>
  </si>
  <si>
    <t>ＮＥＸＴ　ＮＯＴＥＳ　日本株配当貴族（ドルヘッジ、ネットリターン）ＥＴＮ　受益証券</t>
  </si>
  <si>
    <t>NEXT NOTES S&amp;P/JPX Dividend Aristocrats Index USD Hedged NTR ETN</t>
  </si>
  <si>
    <t>2066</t>
  </si>
  <si>
    <t>ＮＥＸＴ　ＮＯＴＥＳ　東証ＲＥＩＴ（ドルヘッジ、ネットリターン）ＥＴＮ　受益証券</t>
  </si>
  <si>
    <t>NEXT NOTES Tokyo Stock Exchange REIT Net Total Return US Dollar Hedged Index ETN</t>
  </si>
  <si>
    <t>2067</t>
  </si>
  <si>
    <t>ＮＥＸＴ　ＮＯＴＥＳ　野村ＡＩビジネス７０（ネットリターン）ＥＴＮ　受益証券</t>
  </si>
  <si>
    <t>NEXT NOTES AI Companies 70,Net Total Return ETN</t>
  </si>
  <si>
    <t>2068</t>
  </si>
  <si>
    <t>ＮＥＸＴ　ＮＯＴＥＳ　高ベータ３０（ネットリターン）ＥＴＮ　受益証券</t>
  </si>
  <si>
    <t>NEXT NOTES Japan Equity High Beta Select 30,Net Total Return ETN</t>
  </si>
  <si>
    <t>2069</t>
  </si>
  <si>
    <t>ＮＥＸＴ　ＮＯＴＥＳ　低ベータ５０（ネットリターン）ＥＴＮ　受益証券</t>
  </si>
  <si>
    <t>NEXT NOTES Japan Equity Low Beta Select 50,Net Total Return ETN</t>
  </si>
  <si>
    <t>2070</t>
  </si>
  <si>
    <t>スマートＥＳＧ３０女性活躍（ネットリターン）ＥＴＮ　受益証券</t>
  </si>
  <si>
    <t>Smart ESG 30 Empowering Women Net Return ETN</t>
  </si>
  <si>
    <t>2071</t>
  </si>
  <si>
    <t>スマートＥＳＧ３０総合（ネットリターン）ＥＴＮ　受益証券</t>
  </si>
  <si>
    <t>Smart ESG 30 Net Return ETN</t>
  </si>
  <si>
    <t>2072</t>
  </si>
  <si>
    <t>トップシェアインデックス（ネットリターン）ＥＴＮ　受益証券</t>
  </si>
  <si>
    <t>Market Share Leaders Net Return ETN</t>
  </si>
  <si>
    <t>2510</t>
  </si>
  <si>
    <t>ＮＥＸＴ　ＦＵＮＤＳ　国内債券・ＮＯＭＵＲＡ－ＢＰＩ総合連動型上場投信　受益証券</t>
  </si>
  <si>
    <t>NEXT FUNDS Japan Bond NOMURA-BPI Exchange Traded Fund</t>
  </si>
  <si>
    <t>2511</t>
  </si>
  <si>
    <t>ＮＥＸＴ　ＦＵＮＤＳ　外国債券・ＦＴＳＥ世界国債インデックス（除く日本・為替ヘッジなし）連動型上場投信　受益証券</t>
  </si>
  <si>
    <t>NEXT FUNDS International Bond FTSE World Government Bond Index (ex Japan Unhedged) Exchange Traded Fund</t>
  </si>
  <si>
    <t>2512</t>
  </si>
  <si>
    <t>ＮＥＸＴ　ＦＵＮＤＳ　外国債券・ＦＴＳＥ世界国債インデックス（除く日本・為替ヘッジあり）連動型上場投信　受益証券</t>
  </si>
  <si>
    <t>NEXT FUNDS International Bond FTSE World Government Bond Index (ex Japan Yen-Hedged) Exchange Traded Fund</t>
  </si>
  <si>
    <t>2513</t>
  </si>
  <si>
    <t>ＮＥＸＴ　ＦＵＮＤＳ　外国株式・ＭＳＣＩ－ＫＯＫＵＳＡＩ指数（為替ヘッジなし）連動型上場投信　受益証券</t>
  </si>
  <si>
    <t>NEXT FUNDS International Equity MSCI-KOKUSAI (Unhedged) Exchange Traded Fund</t>
  </si>
  <si>
    <t>2514</t>
  </si>
  <si>
    <t>ＮＥＸＴ　ＦＵＮＤＳ　外国株式・ＭＳＣＩ－ＫＯＫＵＳＡＩ指数（為替ヘッジあり）連動型上場投信　受益証券</t>
  </si>
  <si>
    <t>NEXT FUNDS International Equity MSCI-KOKUSAI (Yen-Hedged) Exchange Traded Fund</t>
  </si>
  <si>
    <t>2515</t>
  </si>
  <si>
    <t>ＮＥＸＴ　ＦＵＮＤＳ　外国ＲＥＩＴ・Ｓ＆Ｐ先進国ＲＥＩＴ指数（除く日本・為替ヘッジなし）連動型上場投信　受益証券</t>
  </si>
  <si>
    <t>NEXT FUNDS International REIT S&amp;P Developed REIT Index (ex Japan Unhedged) Exchange Traded Fund</t>
  </si>
  <si>
    <t>2516</t>
  </si>
  <si>
    <t>東証マザーズＥＴＦ　受益証券</t>
  </si>
  <si>
    <t>TSE Mothers ETF</t>
  </si>
  <si>
    <t>2517</t>
  </si>
  <si>
    <t>ＭＡＸＩＳ　Ｊリート・コア上場投信　受益証券</t>
  </si>
  <si>
    <t>MAXIS J-REIT Core ETF</t>
  </si>
  <si>
    <t>2518</t>
  </si>
  <si>
    <t>ＮＥＸＴ　ＦＵＮＤＳ　ＭＳＣＩ日本株女性活躍指数（セレクト）連動型上場投信　受益証券</t>
  </si>
  <si>
    <t>NEXT FUNDS MSCI Japan Empowering Women Select Index Exchange Traded Fund</t>
  </si>
  <si>
    <t>2519</t>
  </si>
  <si>
    <t>ＮＥＸＴ　ＦＵＮＤＳ　新興国債券・Ｊ．Ｐ．モルガン・エマージング・マーケット・ボンド・インデックス・プラス（為替ヘッジなし）連動型上場投信　受益証券</t>
  </si>
  <si>
    <t>NEXT FUNDS Emerging Market Bond J.P. Morgan EMBI Plus (Unhedged) Exchange Traded Fund</t>
  </si>
  <si>
    <t>2520</t>
  </si>
  <si>
    <t>ＮＥＸＴ　ＦＵＮＤＳ　新興国株式・ＭＳＣＩエマージング・マーケット・インデックス（為替ヘッジなし）連動型上場投信　受益証券</t>
  </si>
  <si>
    <t>NEXT FUNDS Emerging Market Equity MSCI-EM (Unhedged) Exchange Traded Fund</t>
  </si>
  <si>
    <t>2521</t>
  </si>
  <si>
    <t>上場インデックスファンド米国株式（Ｓ＆Ｐ５００）為替ヘッジあり　受益証券</t>
  </si>
  <si>
    <t>Listed Index Fund US Equity (S&amp;P500) Currency Hedge</t>
  </si>
  <si>
    <t>2522</t>
  </si>
  <si>
    <t>ｉシェアーズ　オートメーション　＆　ロボット　ＥＴＦ　受益証券</t>
  </si>
  <si>
    <t>iShares Automation &amp; Robot ETF</t>
  </si>
  <si>
    <t>2523</t>
  </si>
  <si>
    <t>ＭＡＸＩＳトピックス（除く金融）上場投信　受益証券</t>
  </si>
  <si>
    <t>MAXIS TOPIX Ex-Financials ETF</t>
  </si>
  <si>
    <t>2524</t>
  </si>
  <si>
    <t>ＮＺＡＭ　上場投信　ＴＯＰＩＸ　受益証券</t>
  </si>
  <si>
    <t>NZAM ETF TOPIX</t>
  </si>
  <si>
    <t>2525</t>
  </si>
  <si>
    <t>ＮＺＡＭ　上場投信　日経２２５　受益証券</t>
  </si>
  <si>
    <t>NZAM ETF Nikkei 225</t>
  </si>
  <si>
    <t>2526</t>
  </si>
  <si>
    <t>ＮＺＡＭ　上場投信　ＪＰＸ日経４００　受益証券</t>
  </si>
  <si>
    <t>NZAM ETF JPX-Nikkei400</t>
  </si>
  <si>
    <t>2527</t>
  </si>
  <si>
    <t>ＮＺＡＭ　上場投信　東証ＲＥＩＴ　Ｃｏｒｅ指数　受益証券</t>
  </si>
  <si>
    <t>NZAM ETF J-REIT Core Index</t>
  </si>
  <si>
    <t>2528</t>
  </si>
  <si>
    <t>ダイワ上場投信－東証ＲＥＩＴ　Ｃｏｒｅ指数　受益証券</t>
  </si>
  <si>
    <t>Daiwa ETF Tokyo Stock Exchange REIT Core Index</t>
  </si>
  <si>
    <t>2529</t>
  </si>
  <si>
    <t>ＮＥＸＴ　ＦＵＮＤＳ　野村株主還元７０連動型上場投信　受益証券</t>
  </si>
  <si>
    <t>NEXT FUNDS Nomura Shareholder Yield 70 Exchange Traded Fund</t>
  </si>
  <si>
    <t>2530</t>
  </si>
  <si>
    <t>ＭＡＸＩＳ　ＨｕａＡｎ中国株式（上海１８０Ａ株）上場投信　受益証券</t>
  </si>
  <si>
    <t>MAXIS HuaAn China Equity (SSE 180 index) ETF</t>
  </si>
  <si>
    <t>2552</t>
  </si>
  <si>
    <t>上場インデックスファンドＪリート（東証ＲＥＩＴ指数）隔月分配型（ミニ）　受益証券</t>
  </si>
  <si>
    <t>Listed Index Fund J-REIT (Tokyo Stock Exchange REIT Index) Bi-Monthly Dividend Payment Type (Mini)</t>
  </si>
  <si>
    <t>2553</t>
  </si>
  <si>
    <t>Ｏｎｅ　ＥＴＦ　南方　中国Ａ株　ＣＳＩ５００　受益証券</t>
  </si>
  <si>
    <t>One ETF Southern China A-Share CSI 500</t>
  </si>
  <si>
    <t>2554</t>
  </si>
  <si>
    <t>ＮＥＸＴ　ＦＵＮＤＳ　ブルームバーグ・バークレイズ米国投資適格社債（１－１０年）インデックス（為替ヘッジあり）連動型上場投信　受益証券</t>
  </si>
  <si>
    <t>NEXT FUNDS Bloomberg Barclays US Intermediate Corporate Index (JPY Hedged) Exchange Traded Fund</t>
  </si>
  <si>
    <t>2555</t>
  </si>
  <si>
    <t>東証ＲＥＩＴ　ＥＴＦ　受益証券</t>
  </si>
  <si>
    <t>TSE REIT ETF</t>
  </si>
  <si>
    <t>2556</t>
  </si>
  <si>
    <t>Ｏｎｅ　ＥＴＦ　東証ＲＥＩＴ指数　受益証券</t>
  </si>
  <si>
    <t>One ETF Tokyo Stock Exchange REIT Index</t>
  </si>
  <si>
    <t>2557</t>
  </si>
  <si>
    <t>ＳＭＤＡＭ　トピックス上場投信　受益証券</t>
  </si>
  <si>
    <t>SMDAM TOPIX ETF</t>
  </si>
  <si>
    <t>2558</t>
  </si>
  <si>
    <t>ＭＡＸＩＳ米国株式（Ｓ＆Ｐ５００）上場投信　受益証券</t>
  </si>
  <si>
    <t>MAXIS S&amp;P500 US Equity ETF</t>
  </si>
  <si>
    <t>2559</t>
  </si>
  <si>
    <t>ＭＡＸＩＳ全世界株式（オール・カントリー）上場投信　受益証券</t>
  </si>
  <si>
    <t>MAXIS World Equity (MSCI ACWI) ETF</t>
  </si>
  <si>
    <t>2560</t>
  </si>
  <si>
    <t>ＭＡＸＩＳカーボン・エフィシェント日本株上場投信　受益証券</t>
  </si>
  <si>
    <t>MAXIS Carbon Efficient Japan Equity ETF</t>
  </si>
  <si>
    <t>2561</t>
  </si>
  <si>
    <t>ｉシェアーズ・コア　日本国債　ＥＴＦ　受益証券</t>
  </si>
  <si>
    <t>iShares Core Japan Government Bond ETF</t>
  </si>
  <si>
    <t>2562</t>
  </si>
  <si>
    <t>上場インデックスファンド米国株式（ダウ平均）為替ヘッジあり　受益証券</t>
  </si>
  <si>
    <t>Listed Index Fund US Equity (Dow Average) Currency Hedge</t>
  </si>
  <si>
    <t>2563</t>
  </si>
  <si>
    <t>ｉシェアーズ　Ｓ＆Ｐ　５００　米国株　ＥＴＦ（為替ヘッジあり）　受益証券</t>
  </si>
  <si>
    <t>iShares S&amp;P 500 JPY Hedged ETF</t>
  </si>
  <si>
    <t>2564</t>
  </si>
  <si>
    <t>グローバルＸ　ＭＳＣＩスーパーディビィデンド－日本株式　ＥＴＦ　受益証券</t>
  </si>
  <si>
    <t>Global X MSCI SuperDividend Japan ETF</t>
  </si>
  <si>
    <t>2565</t>
  </si>
  <si>
    <t>グローバルＸ　ロジスティクス・Ｊ－ＲＥＩＴ　ＥＴＦ　受益証券</t>
  </si>
  <si>
    <t>Global X Logistics J-REIT ETF</t>
  </si>
  <si>
    <t>2566</t>
  </si>
  <si>
    <t>上場インデックスファンド日経ＥＳＧリート　受益証券</t>
  </si>
  <si>
    <t>Listed Index Fund Nikkei ESG REIT</t>
  </si>
  <si>
    <t>2567</t>
  </si>
  <si>
    <t>ＮＺＡＭ　上場投信　Ｓ＆Ｐ／ＪＰＸカーボン・エフィシェント指数　受益証券</t>
  </si>
  <si>
    <t>NZAM ETF S&amp;P/JPX Carbon Efficient Index</t>
  </si>
  <si>
    <t>2568</t>
  </si>
  <si>
    <t>上場インデックスファンド米国株式（ＮＡＳＤＡＱ１００）為替ヘッジなし　受益証券</t>
  </si>
  <si>
    <t>Listed Index Fund US Equity (NASDAQ100) No Currency Hedge</t>
  </si>
  <si>
    <t>2569</t>
  </si>
  <si>
    <t>上場インデックスファンド米国株式（ＮＡＳＤＡＱ１００）為替ヘッジあり　受益証券</t>
  </si>
  <si>
    <t>Listed Index Fund US Equity (NASDAQ100) Currency Hedge</t>
  </si>
  <si>
    <t>2620</t>
  </si>
  <si>
    <t>ｉシェアーズ　米国債１－３年　ＥＴＦ　受益証券</t>
  </si>
  <si>
    <t>iShares 1-3 Year US Treasury Bond ETF</t>
  </si>
  <si>
    <t>2621</t>
  </si>
  <si>
    <t>ｉシェアーズ　米国債２０年超　ＥＴＦ（為替ヘッジあり）　受益証券</t>
  </si>
  <si>
    <t>iShares 20+ Year US Treasury Bond JPY Hedged ETF</t>
  </si>
  <si>
    <t>2622</t>
  </si>
  <si>
    <t>ｉシェアーズ　米ドル建て新興国債券　ＥＴＦ（為替ヘッジあり）　受益証券</t>
  </si>
  <si>
    <t>iShares USD Emerging Markets Bond JPY Hedged ETF</t>
  </si>
  <si>
    <t>2623</t>
  </si>
  <si>
    <t>ｉシェアーズ　ユーロ建て投資適格社債　ＥＴＦ（為替ヘッジあり）　受益証券</t>
  </si>
  <si>
    <t>iShares Euro Investment Grade Corporate Bond JPY Hedged ETF</t>
  </si>
  <si>
    <t>2624</t>
  </si>
  <si>
    <t>ｉＦｒｅｅＥＴＦ　日経２２５（年４回決算型）　受益証券</t>
  </si>
  <si>
    <t>iFreeETF-Nikkei225(Quarterly Dividend Type)</t>
  </si>
  <si>
    <t>2625</t>
  </si>
  <si>
    <t>ｉＦｒｅｅＥＴＦ　ＴＯＰＩＸ（年４回決算型）　受益証券</t>
  </si>
  <si>
    <t>iFreeETF-TOPIX(Quarterly Dividend Type)</t>
  </si>
  <si>
    <t>2626</t>
  </si>
  <si>
    <t>グローバルＸ　デジタル・イノベーション－日本株式　ＥＴＦ　受益証券</t>
  </si>
  <si>
    <t>Global X Digital Innovation Japan ETF</t>
  </si>
  <si>
    <t>2627</t>
  </si>
  <si>
    <t>グローバルＸ　ｅコマース－日本株式　ＥＴＦ　受益証券</t>
  </si>
  <si>
    <t>Global X E-Commerce Japan ETF</t>
  </si>
  <si>
    <t>2628</t>
  </si>
  <si>
    <t>ｉＦｒｅｅＥＴＦ　中国科創板５０（ＳＴＡＲ５０）　受益証券</t>
  </si>
  <si>
    <t>iFreeETF China STAR50</t>
  </si>
  <si>
    <t>2629</t>
  </si>
  <si>
    <t>ｉＦｒｅｅＥＴＦ　中国グレーターベイエリア・イノベーション１００（ＧＢＡ１００）　受益証券</t>
  </si>
  <si>
    <t>iFreeETF China GBA100</t>
  </si>
  <si>
    <t>2630</t>
  </si>
  <si>
    <t>ＭＡＸＩＳ米国株式（Ｓ＆Ｐ５００）上場投信（為替ヘッジあり）　受益証券</t>
  </si>
  <si>
    <t>MAXIS S&amp;P500 US Equity ETF (JPY Hedged)</t>
  </si>
  <si>
    <t>2631</t>
  </si>
  <si>
    <t>ＭＡＸＩＳナスダック１００上場投信　受益証券</t>
  </si>
  <si>
    <t>MAXIS NASDAQ100 ETF</t>
  </si>
  <si>
    <t>2632</t>
  </si>
  <si>
    <t>ＭＡＸＩＳナスダック１００上場投信（為替ヘッジあり）　受益証券</t>
  </si>
  <si>
    <t>MAXIS NASDAQ100 ETF (JPY Hedged)</t>
  </si>
  <si>
    <t>2633</t>
  </si>
  <si>
    <t>ＮＥＸＴ　ＦＵＮＤＳ　Ｓ＆Ｐ　５００　指数（為替ヘッジなし）連動型上場投信　受益証券</t>
  </si>
  <si>
    <t>NEXT FUNDS S&amp;P 500 (Unhedged) Exchange Traded Fund</t>
  </si>
  <si>
    <t>2634</t>
  </si>
  <si>
    <t>ＮＥＸＴ　ＦＵＮＤＳ　Ｓ＆Ｐ　５００　指数（為替ヘッジあり）連動型上場投信　受益証券</t>
  </si>
  <si>
    <t>NEXT FUNDS S&amp;P 500 (Yen-Hedged) Exchange Traded Fund</t>
  </si>
  <si>
    <t>2635</t>
  </si>
  <si>
    <t>ＮＥＸＴ　ＦＵＮＤＳ　Ｓ＆Ｐ　５００　ＥＳＧ指数連動型上場投信　受益証券</t>
  </si>
  <si>
    <t>NEXT FUNDS S&amp;P 500 ESG Index Exchange Traded Fund</t>
  </si>
  <si>
    <t>2636</t>
  </si>
  <si>
    <t>グローバルＸ　ＭＳＣＩ　ガバナンス・クオリティ－日本株式　ＥＴＦ　受益証券</t>
  </si>
  <si>
    <t>Global X MSCI Governance-Quality Japan ETF</t>
  </si>
  <si>
    <t>2637</t>
  </si>
  <si>
    <t>グローバルＸ　クリーンテック　ＥＳＧ－日本株式　ＥＴＦ　受益証券</t>
  </si>
  <si>
    <t>Global X CleanTech ESG Japan ETF</t>
  </si>
  <si>
    <t>2971</t>
  </si>
  <si>
    <t>エスコンジャパンリート投資法人　投資証券</t>
  </si>
  <si>
    <t>ESCON JAPAN REIT Investment Corporation</t>
  </si>
  <si>
    <t>2972</t>
  </si>
  <si>
    <t>サンケイリアルエステート投資法人　投資証券</t>
  </si>
  <si>
    <t>SANKEI REAL ESTATE Inc.</t>
  </si>
  <si>
    <t>2979</t>
  </si>
  <si>
    <t>ＳＯＳｉＬＡ物流リート投資法人　投資証券</t>
  </si>
  <si>
    <t>SOSiLA Logistics REIT,Inc.</t>
  </si>
  <si>
    <t>3226</t>
  </si>
  <si>
    <t>日本アコモデーションファンド投資法人　投資証券</t>
  </si>
  <si>
    <t>Nippon Accommodations Fund Inc.</t>
  </si>
  <si>
    <t>3234</t>
  </si>
  <si>
    <t>森ヒルズリート投資法人　投資証券</t>
  </si>
  <si>
    <t>MORI HILLS REIT INVESTMENT CORPORATION</t>
  </si>
  <si>
    <t>3249</t>
  </si>
  <si>
    <t>産業ファンド投資法人　投資証券</t>
  </si>
  <si>
    <t>Industrial &amp; Infrastructure Fund Investment Corporation</t>
  </si>
  <si>
    <t>3269</t>
  </si>
  <si>
    <t>アドバンス・レジデンス投資法人　投資証券</t>
  </si>
  <si>
    <t>Advance Residence Investment Corporation</t>
  </si>
  <si>
    <t>3278</t>
  </si>
  <si>
    <t>ケネディクス・レジデンシャル・ネクスト投資法人　投資証券</t>
  </si>
  <si>
    <t>Kenedix Residential Next Investment Corporation</t>
  </si>
  <si>
    <t>3279</t>
  </si>
  <si>
    <t>アクティビア・プロパティーズ投資法人　投資証券</t>
  </si>
  <si>
    <t>Activia Properties Inc.</t>
  </si>
  <si>
    <t>3281</t>
  </si>
  <si>
    <t>ＧＬＰ投資法人　投資証券</t>
  </si>
  <si>
    <t>GLP J-REIT</t>
  </si>
  <si>
    <t>3282</t>
  </si>
  <si>
    <t>コンフォリア・レジデンシャル投資法人　投資証券</t>
  </si>
  <si>
    <t>Comforia Residential REIT,Inc</t>
  </si>
  <si>
    <t>3283</t>
  </si>
  <si>
    <t>日本プロロジスリート投資法人　投資証券</t>
  </si>
  <si>
    <t>Nippon Prologis REIT,Inc.</t>
  </si>
  <si>
    <t>3287</t>
  </si>
  <si>
    <t>星野リゾート・リート投資法人　投資証券</t>
  </si>
  <si>
    <t>Hoshino Resorts REIT,Inc.</t>
  </si>
  <si>
    <t>3290</t>
  </si>
  <si>
    <t>Ｏｎｅリート投資法人　投資証券</t>
  </si>
  <si>
    <t>One REIT,Inc.</t>
  </si>
  <si>
    <t>3292</t>
  </si>
  <si>
    <t>イオンリート投資法人　投資証券</t>
  </si>
  <si>
    <t>AEON REIT Investment Corporation</t>
  </si>
  <si>
    <t>3295</t>
  </si>
  <si>
    <t>ヒューリックリート投資法人　投資証券</t>
  </si>
  <si>
    <t>Hulic Reit,Inc.</t>
  </si>
  <si>
    <t>3296</t>
  </si>
  <si>
    <t>日本リート投資法人　投資証券</t>
  </si>
  <si>
    <t>NIPPON REIT Investment Corporation</t>
  </si>
  <si>
    <t>3298</t>
  </si>
  <si>
    <t>インベスコ・オフィス・ジェイリート投資法人　投資証券</t>
  </si>
  <si>
    <t>Invesco Office J-REIT,Inc.</t>
  </si>
  <si>
    <t>3309</t>
  </si>
  <si>
    <t>積水ハウス・リート投資法人　投資証券</t>
  </si>
  <si>
    <t>Sekisui House Reit,Inc.</t>
  </si>
  <si>
    <t>3451</t>
  </si>
  <si>
    <t>トーセイ・リート投資法人　投資証券</t>
  </si>
  <si>
    <t>Tosei Reit Investment Corporation</t>
  </si>
  <si>
    <t>3453</t>
  </si>
  <si>
    <t>ケネディクス商業リート投資法人　投資証券</t>
  </si>
  <si>
    <t>Kenedix Retail REIT Corporation</t>
  </si>
  <si>
    <t>3455</t>
  </si>
  <si>
    <t>ヘルスケア＆メディカル投資法人　投資証券</t>
  </si>
  <si>
    <t>Healthcare &amp; Medical Investment Corporation</t>
  </si>
  <si>
    <t>3459</t>
  </si>
  <si>
    <t>サムティ・レジデンシャル投資法人　投資証券</t>
  </si>
  <si>
    <t>Samty Residential Investment Corporation</t>
  </si>
  <si>
    <t>3462</t>
  </si>
  <si>
    <t>野村不動産マスターファンド投資法人　投資証券</t>
  </si>
  <si>
    <t>Nomura Real Estate Master Fund,Inc.</t>
  </si>
  <si>
    <t>3463</t>
  </si>
  <si>
    <t>いちごホテルリート投資法人　投資証券</t>
  </si>
  <si>
    <t>Ichigo Hotel REIT Investment Corporation</t>
  </si>
  <si>
    <t>3466</t>
  </si>
  <si>
    <t>ラサールロジポート投資法人　投資証券</t>
  </si>
  <si>
    <t>LaSalle LOGIPORT REIT</t>
  </si>
  <si>
    <t>3468</t>
  </si>
  <si>
    <t>スターアジア不動産投資法人　投資証券</t>
  </si>
  <si>
    <t>Star Asia Investment Corporation</t>
  </si>
  <si>
    <t>3470</t>
  </si>
  <si>
    <t>マリモ地方創生リート投資法人　投資証券</t>
  </si>
  <si>
    <t>Marimo Regional Revitalization REIT,Inc.</t>
  </si>
  <si>
    <t>3471</t>
  </si>
  <si>
    <t>三井不動産ロジスティクスパーク投資法人　投資証券</t>
  </si>
  <si>
    <t>Mitsui Fudosan Logistics Park Inc.</t>
  </si>
  <si>
    <t>3472</t>
  </si>
  <si>
    <t>大江戸温泉リート投資法人　投資証券</t>
  </si>
  <si>
    <t>Ooedo Onsen Reit Investment Corporation</t>
  </si>
  <si>
    <t>3476</t>
  </si>
  <si>
    <t>投資法人みらい　投資証券</t>
  </si>
  <si>
    <t>MIRAI Corporation</t>
  </si>
  <si>
    <t>3478</t>
  </si>
  <si>
    <t>森トラスト・ホテルリート投資法人　投資証券</t>
  </si>
  <si>
    <t>MORI TRUST Hotel Reit,Inc.</t>
  </si>
  <si>
    <t>3481</t>
  </si>
  <si>
    <t>三菱地所物流リート投資法人　投資証券</t>
  </si>
  <si>
    <t>Mitsubishi Estate Logistics REIT Investment Corporation</t>
  </si>
  <si>
    <t>3487</t>
  </si>
  <si>
    <t>ＣＲＥロジスティクスファンド投資法人　投資証券</t>
  </si>
  <si>
    <t>CRE Logistics REIT,Inc.</t>
  </si>
  <si>
    <t>3488</t>
  </si>
  <si>
    <t>ザイマックス・リート投資法人　投資証券</t>
  </si>
  <si>
    <t>XYMAX REIT Investment Corporation</t>
  </si>
  <si>
    <t>3492</t>
  </si>
  <si>
    <t>タカラレーベン不動産投資法人　投資証券</t>
  </si>
  <si>
    <t>Takara Leben Real Estate Investment Corporation</t>
  </si>
  <si>
    <t>3493</t>
  </si>
  <si>
    <t>伊藤忠アドバンス・ロジスティクス投資法人　投資証券</t>
  </si>
  <si>
    <t>ITOCHU Advance Logistics Investment Corporation</t>
  </si>
  <si>
    <t>8951</t>
  </si>
  <si>
    <t>日本ビルファンド投資法人　投資証券</t>
  </si>
  <si>
    <t>Nippon Building Fund Inc.</t>
  </si>
  <si>
    <t>8952</t>
  </si>
  <si>
    <t>ジャパンリアルエステイト投資法人　投資証券</t>
  </si>
  <si>
    <t>Japan Real Estate Investment Corporation</t>
  </si>
  <si>
    <t>8953</t>
  </si>
  <si>
    <t>日本都市ファンド投資法人　投資証券</t>
  </si>
  <si>
    <t>Japan Metropolitan Fund Investment Corporation</t>
  </si>
  <si>
    <t>8954</t>
  </si>
  <si>
    <t>オリックス不動産投資法人　投資証券</t>
  </si>
  <si>
    <t>ORIX JREIT Inc.</t>
  </si>
  <si>
    <t>8955</t>
  </si>
  <si>
    <t>日本プライムリアルティ投資法人　投資証券</t>
  </si>
  <si>
    <t>Japan Prime Realty Investment Corporation</t>
  </si>
  <si>
    <t>8956</t>
  </si>
  <si>
    <t>ＮＴＴ都市開発リート投資法人　投資証券</t>
  </si>
  <si>
    <t>NTT UD REIT Investment Corporation</t>
  </si>
  <si>
    <t>8957</t>
  </si>
  <si>
    <t>東急リアル・エステート投資法人　投資証券</t>
  </si>
  <si>
    <t>TOKYU REIT, Inc.</t>
  </si>
  <si>
    <t>8958</t>
  </si>
  <si>
    <t>グローバル・ワン不動産投資法人　投資証券</t>
  </si>
  <si>
    <t>Global One Real Estate Investment Corporation</t>
  </si>
  <si>
    <t>8960</t>
  </si>
  <si>
    <t>ユナイテッド・アーバン投資法人　投資証券</t>
  </si>
  <si>
    <t>United Urban Investment Corporation</t>
  </si>
  <si>
    <t>8961</t>
  </si>
  <si>
    <t>森トラスト総合リート投資法人　投資証券</t>
  </si>
  <si>
    <t>MORI TRUST Sogo Reit, Inc.</t>
  </si>
  <si>
    <t>8963</t>
  </si>
  <si>
    <t>インヴィンシブル投資法人　投資証券</t>
  </si>
  <si>
    <t>Invincible Investment Corporation</t>
  </si>
  <si>
    <t>8964</t>
  </si>
  <si>
    <t>フロンティア不動産投資法人　投資証券</t>
  </si>
  <si>
    <t>Frontier Real Estate Investment Corporation</t>
  </si>
  <si>
    <t>8966</t>
  </si>
  <si>
    <t>平和不動産リート投資法人　投資証券</t>
  </si>
  <si>
    <t>HEIWA REAL ESTATE REIT,Inc.</t>
  </si>
  <si>
    <t>8967</t>
  </si>
  <si>
    <t>日本ロジスティクスファンド投資法人　投資証券</t>
  </si>
  <si>
    <t>Japan Logistics Fund,Inc.</t>
  </si>
  <si>
    <t>8968</t>
  </si>
  <si>
    <t>福岡リート投資法人　投資証券</t>
  </si>
  <si>
    <t>Fukuoka REIT Corporation</t>
  </si>
  <si>
    <t>8972</t>
  </si>
  <si>
    <t>ケネディクス・オフィス投資法人　投資証券</t>
  </si>
  <si>
    <t>Kenedix Office Investment Corporation</t>
  </si>
  <si>
    <t>8975</t>
  </si>
  <si>
    <t>いちごオフィスリート投資法人　投資証券</t>
  </si>
  <si>
    <t>Ichigo Office REIT Investment Corporation</t>
  </si>
  <si>
    <t>8976</t>
  </si>
  <si>
    <t>大和証券オフィス投資法人　投資証券</t>
  </si>
  <si>
    <t>Daiwa Office Investment Corporation</t>
  </si>
  <si>
    <t>8977</t>
  </si>
  <si>
    <t>阪急阪神リート投資法人　投資証券</t>
  </si>
  <si>
    <t>Hankyu Hanshin REIT,Inc.</t>
  </si>
  <si>
    <t>8979</t>
  </si>
  <si>
    <t>スターツプロシード投資法人　投資証券</t>
  </si>
  <si>
    <t>Starts Proceed Investment Corporation</t>
  </si>
  <si>
    <t>8984</t>
  </si>
  <si>
    <t>大和ハウスリート投資法人　投資証券</t>
  </si>
  <si>
    <t>Daiwa House REIT Investment Corporation</t>
  </si>
  <si>
    <t>8985</t>
  </si>
  <si>
    <t>ジャパン・ホテル・リート投資法人　投資証券</t>
  </si>
  <si>
    <t>Japan Hotel REIT Investment Corporation</t>
  </si>
  <si>
    <t>8986</t>
  </si>
  <si>
    <t>大和証券リビング投資法人　投資証券</t>
  </si>
  <si>
    <t>Daiwa Securities Living Investment Corporation</t>
  </si>
  <si>
    <t>8987</t>
  </si>
  <si>
    <t>ジャパンエクセレント投資法人　投資証券</t>
  </si>
  <si>
    <t>Japan Excellent,Inc.</t>
  </si>
  <si>
    <t>9281</t>
  </si>
  <si>
    <t>タカラレーベン・インフラ投資法人　投資証券</t>
  </si>
  <si>
    <t>Takara Leben Infrastructure Fund,Inc.</t>
  </si>
  <si>
    <t>9282</t>
  </si>
  <si>
    <t>いちごグリーンインフラ投資法人　投資証券</t>
  </si>
  <si>
    <t>Ichigo Green Infrastructure Investment Corporation</t>
  </si>
  <si>
    <t>9283</t>
  </si>
  <si>
    <t>日本再生可能エネルギーインフラ投資法人　投資証券</t>
  </si>
  <si>
    <t>Renewable Japan Energy Infrastructure Fund,Inc.</t>
  </si>
  <si>
    <t>9284</t>
  </si>
  <si>
    <t>カナディアン・ソーラー・インフラ投資法人　投資証券</t>
  </si>
  <si>
    <t>Canadian Solar Infrastructure Fund,Inc.</t>
  </si>
  <si>
    <t>9285</t>
  </si>
  <si>
    <t>東京インフラ・エネルギー投資法人　投資証券</t>
  </si>
  <si>
    <t>Tokyo Infrastructure Energy Investment Corporation</t>
  </si>
  <si>
    <t>9286</t>
  </si>
  <si>
    <t>エネクス・インフラ投資法人　投資証券</t>
  </si>
  <si>
    <t>Enex Infrastructure Investment Corporation</t>
  </si>
  <si>
    <t>9287</t>
  </si>
  <si>
    <t>ジャパン・インフラファンド投資法人　投資証券</t>
  </si>
  <si>
    <t>Japan Infrastructure Fund Investment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</si>
</sst>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borderId="0" fillId="0" fontId="0" numFmtId="0">
      <alignment vertical="center"/>
    </xf>
    <xf borderId="0" fillId="0" fontId="1" numFmtId="0">
      <alignment vertical="center"/>
    </xf>
    <xf borderId="0" fillId="0" fontId="8" numFmtId="0"/>
    <xf applyAlignment="0" applyBorder="0" applyFill="0" applyFont="0" applyProtection="0" borderId="0" fillId="0" fontId="2" numFmtId="9"/>
    <xf borderId="0" fillId="0" fontId="12" numFmtId="0"/>
    <xf borderId="0" fillId="0" fontId="8" numFmtId="0"/>
    <xf applyAlignment="0" applyBorder="0" applyNumberFormat="0" applyProtection="0" borderId="0" fillId="2" fontId="13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2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3" numFmtId="0"/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5" fontId="13" numFmtId="0"/>
    <xf applyAlignment="0" applyBorder="0" applyNumberFormat="0" applyProtection="0" borderId="0" fillId="8" fontId="13" numFmtId="0"/>
    <xf applyAlignment="0" applyBorder="0" applyNumberFormat="0" applyProtection="0" borderId="0" fillId="11" fontId="13" numFmtId="0"/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2" fontId="15" numFmtId="0"/>
    <xf applyAlignment="0" applyBorder="0" applyNumberFormat="0" applyProtection="0" borderId="0" fillId="9" fontId="15" numFmtId="0"/>
    <xf applyAlignment="0" applyBorder="0" applyNumberFormat="0" applyProtection="0" borderId="0" fillId="10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12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9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5" numFmtId="0"/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3" fontId="15" numFmtId="0"/>
    <xf applyAlignment="0" applyBorder="0" applyNumberFormat="0" applyProtection="0" borderId="0" fillId="14" fontId="15" numFmtId="0"/>
    <xf applyAlignment="0" applyBorder="0" applyNumberFormat="0" applyProtection="0" borderId="0" fillId="19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3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7" numFmtId="177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7" fillId="20" fontId="21" numFmtId="0"/>
    <xf applyAlignment="0" applyNumberFormat="0" applyProtection="0" borderId="28" fillId="21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4" fontId="27" numFmtId="0"/>
    <xf applyAlignment="0" applyBorder="0" applyNumberFormat="0" applyProtection="0" borderId="0" fillId="22" fontId="28" numFmtId="38"/>
    <xf borderId="0" fillId="23" fontId="29" numFmtId="0"/>
    <xf applyAlignment="0" applyNumberFormat="0" applyProtection="0" borderId="29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borderId="26" fillId="0" fontId="30" numFmtId="0">
      <alignment horizontal="left" vertical="center"/>
    </xf>
    <xf applyAlignment="0" applyFill="0" applyNumberFormat="0" applyProtection="0" borderId="30" fillId="0" fontId="31" numFmtId="0"/>
    <xf applyAlignment="0" applyFill="0" applyNumberFormat="0" applyProtection="0" borderId="31" fillId="0" fontId="32" numFmtId="0"/>
    <xf applyAlignment="0" applyFill="0" applyNumberFormat="0" applyProtection="0" borderId="32" fillId="0" fontId="33" numFmtId="0"/>
    <xf applyAlignment="0" applyBorder="0" applyFill="0" applyNumberFormat="0" applyProtection="0" borderId="0" fillId="0" fontId="33" numFmtId="0"/>
    <xf applyBorder="0" borderId="0" fillId="0" fontId="7" numFmtId="0"/>
    <xf applyAlignment="0" applyNumberFormat="0" applyProtection="0" borderId="27" fillId="7" fontId="34" numFmtId="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Border="0" applyNumberFormat="0" applyProtection="0" borderId="21" fillId="24" fontId="28" numFmtId="1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applyAlignment="0" applyNumberFormat="0" applyProtection="0" borderId="27" fillId="7" fontId="34" numFmtId="0"/>
    <xf borderId="0" fillId="0" fontId="7" numFmtId="0"/>
    <xf applyAlignment="0" applyFill="0" applyNumberFormat="0" applyProtection="0" borderId="33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5" fontId="37" numFmtId="0"/>
    <xf borderId="0" fillId="0" fontId="38" numFmtId="37"/>
    <xf borderId="0" fillId="0" fontId="39" numFmtId="182"/>
    <xf borderId="0" fillId="0" fontId="7" numFmtId="183"/>
    <xf borderId="0" fillId="0" fontId="7" numFmtId="183"/>
    <xf borderId="0" fillId="0" fontId="39" numFmtId="182"/>
    <xf borderId="0" fillId="0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Font="0" applyNumberFormat="0" applyProtection="0" borderId="34" fillId="26" fontId="24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applyAlignment="0" applyNumberFormat="0" applyProtection="0" borderId="35" fillId="20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36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Fill="0" applyNumberFormat="0" applyProtection="0" borderId="37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applyAlignment="0" applyNumberFormat="0" applyProtection="0" borderId="28" fillId="21" fontId="52" numFmtId="0">
      <alignment vertical="center"/>
    </xf>
    <xf borderId="0" fillId="0" fontId="53" numFmtId="0"/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NumberFormat="0" applyProtection="0" borderId="0" fillId="25" fontId="54" numFmtId="0">
      <alignment vertical="center"/>
    </xf>
    <xf applyAlignment="0" applyBorder="0" applyFill="0" applyFont="0" applyProtection="0" borderId="0" fillId="0" fontId="8" numFmtId="9"/>
    <xf applyAlignment="0" applyBorder="0" applyFill="0" applyFont="0" applyProtection="0" borderId="0" fillId="0" fontId="8" numFmtId="9">
      <alignment vertical="center"/>
    </xf>
    <xf applyAlignment="0" applyBorder="0" applyFill="0" applyFont="0" applyProtection="0" borderId="0" fillId="0" fontId="8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14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7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ont="0" applyNumberFormat="0" applyProtection="0" borderId="34" fillId="26" fontId="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applyAlignment="0" applyFill="0" applyNumberFormat="0" applyProtection="0" borderId="33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Border="0" applyNumberFormat="0" applyProtection="0" borderId="0" fillId="3" fontId="60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NumberFormat="0" applyProtection="0" borderId="27" fillId="20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8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8" numFmtId="38"/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0" fillId="0" fontId="67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1" fillId="0" fontId="68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Fill="0" applyNumberFormat="0" applyProtection="0" borderId="32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17" fillId="27" fontId="71" numFmtId="49"/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Fill="0" applyNumberFormat="0" applyProtection="0" borderId="37" fillId="0" fontId="72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applyAlignment="0" applyNumberFormat="0" applyProtection="0" borderId="35" fillId="20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7" numFmtId="8"/>
    <xf applyAlignment="0" applyBorder="0" applyFill="0" applyFont="0" applyProtection="0" borderId="0" fillId="0" fontId="8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8" numFmtId="6"/>
    <xf applyAlignment="0" applyBorder="0" applyFill="0" applyFont="0" applyProtection="0" borderId="0" fillId="0" fontId="7" numFmtId="6">
      <alignment vertical="center"/>
    </xf>
    <xf applyAlignment="0" applyBorder="0" applyFill="0" applyFont="0" applyProtection="0" borderId="0" fillId="0" fontId="8" numFmtId="6"/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applyAlignment="0" applyNumberFormat="0" applyProtection="0" borderId="27" fillId="7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64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9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8" numFmtId="0"/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2" numFmtId="0"/>
    <xf borderId="0" fillId="0" fontId="64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7" numFmtId="0">
      <alignment vertical="center"/>
    </xf>
    <xf borderId="0" fillId="0" fontId="83" numFmtId="0"/>
    <xf borderId="0" fillId="0" fontId="66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8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2" numFmtId="0"/>
    <xf borderId="0" fillId="0" fontId="79" numFmtId="0">
      <alignment vertical="center"/>
    </xf>
    <xf borderId="0" fillId="0" fontId="2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/>
    <xf borderId="0" fillId="0" fontId="8" numFmtId="0"/>
    <xf borderId="0" fillId="0" fontId="14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" numFmtId="0"/>
    <xf borderId="0" fillId="0" fontId="8" numFmtId="0"/>
    <xf borderId="0" fillId="0" fontId="83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3" numFmtId="0"/>
    <xf borderId="0" fillId="0" fontId="83" numFmtId="0"/>
    <xf borderId="0" fillId="0" fontId="8" numFmtId="0"/>
    <xf borderId="0" fillId="0" fontId="83" numFmtId="0"/>
    <xf borderId="0" fillId="0" fontId="14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4" numFmtId="0">
      <alignment vertical="center"/>
    </xf>
    <xf borderId="0" fillId="0" fontId="8" numFmtId="0"/>
    <xf borderId="0" fillId="0" fontId="8" numFmtId="0"/>
    <xf borderId="0" fillId="0" fontId="66" numFmtId="0"/>
    <xf borderId="0" fillId="0" fontId="66" numFmtId="0"/>
    <xf borderId="0" fillId="0" fontId="8" numFmtId="0"/>
    <xf borderId="0" fillId="0" fontId="8" numFmtId="0"/>
    <xf borderId="0" fillId="0" fontId="7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8" numFmtId="0"/>
    <xf borderId="0" fillId="0" fontId="8" numFmtId="0"/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8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8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/>
    <xf borderId="0" fillId="0" fontId="8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8" numFmtId="0"/>
    <xf borderId="0" fillId="0" fontId="66" numFmtId="0">
      <alignment vertical="center"/>
    </xf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2" numFmtId="0">
      <alignment vertical="center"/>
    </xf>
    <xf borderId="0" fillId="0" fontId="8" numFmtId="0"/>
    <xf borderId="0" fillId="0" fontId="8" numFmtId="0">
      <alignment vertical="center"/>
    </xf>
    <xf borderId="0" fillId="0" fontId="82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8" numFmtId="0">
      <alignment vertical="center"/>
    </xf>
    <xf borderId="0" fillId="0" fontId="87" numFmtId="0">
      <alignment vertical="center"/>
    </xf>
    <xf borderId="0" fillId="0" fontId="8" numFmtId="0"/>
    <xf borderId="0" fillId="0" fontId="8" numFmtId="0">
      <alignment vertical="center"/>
    </xf>
    <xf borderId="0" fillId="0" fontId="8" numFmtId="0"/>
    <xf borderId="0" fillId="0" fontId="2" numFmtId="0"/>
    <xf borderId="0" fillId="0" fontId="87" numFmtId="0">
      <alignment vertical="center"/>
    </xf>
    <xf borderId="0" fillId="0" fontId="2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8" numFmtId="0">
      <alignment vertical="center"/>
    </xf>
    <xf borderId="0" fillId="0" fontId="8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applyAlignment="0" applyBorder="0" applyNumberFormat="0" applyProtection="0" borderId="0" fillId="4" fontId="93" numFmtId="0">
      <alignment vertical="center"/>
    </xf>
    <xf borderId="0" fillId="0" fontId="8" numFmtId="0"/>
  </cellStyleXfs>
  <cellXfs count="47">
    <xf borderId="0" fillId="0" fontId="0" numFmtId="0" xfId="0">
      <alignment vertical="center"/>
    </xf>
    <xf applyFont="1" borderId="0" fillId="0" fontId="4" numFmtId="0" xfId="1">
      <alignment vertical="center"/>
    </xf>
    <xf applyFont="1" borderId="0" fillId="0" fontId="9" numFmtId="0" xfId="1">
      <alignment vertical="center"/>
    </xf>
    <xf applyFont="1" applyNumberFormat="1" borderId="0" fillId="0" fontId="4" numFmtId="0" xfId="1">
      <alignment vertical="center"/>
    </xf>
    <xf applyBorder="1" applyFill="1" applyFont="1" borderId="1" fillId="0" fontId="2" numFmtId="0" xfId="1">
      <alignment vertical="center"/>
    </xf>
    <xf applyBorder="1" applyFill="1" applyFont="1" borderId="2" fillId="0" fontId="2" numFmtId="0" xfId="1">
      <alignment vertical="center"/>
    </xf>
    <xf applyBorder="1" applyFill="1" applyFont="1" applyNumberFormat="1" borderId="2" fillId="0" fontId="2" numFmtId="0" xfId="1">
      <alignment vertical="center"/>
    </xf>
    <xf applyAlignment="1" applyBorder="1" applyFill="1" applyFont="1" borderId="9" fillId="0" fontId="7" numFmtId="0" xfId="1">
      <alignment horizontal="center" vertical="center"/>
    </xf>
    <xf applyAlignment="1" applyBorder="1" applyFill="1" applyFont="1" applyNumberFormat="1" borderId="1" fillId="0" fontId="7" numFmtId="0" xfId="1">
      <alignment horizontal="center" vertical="center"/>
    </xf>
    <xf applyAlignment="1" applyBorder="1" applyFill="1" applyFont="1" applyNumberFormat="1" borderId="10" fillId="0" fontId="7" numFmtId="0" xfId="1">
      <alignment horizontal="center" vertical="center"/>
    </xf>
    <xf applyAlignment="1" applyBorder="1" applyFill="1" applyFont="1" borderId="11" fillId="0" fontId="7" numFmtId="0" xfId="1">
      <alignment horizontal="center" vertical="center"/>
    </xf>
    <xf applyAlignment="1" applyBorder="1" applyFill="1" applyFont="1" borderId="12" fillId="0" fontId="7" numFmtId="0" xfId="1">
      <alignment horizontal="center" vertical="center"/>
    </xf>
    <xf applyAlignment="1" applyBorder="1" applyFill="1" applyFont="1" applyNumberFormat="1" borderId="9" fillId="0" fontId="7" numFmtId="49" xfId="2">
      <alignment horizontal="center" vertical="center"/>
    </xf>
    <xf applyAlignment="1" applyBorder="1" applyFill="1" applyFont="1" borderId="13" fillId="0" fontId="2" numFmtId="0" xfId="1">
      <alignment horizontal="center" vertical="center"/>
    </xf>
    <xf applyAlignment="1" applyBorder="1" applyFill="1" applyFont="1" applyNumberFormat="1" borderId="4" fillId="0" fontId="2" numFmtId="0" xfId="1">
      <alignment horizontal="center" vertical="center"/>
    </xf>
    <xf applyAlignment="1" applyBorder="1" applyFill="1" applyFont="1" applyNumberFormat="1" borderId="14" fillId="0" fontId="2" numFmtId="0" xfId="1">
      <alignment horizontal="center" vertical="center"/>
    </xf>
    <xf applyAlignment="1" applyBorder="1" applyFill="1" applyFont="1" applyNumberFormat="1" borderId="15" fillId="0" fontId="2" numFmtId="49" xfId="2">
      <alignment horizontal="center" vertical="center"/>
    </xf>
    <xf applyAlignment="1" applyBorder="1" applyFill="1" applyFont="1" applyNumberFormat="1" borderId="13" fillId="0" fontId="7" numFmtId="49" xfId="2">
      <alignment horizontal="center" vertical="center"/>
    </xf>
    <xf applyAlignment="1" applyBorder="1" applyFill="1" applyFont="1" applyNumberFormat="1" borderId="16" fillId="0" fontId="2" numFmtId="49" xfId="2">
      <alignment horizontal="center" vertical="center"/>
    </xf>
    <xf applyAlignment="1" applyBorder="1" applyFill="1" applyFont="1" applyNumberFormat="1" borderId="13" fillId="0" fontId="2" numFmtId="49" xfId="2">
      <alignment horizontal="center" vertical="center"/>
    </xf>
    <xf applyAlignment="1" applyBorder="1" applyFill="1" applyFont="1" borderId="17" fillId="0" fontId="2" numFmtId="0" xfId="1">
      <alignment horizontal="right" vertical="center"/>
    </xf>
    <xf applyAlignment="1" applyBorder="1" applyFill="1" applyFont="1" applyNumberFormat="1" borderId="6" fillId="0" fontId="2" numFmtId="0" xfId="1">
      <alignment horizontal="right" vertical="center"/>
    </xf>
    <xf applyAlignment="1" applyBorder="1" applyFill="1" applyFont="1" applyNumberFormat="1" borderId="18" fillId="0" fontId="2" numFmtId="0" xfId="1">
      <alignment horizontal="right" vertical="center"/>
    </xf>
    <xf applyAlignment="1" applyBorder="1" applyFill="1" applyFont="1" applyNumberFormat="1" borderId="19" fillId="0" fontId="2" numFmtId="0" xfId="1">
      <alignment horizontal="right" vertical="center"/>
    </xf>
    <xf applyAlignment="1" applyBorder="1" applyFill="1" applyFont="1" applyNumberFormat="1" borderId="17" fillId="0" fontId="11" numFmtId="49" xfId="2">
      <alignment horizontal="right"/>
    </xf>
    <xf applyAlignment="1" applyBorder="1" applyFill="1" applyFont="1" applyNumberFormat="1" borderId="20" fillId="0" fontId="11" numFmtId="49" xfId="2">
      <alignment horizontal="right"/>
    </xf>
    <xf applyAlignment="1" applyBorder="1" applyFill="1" applyFont="1" applyNumberFormat="1" borderId="19" fillId="0" fontId="11" numFmtId="49" xfId="2">
      <alignment horizontal="right"/>
    </xf>
    <xf applyAlignment="1" applyBorder="1" applyFill="1" applyFont="1" applyNumberFormat="1" borderId="21" fillId="0" fontId="7" numFmtId="49" xfId="1">
      <alignment horizontal="left" vertical="center"/>
    </xf>
    <xf applyAlignment="1" applyBorder="1" applyFill="1" applyFont="1" applyNumberFormat="1" borderId="22" fillId="0" fontId="7" numFmtId="49" xfId="1">
      <alignment horizontal="left" vertical="center"/>
    </xf>
    <xf applyAlignment="1" applyBorder="1" applyFill="1" applyFont="1" applyNumberFormat="1" borderId="23" fillId="0" fontId="7" numFmtId="49" xfId="1">
      <alignment horizontal="left" vertical="center"/>
    </xf>
    <xf applyAlignment="1" applyBorder="1" applyFill="1" applyFont="1" applyNumberFormat="1" borderId="24" fillId="0" fontId="7" numFmtId="49" xfId="1">
      <alignment horizontal="left" vertical="center"/>
    </xf>
    <xf applyAlignment="1" applyBorder="1" applyFill="1" applyFont="1" applyNumberFormat="1" borderId="21" fillId="0" fontId="7" numFmtId="49" xfId="2">
      <alignment horizontal="left"/>
    </xf>
    <xf applyAlignment="1" applyBorder="1" applyFill="1" applyFont="1" applyNumberFormat="1" borderId="21" fillId="0" fontId="7" numFmtId="3" xfId="2">
      <alignment horizontal="right"/>
    </xf>
    <xf applyAlignment="1" applyBorder="1" applyFill="1" applyFont="1" applyNumberFormat="1" borderId="25" fillId="0" fontId="7" numFmtId="4" xfId="2">
      <alignment horizontal="right"/>
    </xf>
    <xf applyAlignment="1" applyBorder="1" applyFill="1" applyFont="1" applyNumberFormat="1" borderId="24" fillId="0" fontId="7" numFmtId="49" xfId="2">
      <alignment horizontal="right"/>
    </xf>
    <xf applyAlignment="1" applyBorder="1" applyFill="1" applyFont="1" applyNumberFormat="1" borderId="21" fillId="0" fontId="7" numFmtId="4" xfId="2">
      <alignment horizontal="right"/>
    </xf>
    <xf applyAlignment="1" applyBorder="1" applyFill="1" applyFont="1" applyNumberFormat="1" borderId="21" fillId="0" fontId="7" numFmtId="189" xfId="2">
      <alignment horizontal="right"/>
    </xf>
    <xf applyAlignment="1" applyBorder="1" applyFill="1" applyFont="1" borderId="2" fillId="0" fontId="2" numFmtId="0" xfId="1">
      <alignment horizontal="left" vertical="top" wrapText="1"/>
    </xf>
    <xf applyAlignment="1" applyBorder="1" applyFill="1" applyFont="1" borderId="3" fillId="0" fontId="2" numFmtId="0" xfId="1">
      <alignment horizontal="left" vertical="top" wrapText="1"/>
    </xf>
    <xf applyAlignment="1" applyBorder="1" applyFill="1" applyFont="1" borderId="0" fillId="0" fontId="2" numFmtId="0" xfId="1">
      <alignment horizontal="left" vertical="top" wrapText="1"/>
    </xf>
    <xf applyAlignment="1" applyBorder="1" applyFill="1" applyFont="1" borderId="5" fillId="0" fontId="2" numFmtId="0" xfId="1">
      <alignment horizontal="left" vertical="top" wrapText="1"/>
    </xf>
    <xf applyAlignment="1" applyBorder="1" applyFill="1" applyFont="1" borderId="7" fillId="0" fontId="2" numFmtId="0" xfId="1">
      <alignment horizontal="left" vertical="top" wrapText="1"/>
    </xf>
    <xf applyAlignment="1" applyBorder="1" applyFill="1" applyFont="1" borderId="8" fillId="0" fontId="2" numFmtId="0" xfId="1">
      <alignment horizontal="left" vertical="top" wrapText="1"/>
    </xf>
    <xf applyAlignment="1" applyBorder="1" applyFill="1" applyFont="1" borderId="4" fillId="0" fontId="5" numFmtId="0" xfId="1">
      <alignment horizontal="center" vertical="center"/>
    </xf>
    <xf applyAlignment="1" applyBorder="1" applyFill="1" applyFont="1" borderId="0" fillId="0" fontId="5" numFmtId="0" xfId="1">
      <alignment horizontal="center" vertical="center"/>
    </xf>
    <xf applyAlignment="1" applyBorder="1" applyFill="1" applyFont="1" borderId="6" fillId="0" fontId="6" numFmtId="0" xfId="1">
      <alignment horizontal="center" vertical="center"/>
    </xf>
    <xf applyAlignment="1" applyBorder="1" applyFill="1" applyFont="1" borderId="7" fillId="0" fontId="6" numFmtId="0" xfId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344"/>
  <sheetViews>
    <sheetView showGridLines="0" tabSelected="1" view="pageBreakPreview" workbookViewId="0" zoomScaleNormal="70" zoomScaleSheetLayoutView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3.125" collapsed="false"/>
    <col min="2" max="2" bestFit="true" customWidth="true" style="1" width="10.75" collapsed="false"/>
    <col min="3" max="4" bestFit="true" customWidth="true" style="1" width="59.625" collapsed="false"/>
    <col min="5" max="5" bestFit="true" customWidth="true" style="3" width="13.75" collapsed="false"/>
    <col min="6" max="6" bestFit="true" customWidth="true" style="3" width="20.75" collapsed="false"/>
    <col min="7" max="7" customWidth="true" style="3" width="11.25" collapsed="false"/>
    <col min="8" max="8" bestFit="true" customWidth="true" style="1" width="8.75" collapsed="false"/>
    <col min="9" max="9" bestFit="true" customWidth="true" style="1" width="11.75" collapsed="false"/>
    <col min="10" max="10" bestFit="true" customWidth="true" style="1" width="12.625" collapsed="false"/>
    <col min="11" max="11" customWidth="true" style="1" width="16.25" collapsed="false"/>
    <col min="12" max="12" bestFit="true" customWidth="true" style="1" width="5.62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bestFit="true" customWidth="true" style="1" width="23.875" collapsed="false"/>
    <col min="20" max="20" customWidth="true" style="1" width="16.25" collapsed="false"/>
    <col min="21" max="21" bestFit="true" customWidth="true" style="1" width="26.125" collapsed="false"/>
    <col min="22" max="22" bestFit="true" customWidth="true" style="1" width="19.875" collapsed="false"/>
    <col min="23" max="23" bestFit="true" customWidth="true" style="1" width="25.0" collapsed="false"/>
    <col min="24" max="24" bestFit="true" customWidth="true" style="1" width="13.125" collapsed="false"/>
    <col min="25" max="16384" style="1" width="9.0" collapsed="false"/>
  </cols>
  <sheetData>
    <row customHeight="1" ht="13.5" r="1" spans="1:24">
      <c r="A1" s="4"/>
      <c r="B1" s="5"/>
      <c r="C1" s="5"/>
      <c r="D1" s="5"/>
      <c r="E1" s="6"/>
      <c r="F1" s="6"/>
      <c r="G1" s="6"/>
      <c r="H1" s="5"/>
      <c r="I1" s="5"/>
      <c r="J1" s="5"/>
      <c r="K1" s="5"/>
      <c r="L1" s="5"/>
      <c r="M1" s="5"/>
      <c r="N1" s="37" t="s">
        <v>0</v>
      </c>
      <c r="O1" s="37"/>
      <c r="P1" s="37"/>
      <c r="Q1" s="37"/>
      <c r="R1" s="37"/>
      <c r="S1" s="37"/>
      <c r="T1" s="37"/>
      <c r="U1" s="37"/>
      <c r="V1" s="37"/>
      <c r="W1" s="37"/>
      <c r="X1" s="38"/>
    </row>
    <row customHeight="1" ht="99" r="2" spans="1:24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39"/>
      <c r="O2" s="39"/>
      <c r="P2" s="39"/>
      <c r="Q2" s="39"/>
      <c r="R2" s="39"/>
      <c r="S2" s="39"/>
      <c r="T2" s="39"/>
      <c r="U2" s="39"/>
      <c r="V2" s="39"/>
      <c r="W2" s="39"/>
      <c r="X2" s="40"/>
    </row>
    <row customHeight="1" ht="39" r="3" spans="1:24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1"/>
      <c r="O3" s="41"/>
      <c r="P3" s="41"/>
      <c r="Q3" s="41"/>
      <c r="R3" s="41"/>
      <c r="S3" s="41"/>
      <c r="T3" s="41"/>
      <c r="U3" s="41"/>
      <c r="V3" s="41"/>
      <c r="W3" s="41"/>
      <c r="X3" s="42"/>
    </row>
    <row customFormat="1" customHeight="1" ht="13.5" r="4" s="2" spans="1:24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9" t="s">
        <v>8</v>
      </c>
      <c r="G4" s="10" t="s">
        <v>9</v>
      </c>
      <c r="H4" s="7" t="s">
        <v>10</v>
      </c>
      <c r="I4" s="7" t="s">
        <v>11</v>
      </c>
      <c r="J4" s="7" t="s">
        <v>12</v>
      </c>
      <c r="K4" s="11" t="s">
        <v>13</v>
      </c>
      <c r="L4" s="10" t="s">
        <v>9</v>
      </c>
      <c r="M4" s="11" t="s">
        <v>14</v>
      </c>
      <c r="N4" s="10" t="s">
        <v>9</v>
      </c>
      <c r="O4" s="11" t="s">
        <v>15</v>
      </c>
      <c r="P4" s="10" t="s">
        <v>9</v>
      </c>
      <c r="Q4" s="11" t="s">
        <v>16</v>
      </c>
      <c r="R4" s="10" t="s">
        <v>9</v>
      </c>
      <c r="S4" s="7" t="s">
        <v>17</v>
      </c>
      <c r="T4" s="7" t="s">
        <v>18</v>
      </c>
      <c r="U4" s="12" t="s">
        <v>19</v>
      </c>
      <c r="V4" s="7" t="s">
        <v>20</v>
      </c>
      <c r="W4" s="7" t="s">
        <v>21</v>
      </c>
      <c r="X4" s="7" t="s">
        <v>22</v>
      </c>
    </row>
    <row r="5" spans="1:24">
      <c r="A5" s="13" t="s">
        <v>23</v>
      </c>
      <c r="B5" s="13" t="s">
        <v>24</v>
      </c>
      <c r="C5" s="13"/>
      <c r="D5" s="13"/>
      <c r="E5" s="14"/>
      <c r="F5" s="15"/>
      <c r="G5" s="16" t="s">
        <v>25</v>
      </c>
      <c r="H5" s="17" t="s">
        <v>26</v>
      </c>
      <c r="I5" s="17" t="s">
        <v>27</v>
      </c>
      <c r="J5" s="17" t="s">
        <v>28</v>
      </c>
      <c r="K5" s="18" t="s">
        <v>29</v>
      </c>
      <c r="L5" s="16" t="s">
        <v>25</v>
      </c>
      <c r="M5" s="18" t="s">
        <v>30</v>
      </c>
      <c r="N5" s="16" t="s">
        <v>25</v>
      </c>
      <c r="O5" s="18" t="s">
        <v>31</v>
      </c>
      <c r="P5" s="16" t="s">
        <v>25</v>
      </c>
      <c r="Q5" s="18" t="s">
        <v>32</v>
      </c>
      <c r="R5" s="16" t="s">
        <v>25</v>
      </c>
      <c r="S5" s="19" t="s">
        <v>33</v>
      </c>
      <c r="T5" s="19" t="s">
        <v>34</v>
      </c>
      <c r="U5" s="19" t="s">
        <v>35</v>
      </c>
      <c r="V5" s="19" t="s">
        <v>36</v>
      </c>
      <c r="W5" s="19" t="s">
        <v>37</v>
      </c>
      <c r="X5" s="19" t="s">
        <v>38</v>
      </c>
    </row>
    <row r="6" spans="1:24">
      <c r="A6" s="20"/>
      <c r="B6" s="20"/>
      <c r="C6" s="20"/>
      <c r="D6" s="20"/>
      <c r="E6" s="21"/>
      <c r="F6" s="22"/>
      <c r="G6" s="23"/>
      <c r="H6" s="24"/>
      <c r="I6" s="24"/>
      <c r="J6" s="24" t="s">
        <v>39</v>
      </c>
      <c r="K6" s="25" t="s">
        <v>40</v>
      </c>
      <c r="L6" s="26"/>
      <c r="M6" s="25" t="s">
        <v>40</v>
      </c>
      <c r="N6" s="26"/>
      <c r="O6" s="25" t="s">
        <v>40</v>
      </c>
      <c r="P6" s="26"/>
      <c r="Q6" s="25" t="s">
        <v>40</v>
      </c>
      <c r="R6" s="26"/>
      <c r="S6" s="25" t="s">
        <v>40</v>
      </c>
      <c r="T6" s="24" t="s">
        <v>41</v>
      </c>
      <c r="U6" s="24" t="s">
        <v>41</v>
      </c>
      <c r="V6" s="25" t="s">
        <v>40</v>
      </c>
      <c r="W6" s="25" t="s">
        <v>40</v>
      </c>
      <c r="X6" s="24"/>
    </row>
    <row customFormat="1" customHeight="1" ht="13.5" r="7" s="2" spans="1:24">
      <c r="A7" s="27" t="s">
        <v>42</v>
      </c>
      <c r="B7" s="27" t="s">
        <v>43</v>
      </c>
      <c r="C7" s="27" t="s">
        <v>44</v>
      </c>
      <c r="D7" s="27" t="s">
        <v>45</v>
      </c>
      <c r="E7" s="28" t="s">
        <v>46</v>
      </c>
      <c r="F7" s="29" t="s">
        <v>46</v>
      </c>
      <c r="G7" s="30" t="s">
        <v>46</v>
      </c>
      <c r="H7" s="31"/>
      <c r="I7" s="31" t="s">
        <v>47</v>
      </c>
      <c r="J7" s="32" t="n">
        <v>10.0</v>
      </c>
      <c r="K7" s="33" t="n">
        <f>2041</f>
        <v>2041.0</v>
      </c>
      <c r="L7" s="34" t="s">
        <v>48</v>
      </c>
      <c r="M7" s="33" t="n">
        <f>2076</f>
        <v>2076.0</v>
      </c>
      <c r="N7" s="34" t="s">
        <v>49</v>
      </c>
      <c r="O7" s="33" t="n">
        <f>1959</f>
        <v>1959.0</v>
      </c>
      <c r="P7" s="34" t="s">
        <v>50</v>
      </c>
      <c r="Q7" s="33" t="n">
        <f>2044</f>
        <v>2044.0</v>
      </c>
      <c r="R7" s="34" t="s">
        <v>51</v>
      </c>
      <c r="S7" s="35" t="n">
        <f>2026.11</f>
        <v>2026.11</v>
      </c>
      <c r="T7" s="32" t="n">
        <f>11352130</f>
        <v>1.135213E7</v>
      </c>
      <c r="U7" s="32" t="n">
        <f>2773040</f>
        <v>2773040.0</v>
      </c>
      <c r="V7" s="32" t="n">
        <f>22790950058</f>
        <v>2.2790950058E10</v>
      </c>
      <c r="W7" s="32" t="n">
        <f>5503620068</f>
        <v>5.503620068E9</v>
      </c>
      <c r="X7" s="36" t="n">
        <f>18</f>
        <v>18.0</v>
      </c>
    </row>
    <row r="8">
      <c r="A8" s="27" t="s">
        <v>42</v>
      </c>
      <c r="B8" s="27" t="s">
        <v>52</v>
      </c>
      <c r="C8" s="27" t="s">
        <v>53</v>
      </c>
      <c r="D8" s="27" t="s">
        <v>54</v>
      </c>
      <c r="E8" s="28" t="s">
        <v>46</v>
      </c>
      <c r="F8" s="29" t="s">
        <v>46</v>
      </c>
      <c r="G8" s="30" t="s">
        <v>46</v>
      </c>
      <c r="H8" s="31"/>
      <c r="I8" s="31" t="s">
        <v>47</v>
      </c>
      <c r="J8" s="32" t="n">
        <v>10.0</v>
      </c>
      <c r="K8" s="33" t="n">
        <f>2017</f>
        <v>2017.0</v>
      </c>
      <c r="L8" s="34" t="s">
        <v>48</v>
      </c>
      <c r="M8" s="33" t="n">
        <f>2052</f>
        <v>2052.0</v>
      </c>
      <c r="N8" s="34" t="s">
        <v>49</v>
      </c>
      <c r="O8" s="33" t="n">
        <f>1937</f>
        <v>1937.0</v>
      </c>
      <c r="P8" s="34" t="s">
        <v>50</v>
      </c>
      <c r="Q8" s="33" t="n">
        <f>2018</f>
        <v>2018.0</v>
      </c>
      <c r="R8" s="34" t="s">
        <v>51</v>
      </c>
      <c r="S8" s="35" t="n">
        <f>2002.89</f>
        <v>2002.89</v>
      </c>
      <c r="T8" s="32" t="n">
        <f>68549410</f>
        <v>6.854941E7</v>
      </c>
      <c r="U8" s="32" t="n">
        <f>30185150</f>
        <v>3.018515E7</v>
      </c>
      <c r="V8" s="32" t="n">
        <f>137413701733</f>
        <v>1.37413701733E11</v>
      </c>
      <c r="W8" s="32" t="n">
        <f>60923622573</f>
        <v>6.0923622573E10</v>
      </c>
      <c r="X8" s="36" t="n">
        <f>18</f>
        <v>18.0</v>
      </c>
    </row>
    <row r="9">
      <c r="A9" s="27" t="s">
        <v>42</v>
      </c>
      <c r="B9" s="27" t="s">
        <v>55</v>
      </c>
      <c r="C9" s="27" t="s">
        <v>56</v>
      </c>
      <c r="D9" s="27" t="s">
        <v>57</v>
      </c>
      <c r="E9" s="28" t="s">
        <v>46</v>
      </c>
      <c r="F9" s="29" t="s">
        <v>46</v>
      </c>
      <c r="G9" s="30" t="s">
        <v>46</v>
      </c>
      <c r="H9" s="31"/>
      <c r="I9" s="31" t="s">
        <v>47</v>
      </c>
      <c r="J9" s="32" t="n">
        <v>100.0</v>
      </c>
      <c r="K9" s="33" t="n">
        <f>1995</f>
        <v>1995.0</v>
      </c>
      <c r="L9" s="34" t="s">
        <v>48</v>
      </c>
      <c r="M9" s="33" t="n">
        <f>2029</f>
        <v>2029.0</v>
      </c>
      <c r="N9" s="34" t="s">
        <v>49</v>
      </c>
      <c r="O9" s="33" t="n">
        <f>1916</f>
        <v>1916.0</v>
      </c>
      <c r="P9" s="34" t="s">
        <v>50</v>
      </c>
      <c r="Q9" s="33" t="n">
        <f>1998</f>
        <v>1998.0</v>
      </c>
      <c r="R9" s="34" t="s">
        <v>51</v>
      </c>
      <c r="S9" s="35" t="n">
        <f>1980.89</f>
        <v>1980.89</v>
      </c>
      <c r="T9" s="32" t="n">
        <f>6238900</f>
        <v>6238900.0</v>
      </c>
      <c r="U9" s="32" t="n">
        <f>457600</f>
        <v>457600.0</v>
      </c>
      <c r="V9" s="32" t="n">
        <f>12326747903</f>
        <v>1.2326747903E10</v>
      </c>
      <c r="W9" s="32" t="n">
        <f>898918903</f>
        <v>8.98918903E8</v>
      </c>
      <c r="X9" s="36" t="n">
        <f>18</f>
        <v>18.0</v>
      </c>
    </row>
    <row r="10">
      <c r="A10" s="27" t="s">
        <v>42</v>
      </c>
      <c r="B10" s="27" t="s">
        <v>58</v>
      </c>
      <c r="C10" s="27" t="s">
        <v>59</v>
      </c>
      <c r="D10" s="27" t="s">
        <v>60</v>
      </c>
      <c r="E10" s="28" t="s">
        <v>46</v>
      </c>
      <c r="F10" s="29" t="s">
        <v>46</v>
      </c>
      <c r="G10" s="30" t="s">
        <v>46</v>
      </c>
      <c r="H10" s="31"/>
      <c r="I10" s="31" t="s">
        <v>47</v>
      </c>
      <c r="J10" s="32" t="n">
        <v>1.0</v>
      </c>
      <c r="K10" s="33" t="n">
        <f>44600</f>
        <v>44600.0</v>
      </c>
      <c r="L10" s="34" t="s">
        <v>48</v>
      </c>
      <c r="M10" s="33" t="n">
        <f>48100</f>
        <v>48100.0</v>
      </c>
      <c r="N10" s="34" t="s">
        <v>51</v>
      </c>
      <c r="O10" s="33" t="n">
        <f>43050</f>
        <v>43050.0</v>
      </c>
      <c r="P10" s="34" t="s">
        <v>61</v>
      </c>
      <c r="Q10" s="33" t="n">
        <f>47400</f>
        <v>47400.0</v>
      </c>
      <c r="R10" s="34" t="s">
        <v>51</v>
      </c>
      <c r="S10" s="35" t="n">
        <f>45191.67</f>
        <v>45191.67</v>
      </c>
      <c r="T10" s="32" t="n">
        <f>11164</f>
        <v>11164.0</v>
      </c>
      <c r="U10" s="32" t="str">
        <f>"－"</f>
        <v>－</v>
      </c>
      <c r="V10" s="32" t="n">
        <f>510499850</f>
        <v>5.1049985E8</v>
      </c>
      <c r="W10" s="32" t="str">
        <f>"－"</f>
        <v>－</v>
      </c>
      <c r="X10" s="36" t="n">
        <f>18</f>
        <v>18.0</v>
      </c>
    </row>
    <row r="11">
      <c r="A11" s="27" t="s">
        <v>42</v>
      </c>
      <c r="B11" s="27" t="s">
        <v>62</v>
      </c>
      <c r="C11" s="27" t="s">
        <v>63</v>
      </c>
      <c r="D11" s="27" t="s">
        <v>64</v>
      </c>
      <c r="E11" s="28" t="s">
        <v>46</v>
      </c>
      <c r="F11" s="29" t="s">
        <v>46</v>
      </c>
      <c r="G11" s="30" t="s">
        <v>46</v>
      </c>
      <c r="H11" s="31"/>
      <c r="I11" s="31" t="s">
        <v>47</v>
      </c>
      <c r="J11" s="32" t="n">
        <v>10.0</v>
      </c>
      <c r="K11" s="33" t="n">
        <f>904</f>
        <v>904.0</v>
      </c>
      <c r="L11" s="34" t="s">
        <v>48</v>
      </c>
      <c r="M11" s="33" t="n">
        <f>930</f>
        <v>930.0</v>
      </c>
      <c r="N11" s="34" t="s">
        <v>51</v>
      </c>
      <c r="O11" s="33" t="n">
        <f>864</f>
        <v>864.0</v>
      </c>
      <c r="P11" s="34" t="s">
        <v>50</v>
      </c>
      <c r="Q11" s="33" t="n">
        <f>907</f>
        <v>907.0</v>
      </c>
      <c r="R11" s="34" t="s">
        <v>51</v>
      </c>
      <c r="S11" s="35" t="n">
        <f>897.17</f>
        <v>897.17</v>
      </c>
      <c r="T11" s="32" t="n">
        <f>243090</f>
        <v>243090.0</v>
      </c>
      <c r="U11" s="32" t="n">
        <f>10</f>
        <v>10.0</v>
      </c>
      <c r="V11" s="32" t="n">
        <f>215998855</f>
        <v>2.15998855E8</v>
      </c>
      <c r="W11" s="32" t="n">
        <f>8825</f>
        <v>8825.0</v>
      </c>
      <c r="X11" s="36" t="n">
        <f>18</f>
        <v>18.0</v>
      </c>
    </row>
    <row r="12">
      <c r="A12" s="27" t="s">
        <v>42</v>
      </c>
      <c r="B12" s="27" t="s">
        <v>65</v>
      </c>
      <c r="C12" s="27" t="s">
        <v>66</v>
      </c>
      <c r="D12" s="27" t="s">
        <v>67</v>
      </c>
      <c r="E12" s="28" t="s">
        <v>46</v>
      </c>
      <c r="F12" s="29" t="s">
        <v>46</v>
      </c>
      <c r="G12" s="30" t="s">
        <v>46</v>
      </c>
      <c r="H12" s="31"/>
      <c r="I12" s="31" t="s">
        <v>47</v>
      </c>
      <c r="J12" s="32" t="n">
        <v>1.0</v>
      </c>
      <c r="K12" s="33" t="n">
        <f>21950</f>
        <v>21950.0</v>
      </c>
      <c r="L12" s="34" t="s">
        <v>48</v>
      </c>
      <c r="M12" s="33" t="n">
        <f>22500</f>
        <v>22500.0</v>
      </c>
      <c r="N12" s="34" t="s">
        <v>49</v>
      </c>
      <c r="O12" s="33" t="n">
        <f>20530</f>
        <v>20530.0</v>
      </c>
      <c r="P12" s="34" t="s">
        <v>50</v>
      </c>
      <c r="Q12" s="33" t="n">
        <f>21170</f>
        <v>21170.0</v>
      </c>
      <c r="R12" s="34" t="s">
        <v>51</v>
      </c>
      <c r="S12" s="35" t="n">
        <f>21624.44</f>
        <v>21624.44</v>
      </c>
      <c r="T12" s="32" t="n">
        <f>1364</f>
        <v>1364.0</v>
      </c>
      <c r="U12" s="32" t="str">
        <f>"－"</f>
        <v>－</v>
      </c>
      <c r="V12" s="32" t="n">
        <f>29295030</f>
        <v>2.929503E7</v>
      </c>
      <c r="W12" s="32" t="str">
        <f>"－"</f>
        <v>－</v>
      </c>
      <c r="X12" s="36" t="n">
        <f>18</f>
        <v>18.0</v>
      </c>
    </row>
    <row r="13">
      <c r="A13" s="27" t="s">
        <v>42</v>
      </c>
      <c r="B13" s="27" t="s">
        <v>68</v>
      </c>
      <c r="C13" s="27" t="s">
        <v>69</v>
      </c>
      <c r="D13" s="27" t="s">
        <v>70</v>
      </c>
      <c r="E13" s="28" t="s">
        <v>46</v>
      </c>
      <c r="F13" s="29" t="s">
        <v>46</v>
      </c>
      <c r="G13" s="30" t="s">
        <v>46</v>
      </c>
      <c r="H13" s="31"/>
      <c r="I13" s="31" t="s">
        <v>47</v>
      </c>
      <c r="J13" s="32" t="n">
        <v>10.0</v>
      </c>
      <c r="K13" s="33" t="n">
        <f>4300</f>
        <v>4300.0</v>
      </c>
      <c r="L13" s="34" t="s">
        <v>48</v>
      </c>
      <c r="M13" s="33" t="n">
        <f>4300</f>
        <v>4300.0</v>
      </c>
      <c r="N13" s="34" t="s">
        <v>48</v>
      </c>
      <c r="O13" s="33" t="n">
        <f>4010</f>
        <v>4010.0</v>
      </c>
      <c r="P13" s="34" t="s">
        <v>71</v>
      </c>
      <c r="Q13" s="33" t="n">
        <f>4170</f>
        <v>4170.0</v>
      </c>
      <c r="R13" s="34" t="s">
        <v>51</v>
      </c>
      <c r="S13" s="35" t="n">
        <f>4109.38</f>
        <v>4109.38</v>
      </c>
      <c r="T13" s="32" t="n">
        <f>1990</f>
        <v>1990.0</v>
      </c>
      <c r="U13" s="32" t="str">
        <f>"－"</f>
        <v>－</v>
      </c>
      <c r="V13" s="32" t="n">
        <f>8241300</f>
        <v>8241300.0</v>
      </c>
      <c r="W13" s="32" t="str">
        <f>"－"</f>
        <v>－</v>
      </c>
      <c r="X13" s="36" t="n">
        <f>16</f>
        <v>16.0</v>
      </c>
    </row>
    <row r="14">
      <c r="A14" s="27" t="s">
        <v>42</v>
      </c>
      <c r="B14" s="27" t="s">
        <v>72</v>
      </c>
      <c r="C14" s="27" t="s">
        <v>73</v>
      </c>
      <c r="D14" s="27" t="s">
        <v>74</v>
      </c>
      <c r="E14" s="28" t="s">
        <v>46</v>
      </c>
      <c r="F14" s="29" t="s">
        <v>46</v>
      </c>
      <c r="G14" s="30" t="s">
        <v>46</v>
      </c>
      <c r="H14" s="31"/>
      <c r="I14" s="31" t="s">
        <v>47</v>
      </c>
      <c r="J14" s="32" t="n">
        <v>1000.0</v>
      </c>
      <c r="K14" s="33" t="n">
        <f>371</f>
        <v>371.0</v>
      </c>
      <c r="L14" s="34" t="s">
        <v>48</v>
      </c>
      <c r="M14" s="33" t="n">
        <f>381</f>
        <v>381.0</v>
      </c>
      <c r="N14" s="34" t="s">
        <v>49</v>
      </c>
      <c r="O14" s="33" t="n">
        <f>355</f>
        <v>355.0</v>
      </c>
      <c r="P14" s="34" t="s">
        <v>50</v>
      </c>
      <c r="Q14" s="33" t="n">
        <f>377</f>
        <v>377.0</v>
      </c>
      <c r="R14" s="34" t="s">
        <v>51</v>
      </c>
      <c r="S14" s="35" t="n">
        <f>372.5</f>
        <v>372.5</v>
      </c>
      <c r="T14" s="32" t="n">
        <f>112000</f>
        <v>112000.0</v>
      </c>
      <c r="U14" s="32" t="str">
        <f>"－"</f>
        <v>－</v>
      </c>
      <c r="V14" s="32" t="n">
        <f>41505000</f>
        <v>4.1505E7</v>
      </c>
      <c r="W14" s="32" t="str">
        <f>"－"</f>
        <v>－</v>
      </c>
      <c r="X14" s="36" t="n">
        <f>18</f>
        <v>18.0</v>
      </c>
    </row>
    <row r="15">
      <c r="A15" s="27" t="s">
        <v>42</v>
      </c>
      <c r="B15" s="27" t="s">
        <v>75</v>
      </c>
      <c r="C15" s="27" t="s">
        <v>76</v>
      </c>
      <c r="D15" s="27" t="s">
        <v>77</v>
      </c>
      <c r="E15" s="28" t="s">
        <v>46</v>
      </c>
      <c r="F15" s="29" t="s">
        <v>46</v>
      </c>
      <c r="G15" s="30" t="s">
        <v>46</v>
      </c>
      <c r="H15" s="31"/>
      <c r="I15" s="31" t="s">
        <v>47</v>
      </c>
      <c r="J15" s="32" t="n">
        <v>1.0</v>
      </c>
      <c r="K15" s="33" t="n">
        <f>30050</f>
        <v>30050.0</v>
      </c>
      <c r="L15" s="34" t="s">
        <v>48</v>
      </c>
      <c r="M15" s="33" t="n">
        <f>30750</f>
        <v>30750.0</v>
      </c>
      <c r="N15" s="34" t="s">
        <v>49</v>
      </c>
      <c r="O15" s="33" t="n">
        <f>28360</f>
        <v>28360.0</v>
      </c>
      <c r="P15" s="34" t="s">
        <v>50</v>
      </c>
      <c r="Q15" s="33" t="n">
        <f>29890</f>
        <v>29890.0</v>
      </c>
      <c r="R15" s="34" t="s">
        <v>51</v>
      </c>
      <c r="S15" s="35" t="n">
        <f>29536.11</f>
        <v>29536.11</v>
      </c>
      <c r="T15" s="32" t="n">
        <f>1439301</f>
        <v>1439301.0</v>
      </c>
      <c r="U15" s="32" t="n">
        <f>114126</f>
        <v>114126.0</v>
      </c>
      <c r="V15" s="32" t="n">
        <f>42262319970</f>
        <v>4.226231997E10</v>
      </c>
      <c r="W15" s="32" t="n">
        <f>3366273950</f>
        <v>3.36627395E9</v>
      </c>
      <c r="X15" s="36" t="n">
        <f>18</f>
        <v>18.0</v>
      </c>
    </row>
    <row r="16">
      <c r="A16" s="27" t="s">
        <v>42</v>
      </c>
      <c r="B16" s="27" t="s">
        <v>78</v>
      </c>
      <c r="C16" s="27" t="s">
        <v>79</v>
      </c>
      <c r="D16" s="27" t="s">
        <v>80</v>
      </c>
      <c r="E16" s="28" t="s">
        <v>46</v>
      </c>
      <c r="F16" s="29" t="s">
        <v>46</v>
      </c>
      <c r="G16" s="30" t="s">
        <v>46</v>
      </c>
      <c r="H16" s="31"/>
      <c r="I16" s="31" t="s">
        <v>47</v>
      </c>
      <c r="J16" s="32" t="n">
        <v>1.0</v>
      </c>
      <c r="K16" s="33" t="n">
        <f>30100</f>
        <v>30100.0</v>
      </c>
      <c r="L16" s="34" t="s">
        <v>48</v>
      </c>
      <c r="M16" s="33" t="n">
        <f>30800</f>
        <v>30800.0</v>
      </c>
      <c r="N16" s="34" t="s">
        <v>49</v>
      </c>
      <c r="O16" s="33" t="n">
        <f>28420</f>
        <v>28420.0</v>
      </c>
      <c r="P16" s="34" t="s">
        <v>50</v>
      </c>
      <c r="Q16" s="33" t="n">
        <f>29950</f>
        <v>29950.0</v>
      </c>
      <c r="R16" s="34" t="s">
        <v>51</v>
      </c>
      <c r="S16" s="35" t="n">
        <f>29589.44</f>
        <v>29589.44</v>
      </c>
      <c r="T16" s="32" t="n">
        <f>6559649</f>
        <v>6559649.0</v>
      </c>
      <c r="U16" s="32" t="n">
        <f>209814</f>
        <v>209814.0</v>
      </c>
      <c r="V16" s="32" t="n">
        <f>193149334360</f>
        <v>1.9314933436E11</v>
      </c>
      <c r="W16" s="32" t="n">
        <f>6156791910</f>
        <v>6.15679191E9</v>
      </c>
      <c r="X16" s="36" t="n">
        <f>18</f>
        <v>18.0</v>
      </c>
    </row>
    <row r="17">
      <c r="A17" s="27" t="s">
        <v>42</v>
      </c>
      <c r="B17" s="27" t="s">
        <v>81</v>
      </c>
      <c r="C17" s="27" t="s">
        <v>82</v>
      </c>
      <c r="D17" s="27" t="s">
        <v>83</v>
      </c>
      <c r="E17" s="28" t="s">
        <v>46</v>
      </c>
      <c r="F17" s="29" t="s">
        <v>46</v>
      </c>
      <c r="G17" s="30" t="s">
        <v>46</v>
      </c>
      <c r="H17" s="31"/>
      <c r="I17" s="31" t="s">
        <v>47</v>
      </c>
      <c r="J17" s="32" t="n">
        <v>10.0</v>
      </c>
      <c r="K17" s="33" t="n">
        <f>8210</f>
        <v>8210.0</v>
      </c>
      <c r="L17" s="34" t="s">
        <v>48</v>
      </c>
      <c r="M17" s="33" t="n">
        <f>9010</f>
        <v>9010.0</v>
      </c>
      <c r="N17" s="34" t="s">
        <v>84</v>
      </c>
      <c r="O17" s="33" t="n">
        <f>8050</f>
        <v>8050.0</v>
      </c>
      <c r="P17" s="34" t="s">
        <v>85</v>
      </c>
      <c r="Q17" s="33" t="n">
        <f>8830</f>
        <v>8830.0</v>
      </c>
      <c r="R17" s="34" t="s">
        <v>51</v>
      </c>
      <c r="S17" s="35" t="n">
        <f>8382.22</f>
        <v>8382.22</v>
      </c>
      <c r="T17" s="32" t="n">
        <f>19290</f>
        <v>19290.0</v>
      </c>
      <c r="U17" s="32" t="n">
        <f>20</f>
        <v>20.0</v>
      </c>
      <c r="V17" s="32" t="n">
        <f>163714425</f>
        <v>1.63714425E8</v>
      </c>
      <c r="W17" s="32" t="n">
        <f>165125</f>
        <v>165125.0</v>
      </c>
      <c r="X17" s="36" t="n">
        <f>18</f>
        <v>18.0</v>
      </c>
    </row>
    <row r="18">
      <c r="A18" s="27" t="s">
        <v>42</v>
      </c>
      <c r="B18" s="27" t="s">
        <v>86</v>
      </c>
      <c r="C18" s="27" t="s">
        <v>87</v>
      </c>
      <c r="D18" s="27" t="s">
        <v>88</v>
      </c>
      <c r="E18" s="28" t="s">
        <v>46</v>
      </c>
      <c r="F18" s="29" t="s">
        <v>46</v>
      </c>
      <c r="G18" s="30" t="s">
        <v>46</v>
      </c>
      <c r="H18" s="31"/>
      <c r="I18" s="31" t="s">
        <v>47</v>
      </c>
      <c r="J18" s="32" t="n">
        <v>100.0</v>
      </c>
      <c r="K18" s="33" t="n">
        <f>460</f>
        <v>460.0</v>
      </c>
      <c r="L18" s="34" t="s">
        <v>48</v>
      </c>
      <c r="M18" s="33" t="n">
        <f>550</f>
        <v>550.0</v>
      </c>
      <c r="N18" s="34" t="s">
        <v>51</v>
      </c>
      <c r="O18" s="33" t="n">
        <f>442</f>
        <v>442.0</v>
      </c>
      <c r="P18" s="34" t="s">
        <v>61</v>
      </c>
      <c r="Q18" s="33" t="n">
        <f>535</f>
        <v>535.0</v>
      </c>
      <c r="R18" s="34" t="s">
        <v>51</v>
      </c>
      <c r="S18" s="35" t="n">
        <f>481.06</f>
        <v>481.06</v>
      </c>
      <c r="T18" s="32" t="n">
        <f>149900</f>
        <v>149900.0</v>
      </c>
      <c r="U18" s="32" t="str">
        <f>"－"</f>
        <v>－</v>
      </c>
      <c r="V18" s="32" t="n">
        <f>74281700</f>
        <v>7.42817E7</v>
      </c>
      <c r="W18" s="32" t="str">
        <f>"－"</f>
        <v>－</v>
      </c>
      <c r="X18" s="36" t="n">
        <f>18</f>
        <v>18.0</v>
      </c>
    </row>
    <row r="19">
      <c r="A19" s="27" t="s">
        <v>42</v>
      </c>
      <c r="B19" s="27" t="s">
        <v>89</v>
      </c>
      <c r="C19" s="27" t="s">
        <v>90</v>
      </c>
      <c r="D19" s="27" t="s">
        <v>91</v>
      </c>
      <c r="E19" s="28" t="s">
        <v>46</v>
      </c>
      <c r="F19" s="29" t="s">
        <v>46</v>
      </c>
      <c r="G19" s="30" t="s">
        <v>46</v>
      </c>
      <c r="H19" s="31"/>
      <c r="I19" s="31" t="s">
        <v>47</v>
      </c>
      <c r="J19" s="32" t="n">
        <v>100.0</v>
      </c>
      <c r="K19" s="33" t="n">
        <f>149</f>
        <v>149.0</v>
      </c>
      <c r="L19" s="34" t="s">
        <v>48</v>
      </c>
      <c r="M19" s="33" t="n">
        <f>160</f>
        <v>160.0</v>
      </c>
      <c r="N19" s="34" t="s">
        <v>51</v>
      </c>
      <c r="O19" s="33" t="n">
        <f>145</f>
        <v>145.0</v>
      </c>
      <c r="P19" s="34" t="s">
        <v>50</v>
      </c>
      <c r="Q19" s="33" t="n">
        <f>159</f>
        <v>159.0</v>
      </c>
      <c r="R19" s="34" t="s">
        <v>51</v>
      </c>
      <c r="S19" s="35" t="n">
        <f>152.06</f>
        <v>152.06</v>
      </c>
      <c r="T19" s="32" t="n">
        <f>321400</f>
        <v>321400.0</v>
      </c>
      <c r="U19" s="32" t="str">
        <f>"－"</f>
        <v>－</v>
      </c>
      <c r="V19" s="32" t="n">
        <f>48703800</f>
        <v>4.87038E7</v>
      </c>
      <c r="W19" s="32" t="str">
        <f>"－"</f>
        <v>－</v>
      </c>
      <c r="X19" s="36" t="n">
        <f>18</f>
        <v>18.0</v>
      </c>
    </row>
    <row r="20">
      <c r="A20" s="27" t="s">
        <v>42</v>
      </c>
      <c r="B20" s="27" t="s">
        <v>92</v>
      </c>
      <c r="C20" s="27" t="s">
        <v>93</v>
      </c>
      <c r="D20" s="27" t="s">
        <v>94</v>
      </c>
      <c r="E20" s="28" t="s">
        <v>46</v>
      </c>
      <c r="F20" s="29" t="s">
        <v>46</v>
      </c>
      <c r="G20" s="30" t="s">
        <v>46</v>
      </c>
      <c r="H20" s="31"/>
      <c r="I20" s="31" t="s">
        <v>47</v>
      </c>
      <c r="J20" s="32" t="n">
        <v>100.0</v>
      </c>
      <c r="K20" s="33" t="n">
        <f>175</f>
        <v>175.0</v>
      </c>
      <c r="L20" s="34" t="s">
        <v>48</v>
      </c>
      <c r="M20" s="33" t="n">
        <f>197</f>
        <v>197.0</v>
      </c>
      <c r="N20" s="34" t="s">
        <v>51</v>
      </c>
      <c r="O20" s="33" t="n">
        <f>174</f>
        <v>174.0</v>
      </c>
      <c r="P20" s="34" t="s">
        <v>48</v>
      </c>
      <c r="Q20" s="33" t="n">
        <f>197</f>
        <v>197.0</v>
      </c>
      <c r="R20" s="34" t="s">
        <v>51</v>
      </c>
      <c r="S20" s="35" t="n">
        <f>183.83</f>
        <v>183.83</v>
      </c>
      <c r="T20" s="32" t="n">
        <f>629100</f>
        <v>629100.0</v>
      </c>
      <c r="U20" s="32" t="n">
        <f>1200</f>
        <v>1200.0</v>
      </c>
      <c r="V20" s="32" t="n">
        <f>115755800</f>
        <v>1.157558E8</v>
      </c>
      <c r="W20" s="32" t="n">
        <f>222100</f>
        <v>222100.0</v>
      </c>
      <c r="X20" s="36" t="n">
        <f>18</f>
        <v>18.0</v>
      </c>
    </row>
    <row r="21">
      <c r="A21" s="27" t="s">
        <v>42</v>
      </c>
      <c r="B21" s="27" t="s">
        <v>95</v>
      </c>
      <c r="C21" s="27" t="s">
        <v>96</v>
      </c>
      <c r="D21" s="27" t="s">
        <v>97</v>
      </c>
      <c r="E21" s="28" t="s">
        <v>46</v>
      </c>
      <c r="F21" s="29" t="s">
        <v>46</v>
      </c>
      <c r="G21" s="30" t="s">
        <v>46</v>
      </c>
      <c r="H21" s="31"/>
      <c r="I21" s="31" t="s">
        <v>47</v>
      </c>
      <c r="J21" s="32" t="n">
        <v>1.0</v>
      </c>
      <c r="K21" s="33" t="n">
        <f>18250</f>
        <v>18250.0</v>
      </c>
      <c r="L21" s="34" t="s">
        <v>48</v>
      </c>
      <c r="M21" s="33" t="n">
        <f>19620</f>
        <v>19620.0</v>
      </c>
      <c r="N21" s="34" t="s">
        <v>51</v>
      </c>
      <c r="O21" s="33" t="n">
        <f>18240</f>
        <v>18240.0</v>
      </c>
      <c r="P21" s="34" t="s">
        <v>48</v>
      </c>
      <c r="Q21" s="33" t="n">
        <f>19600</f>
        <v>19600.0</v>
      </c>
      <c r="R21" s="34" t="s">
        <v>51</v>
      </c>
      <c r="S21" s="35" t="n">
        <f>19001.67</f>
        <v>19001.67</v>
      </c>
      <c r="T21" s="32" t="n">
        <f>256871</f>
        <v>256871.0</v>
      </c>
      <c r="U21" s="32" t="n">
        <f>20</f>
        <v>20.0</v>
      </c>
      <c r="V21" s="32" t="n">
        <f>4865030830</f>
        <v>4.86503083E9</v>
      </c>
      <c r="W21" s="32" t="n">
        <f>374200</f>
        <v>374200.0</v>
      </c>
      <c r="X21" s="36" t="n">
        <f>18</f>
        <v>18.0</v>
      </c>
    </row>
    <row r="22">
      <c r="A22" s="27" t="s">
        <v>42</v>
      </c>
      <c r="B22" s="27" t="s">
        <v>98</v>
      </c>
      <c r="C22" s="27" t="s">
        <v>99</v>
      </c>
      <c r="D22" s="27" t="s">
        <v>100</v>
      </c>
      <c r="E22" s="28" t="s">
        <v>46</v>
      </c>
      <c r="F22" s="29" t="s">
        <v>46</v>
      </c>
      <c r="G22" s="30" t="s">
        <v>46</v>
      </c>
      <c r="H22" s="31"/>
      <c r="I22" s="31" t="s">
        <v>47</v>
      </c>
      <c r="J22" s="32" t="n">
        <v>1.0</v>
      </c>
      <c r="K22" s="33" t="n">
        <f>3780</f>
        <v>3780.0</v>
      </c>
      <c r="L22" s="34" t="s">
        <v>48</v>
      </c>
      <c r="M22" s="33" t="n">
        <f>3910</f>
        <v>3910.0</v>
      </c>
      <c r="N22" s="34" t="s">
        <v>71</v>
      </c>
      <c r="O22" s="33" t="n">
        <f>3680</f>
        <v>3680.0</v>
      </c>
      <c r="P22" s="34" t="s">
        <v>101</v>
      </c>
      <c r="Q22" s="33" t="n">
        <f>3855</f>
        <v>3855.0</v>
      </c>
      <c r="R22" s="34" t="s">
        <v>51</v>
      </c>
      <c r="S22" s="35" t="n">
        <f>3798.61</f>
        <v>3798.61</v>
      </c>
      <c r="T22" s="32" t="n">
        <f>8343</f>
        <v>8343.0</v>
      </c>
      <c r="U22" s="32" t="str">
        <f>"－"</f>
        <v>－</v>
      </c>
      <c r="V22" s="32" t="n">
        <f>31770165</f>
        <v>3.1770165E7</v>
      </c>
      <c r="W22" s="32" t="str">
        <f>"－"</f>
        <v>－</v>
      </c>
      <c r="X22" s="36" t="n">
        <f>18</f>
        <v>18.0</v>
      </c>
    </row>
    <row r="23">
      <c r="A23" s="27" t="s">
        <v>42</v>
      </c>
      <c r="B23" s="27" t="s">
        <v>102</v>
      </c>
      <c r="C23" s="27" t="s">
        <v>103</v>
      </c>
      <c r="D23" s="27" t="s">
        <v>104</v>
      </c>
      <c r="E23" s="28" t="s">
        <v>46</v>
      </c>
      <c r="F23" s="29" t="s">
        <v>46</v>
      </c>
      <c r="G23" s="30" t="s">
        <v>46</v>
      </c>
      <c r="H23" s="31"/>
      <c r="I23" s="31" t="s">
        <v>47</v>
      </c>
      <c r="J23" s="32" t="n">
        <v>10.0</v>
      </c>
      <c r="K23" s="33" t="n">
        <f>4960</f>
        <v>4960.0</v>
      </c>
      <c r="L23" s="34" t="s">
        <v>48</v>
      </c>
      <c r="M23" s="33" t="n">
        <f>5330</f>
        <v>5330.0</v>
      </c>
      <c r="N23" s="34" t="s">
        <v>51</v>
      </c>
      <c r="O23" s="33" t="n">
        <f>4950</f>
        <v>4950.0</v>
      </c>
      <c r="P23" s="34" t="s">
        <v>48</v>
      </c>
      <c r="Q23" s="33" t="n">
        <f>5320</f>
        <v>5320.0</v>
      </c>
      <c r="R23" s="34" t="s">
        <v>51</v>
      </c>
      <c r="S23" s="35" t="n">
        <f>5156.11</f>
        <v>5156.11</v>
      </c>
      <c r="T23" s="32" t="n">
        <f>409840</f>
        <v>409840.0</v>
      </c>
      <c r="U23" s="32" t="n">
        <f>70</f>
        <v>70.0</v>
      </c>
      <c r="V23" s="32" t="n">
        <f>2104638900</f>
        <v>2.1046389E9</v>
      </c>
      <c r="W23" s="32" t="n">
        <f>362500</f>
        <v>362500.0</v>
      </c>
      <c r="X23" s="36" t="n">
        <f>18</f>
        <v>18.0</v>
      </c>
    </row>
    <row r="24">
      <c r="A24" s="27" t="s">
        <v>42</v>
      </c>
      <c r="B24" s="27" t="s">
        <v>105</v>
      </c>
      <c r="C24" s="27" t="s">
        <v>106</v>
      </c>
      <c r="D24" s="27" t="s">
        <v>107</v>
      </c>
      <c r="E24" s="28" t="s">
        <v>46</v>
      </c>
      <c r="F24" s="29" t="s">
        <v>46</v>
      </c>
      <c r="G24" s="30" t="s">
        <v>46</v>
      </c>
      <c r="H24" s="31"/>
      <c r="I24" s="31" t="s">
        <v>47</v>
      </c>
      <c r="J24" s="32" t="n">
        <v>1.0</v>
      </c>
      <c r="K24" s="33" t="n">
        <f>30150</f>
        <v>30150.0</v>
      </c>
      <c r="L24" s="34" t="s">
        <v>48</v>
      </c>
      <c r="M24" s="33" t="n">
        <f>30800</f>
        <v>30800.0</v>
      </c>
      <c r="N24" s="34" t="s">
        <v>49</v>
      </c>
      <c r="O24" s="33" t="n">
        <f>28400</f>
        <v>28400.0</v>
      </c>
      <c r="P24" s="34" t="s">
        <v>50</v>
      </c>
      <c r="Q24" s="33" t="n">
        <f>29910</f>
        <v>29910.0</v>
      </c>
      <c r="R24" s="34" t="s">
        <v>51</v>
      </c>
      <c r="S24" s="35" t="n">
        <f>29564.44</f>
        <v>29564.44</v>
      </c>
      <c r="T24" s="32" t="n">
        <f>949645</f>
        <v>949645.0</v>
      </c>
      <c r="U24" s="32" t="n">
        <f>320728</f>
        <v>320728.0</v>
      </c>
      <c r="V24" s="32" t="n">
        <f>28186803719</f>
        <v>2.8186803719E10</v>
      </c>
      <c r="W24" s="32" t="n">
        <f>9677983449</f>
        <v>9.677983449E9</v>
      </c>
      <c r="X24" s="36" t="n">
        <f>18</f>
        <v>18.0</v>
      </c>
    </row>
    <row r="25">
      <c r="A25" s="27" t="s">
        <v>42</v>
      </c>
      <c r="B25" s="27" t="s">
        <v>108</v>
      </c>
      <c r="C25" s="27" t="s">
        <v>109</v>
      </c>
      <c r="D25" s="27" t="s">
        <v>110</v>
      </c>
      <c r="E25" s="28" t="s">
        <v>46</v>
      </c>
      <c r="F25" s="29" t="s">
        <v>46</v>
      </c>
      <c r="G25" s="30" t="s">
        <v>46</v>
      </c>
      <c r="H25" s="31"/>
      <c r="I25" s="31" t="s">
        <v>47</v>
      </c>
      <c r="J25" s="32" t="n">
        <v>10.0</v>
      </c>
      <c r="K25" s="33" t="n">
        <f>30150</f>
        <v>30150.0</v>
      </c>
      <c r="L25" s="34" t="s">
        <v>48</v>
      </c>
      <c r="M25" s="33" t="n">
        <f>30800</f>
        <v>30800.0</v>
      </c>
      <c r="N25" s="34" t="s">
        <v>49</v>
      </c>
      <c r="O25" s="33" t="n">
        <f>28470</f>
        <v>28470.0</v>
      </c>
      <c r="P25" s="34" t="s">
        <v>50</v>
      </c>
      <c r="Q25" s="33" t="n">
        <f>29980</f>
        <v>29980.0</v>
      </c>
      <c r="R25" s="34" t="s">
        <v>51</v>
      </c>
      <c r="S25" s="35" t="n">
        <f>29634.44</f>
        <v>29634.44</v>
      </c>
      <c r="T25" s="32" t="n">
        <f>2528960</f>
        <v>2528960.0</v>
      </c>
      <c r="U25" s="32" t="n">
        <f>1383210</f>
        <v>1383210.0</v>
      </c>
      <c r="V25" s="32" t="n">
        <f>74628465990</f>
        <v>7.462846599E10</v>
      </c>
      <c r="W25" s="32" t="n">
        <f>40954441490</f>
        <v>4.095444149E10</v>
      </c>
      <c r="X25" s="36" t="n">
        <f>18</f>
        <v>18.0</v>
      </c>
    </row>
    <row r="26">
      <c r="A26" s="27" t="s">
        <v>42</v>
      </c>
      <c r="B26" s="27" t="s">
        <v>111</v>
      </c>
      <c r="C26" s="27" t="s">
        <v>112</v>
      </c>
      <c r="D26" s="27" t="s">
        <v>113</v>
      </c>
      <c r="E26" s="28" t="s">
        <v>46</v>
      </c>
      <c r="F26" s="29" t="s">
        <v>46</v>
      </c>
      <c r="G26" s="30" t="s">
        <v>46</v>
      </c>
      <c r="H26" s="31"/>
      <c r="I26" s="31" t="s">
        <v>47</v>
      </c>
      <c r="J26" s="32" t="n">
        <v>10.0</v>
      </c>
      <c r="K26" s="33" t="n">
        <f>2230</f>
        <v>2230.0</v>
      </c>
      <c r="L26" s="34" t="s">
        <v>48</v>
      </c>
      <c r="M26" s="33" t="n">
        <f>2257</f>
        <v>2257.0</v>
      </c>
      <c r="N26" s="34" t="s">
        <v>48</v>
      </c>
      <c r="O26" s="33" t="n">
        <f>2151</f>
        <v>2151.0</v>
      </c>
      <c r="P26" s="34" t="s">
        <v>114</v>
      </c>
      <c r="Q26" s="33" t="n">
        <f>2217</f>
        <v>2217.0</v>
      </c>
      <c r="R26" s="34" t="s">
        <v>51</v>
      </c>
      <c r="S26" s="35" t="n">
        <f>2199.83</f>
        <v>2199.83</v>
      </c>
      <c r="T26" s="32" t="n">
        <f>5585640</f>
        <v>5585640.0</v>
      </c>
      <c r="U26" s="32" t="n">
        <f>313930</f>
        <v>313930.0</v>
      </c>
      <c r="V26" s="32" t="n">
        <f>12291191897</f>
        <v>1.2291191897E10</v>
      </c>
      <c r="W26" s="32" t="n">
        <f>686521577</f>
        <v>6.86521577E8</v>
      </c>
      <c r="X26" s="36" t="n">
        <f>18</f>
        <v>18.0</v>
      </c>
    </row>
    <row r="27">
      <c r="A27" s="27" t="s">
        <v>42</v>
      </c>
      <c r="B27" s="27" t="s">
        <v>115</v>
      </c>
      <c r="C27" s="27" t="s">
        <v>116</v>
      </c>
      <c r="D27" s="27" t="s">
        <v>117</v>
      </c>
      <c r="E27" s="28" t="s">
        <v>46</v>
      </c>
      <c r="F27" s="29" t="s">
        <v>46</v>
      </c>
      <c r="G27" s="30" t="s">
        <v>46</v>
      </c>
      <c r="H27" s="31"/>
      <c r="I27" s="31" t="s">
        <v>47</v>
      </c>
      <c r="J27" s="32" t="n">
        <v>10.0</v>
      </c>
      <c r="K27" s="33" t="n">
        <f>876</f>
        <v>876.0</v>
      </c>
      <c r="L27" s="34" t="s">
        <v>48</v>
      </c>
      <c r="M27" s="33" t="n">
        <f>894</f>
        <v>894.0</v>
      </c>
      <c r="N27" s="34" t="s">
        <v>51</v>
      </c>
      <c r="O27" s="33" t="n">
        <f>841</f>
        <v>841.0</v>
      </c>
      <c r="P27" s="34" t="s">
        <v>50</v>
      </c>
      <c r="Q27" s="33" t="n">
        <f>885</f>
        <v>885.0</v>
      </c>
      <c r="R27" s="34" t="s">
        <v>51</v>
      </c>
      <c r="S27" s="35" t="n">
        <f>870.5</f>
        <v>870.5</v>
      </c>
      <c r="T27" s="32" t="n">
        <f>17760</f>
        <v>17760.0</v>
      </c>
      <c r="U27" s="32" t="str">
        <f>"－"</f>
        <v>－</v>
      </c>
      <c r="V27" s="32" t="n">
        <f>15416460</f>
        <v>1.541646E7</v>
      </c>
      <c r="W27" s="32" t="str">
        <f>"－"</f>
        <v>－</v>
      </c>
      <c r="X27" s="36" t="n">
        <f>18</f>
        <v>18.0</v>
      </c>
    </row>
    <row r="28">
      <c r="A28" s="27" t="s">
        <v>42</v>
      </c>
      <c r="B28" s="27" t="s">
        <v>118</v>
      </c>
      <c r="C28" s="27" t="s">
        <v>119</v>
      </c>
      <c r="D28" s="27" t="s">
        <v>120</v>
      </c>
      <c r="E28" s="28" t="s">
        <v>46</v>
      </c>
      <c r="F28" s="29" t="s">
        <v>46</v>
      </c>
      <c r="G28" s="30" t="s">
        <v>46</v>
      </c>
      <c r="H28" s="31"/>
      <c r="I28" s="31" t="s">
        <v>47</v>
      </c>
      <c r="J28" s="32" t="n">
        <v>100.0</v>
      </c>
      <c r="K28" s="33" t="n">
        <f>2111</f>
        <v>2111.0</v>
      </c>
      <c r="L28" s="34" t="s">
        <v>48</v>
      </c>
      <c r="M28" s="33" t="n">
        <f>2116</f>
        <v>2116.0</v>
      </c>
      <c r="N28" s="34" t="s">
        <v>48</v>
      </c>
      <c r="O28" s="33" t="n">
        <f>2035</f>
        <v>2035.0</v>
      </c>
      <c r="P28" s="34" t="s">
        <v>50</v>
      </c>
      <c r="Q28" s="33" t="n">
        <f>2096</f>
        <v>2096.0</v>
      </c>
      <c r="R28" s="34" t="s">
        <v>51</v>
      </c>
      <c r="S28" s="35" t="n">
        <f>2077.39</f>
        <v>2077.39</v>
      </c>
      <c r="T28" s="32" t="n">
        <f>3205900</f>
        <v>3205900.0</v>
      </c>
      <c r="U28" s="32" t="n">
        <f>353800</f>
        <v>353800.0</v>
      </c>
      <c r="V28" s="32" t="n">
        <f>6653817770</f>
        <v>6.65381777E9</v>
      </c>
      <c r="W28" s="32" t="n">
        <f>723773570</f>
        <v>7.2377357E8</v>
      </c>
      <c r="X28" s="36" t="n">
        <f>18</f>
        <v>18.0</v>
      </c>
    </row>
    <row r="29">
      <c r="A29" s="27" t="s">
        <v>42</v>
      </c>
      <c r="B29" s="27" t="s">
        <v>121</v>
      </c>
      <c r="C29" s="27" t="s">
        <v>122</v>
      </c>
      <c r="D29" s="27" t="s">
        <v>123</v>
      </c>
      <c r="E29" s="28" t="s">
        <v>46</v>
      </c>
      <c r="F29" s="29" t="s">
        <v>46</v>
      </c>
      <c r="G29" s="30" t="s">
        <v>46</v>
      </c>
      <c r="H29" s="31"/>
      <c r="I29" s="31" t="s">
        <v>47</v>
      </c>
      <c r="J29" s="32" t="n">
        <v>1.0</v>
      </c>
      <c r="K29" s="33" t="n">
        <f>30050</f>
        <v>30050.0</v>
      </c>
      <c r="L29" s="34" t="s">
        <v>48</v>
      </c>
      <c r="M29" s="33" t="n">
        <f>30750</f>
        <v>30750.0</v>
      </c>
      <c r="N29" s="34" t="s">
        <v>49</v>
      </c>
      <c r="O29" s="33" t="n">
        <f>28410</f>
        <v>28410.0</v>
      </c>
      <c r="P29" s="34" t="s">
        <v>50</v>
      </c>
      <c r="Q29" s="33" t="n">
        <f>29940</f>
        <v>29940.0</v>
      </c>
      <c r="R29" s="34" t="s">
        <v>51</v>
      </c>
      <c r="S29" s="35" t="n">
        <f>29576.67</f>
        <v>29576.67</v>
      </c>
      <c r="T29" s="32" t="n">
        <f>938124</f>
        <v>938124.0</v>
      </c>
      <c r="U29" s="32" t="n">
        <f>398503</f>
        <v>398503.0</v>
      </c>
      <c r="V29" s="32" t="n">
        <f>27772866920</f>
        <v>2.777286692E10</v>
      </c>
      <c r="W29" s="32" t="n">
        <f>11904183770</f>
        <v>1.190418377E10</v>
      </c>
      <c r="X29" s="36" t="n">
        <f>18</f>
        <v>18.0</v>
      </c>
    </row>
    <row r="30">
      <c r="A30" s="27" t="s">
        <v>42</v>
      </c>
      <c r="B30" s="27" t="s">
        <v>124</v>
      </c>
      <c r="C30" s="27" t="s">
        <v>125</v>
      </c>
      <c r="D30" s="27" t="s">
        <v>126</v>
      </c>
      <c r="E30" s="28" t="s">
        <v>46</v>
      </c>
      <c r="F30" s="29" t="s">
        <v>46</v>
      </c>
      <c r="G30" s="30" t="s">
        <v>46</v>
      </c>
      <c r="H30" s="31"/>
      <c r="I30" s="31" t="s">
        <v>47</v>
      </c>
      <c r="J30" s="32" t="n">
        <v>10.0</v>
      </c>
      <c r="K30" s="33" t="n">
        <f>2001</f>
        <v>2001.0</v>
      </c>
      <c r="L30" s="34" t="s">
        <v>48</v>
      </c>
      <c r="M30" s="33" t="n">
        <f>2036</f>
        <v>2036.0</v>
      </c>
      <c r="N30" s="34" t="s">
        <v>49</v>
      </c>
      <c r="O30" s="33" t="n">
        <f>1924</f>
        <v>1924.0</v>
      </c>
      <c r="P30" s="34" t="s">
        <v>50</v>
      </c>
      <c r="Q30" s="33" t="n">
        <f>2005</f>
        <v>2005.0</v>
      </c>
      <c r="R30" s="34" t="s">
        <v>51</v>
      </c>
      <c r="S30" s="35" t="n">
        <f>1988.17</f>
        <v>1988.17</v>
      </c>
      <c r="T30" s="32" t="n">
        <f>3598810</f>
        <v>3598810.0</v>
      </c>
      <c r="U30" s="32" t="n">
        <f>584090</f>
        <v>584090.0</v>
      </c>
      <c r="V30" s="32" t="n">
        <f>7083075670</f>
        <v>7.08307567E9</v>
      </c>
      <c r="W30" s="32" t="n">
        <f>1147131770</f>
        <v>1.14713177E9</v>
      </c>
      <c r="X30" s="36" t="n">
        <f>18</f>
        <v>18.0</v>
      </c>
    </row>
    <row r="31">
      <c r="A31" s="27" t="s">
        <v>42</v>
      </c>
      <c r="B31" s="27" t="s">
        <v>127</v>
      </c>
      <c r="C31" s="27" t="s">
        <v>128</v>
      </c>
      <c r="D31" s="27" t="s">
        <v>129</v>
      </c>
      <c r="E31" s="28" t="s">
        <v>46</v>
      </c>
      <c r="F31" s="29" t="s">
        <v>46</v>
      </c>
      <c r="G31" s="30" t="s">
        <v>46</v>
      </c>
      <c r="H31" s="31"/>
      <c r="I31" s="31" t="s">
        <v>47</v>
      </c>
      <c r="J31" s="32" t="n">
        <v>1.0</v>
      </c>
      <c r="K31" s="33" t="n">
        <f>13350</f>
        <v>13350.0</v>
      </c>
      <c r="L31" s="34" t="s">
        <v>48</v>
      </c>
      <c r="M31" s="33" t="n">
        <f>13550</f>
        <v>13550.0</v>
      </c>
      <c r="N31" s="34" t="s">
        <v>51</v>
      </c>
      <c r="O31" s="33" t="n">
        <f>13240</f>
        <v>13240.0</v>
      </c>
      <c r="P31" s="34" t="s">
        <v>130</v>
      </c>
      <c r="Q31" s="33" t="n">
        <f>13450</f>
        <v>13450.0</v>
      </c>
      <c r="R31" s="34" t="s">
        <v>51</v>
      </c>
      <c r="S31" s="35" t="n">
        <f>13380</f>
        <v>13380.0</v>
      </c>
      <c r="T31" s="32" t="n">
        <f>8537</f>
        <v>8537.0</v>
      </c>
      <c r="U31" s="32" t="n">
        <f>7500</f>
        <v>7500.0</v>
      </c>
      <c r="V31" s="32" t="n">
        <f>114604670</f>
        <v>1.1460467E8</v>
      </c>
      <c r="W31" s="32" t="n">
        <f>100704750</f>
        <v>1.0070475E8</v>
      </c>
      <c r="X31" s="36" t="n">
        <f>18</f>
        <v>18.0</v>
      </c>
    </row>
    <row r="32">
      <c r="A32" s="27" t="s">
        <v>42</v>
      </c>
      <c r="B32" s="27" t="s">
        <v>131</v>
      </c>
      <c r="C32" s="27" t="s">
        <v>132</v>
      </c>
      <c r="D32" s="27" t="s">
        <v>133</v>
      </c>
      <c r="E32" s="28" t="s">
        <v>46</v>
      </c>
      <c r="F32" s="29" t="s">
        <v>46</v>
      </c>
      <c r="G32" s="30" t="s">
        <v>46</v>
      </c>
      <c r="H32" s="31"/>
      <c r="I32" s="31" t="s">
        <v>47</v>
      </c>
      <c r="J32" s="32" t="n">
        <v>10.0</v>
      </c>
      <c r="K32" s="33" t="n">
        <f>1195</f>
        <v>1195.0</v>
      </c>
      <c r="L32" s="34" t="s">
        <v>48</v>
      </c>
      <c r="M32" s="33" t="n">
        <f>1292</f>
        <v>1292.0</v>
      </c>
      <c r="N32" s="34" t="s">
        <v>50</v>
      </c>
      <c r="O32" s="33" t="n">
        <f>1152</f>
        <v>1152.0</v>
      </c>
      <c r="P32" s="34" t="s">
        <v>84</v>
      </c>
      <c r="Q32" s="33" t="n">
        <f>1186</f>
        <v>1186.0</v>
      </c>
      <c r="R32" s="34" t="s">
        <v>51</v>
      </c>
      <c r="S32" s="35" t="n">
        <f>1207.67</f>
        <v>1207.67</v>
      </c>
      <c r="T32" s="32" t="n">
        <f>10427090</f>
        <v>1.042709E7</v>
      </c>
      <c r="U32" s="32" t="n">
        <f>204730</f>
        <v>204730.0</v>
      </c>
      <c r="V32" s="32" t="n">
        <f>12724867340</f>
        <v>1.272486734E10</v>
      </c>
      <c r="W32" s="32" t="n">
        <f>257807750</f>
        <v>2.5780775E8</v>
      </c>
      <c r="X32" s="36" t="n">
        <f>18</f>
        <v>18.0</v>
      </c>
    </row>
    <row r="33">
      <c r="A33" s="27" t="s">
        <v>42</v>
      </c>
      <c r="B33" s="27" t="s">
        <v>134</v>
      </c>
      <c r="C33" s="27" t="s">
        <v>135</v>
      </c>
      <c r="D33" s="27" t="s">
        <v>136</v>
      </c>
      <c r="E33" s="28" t="s">
        <v>46</v>
      </c>
      <c r="F33" s="29" t="s">
        <v>46</v>
      </c>
      <c r="G33" s="30" t="s">
        <v>46</v>
      </c>
      <c r="H33" s="31"/>
      <c r="I33" s="31" t="s">
        <v>47</v>
      </c>
      <c r="J33" s="32" t="n">
        <v>1.0</v>
      </c>
      <c r="K33" s="33" t="n">
        <f>419</f>
        <v>419.0</v>
      </c>
      <c r="L33" s="34" t="s">
        <v>48</v>
      </c>
      <c r="M33" s="33" t="n">
        <f>467</f>
        <v>467.0</v>
      </c>
      <c r="N33" s="34" t="s">
        <v>50</v>
      </c>
      <c r="O33" s="33" t="n">
        <f>399</f>
        <v>399.0</v>
      </c>
      <c r="P33" s="34" t="s">
        <v>49</v>
      </c>
      <c r="Q33" s="33" t="n">
        <f>417</f>
        <v>417.0</v>
      </c>
      <c r="R33" s="34" t="s">
        <v>51</v>
      </c>
      <c r="S33" s="35" t="n">
        <f>429.83</f>
        <v>429.83</v>
      </c>
      <c r="T33" s="32" t="n">
        <f>1229318476</f>
        <v>1.229318476E9</v>
      </c>
      <c r="U33" s="32" t="n">
        <f>3839984</f>
        <v>3839984.0</v>
      </c>
      <c r="V33" s="32" t="n">
        <f>531219845860</f>
        <v>5.3121984586E11</v>
      </c>
      <c r="W33" s="32" t="n">
        <f>1697857844</f>
        <v>1.697857844E9</v>
      </c>
      <c r="X33" s="36" t="n">
        <f>18</f>
        <v>18.0</v>
      </c>
    </row>
    <row r="34">
      <c r="A34" s="27" t="s">
        <v>42</v>
      </c>
      <c r="B34" s="27" t="s">
        <v>137</v>
      </c>
      <c r="C34" s="27" t="s">
        <v>138</v>
      </c>
      <c r="D34" s="27" t="s">
        <v>139</v>
      </c>
      <c r="E34" s="28" t="s">
        <v>46</v>
      </c>
      <c r="F34" s="29" t="s">
        <v>46</v>
      </c>
      <c r="G34" s="30" t="s">
        <v>46</v>
      </c>
      <c r="H34" s="31"/>
      <c r="I34" s="31" t="s">
        <v>47</v>
      </c>
      <c r="J34" s="32" t="n">
        <v>1.0</v>
      </c>
      <c r="K34" s="33" t="n">
        <f>29890</f>
        <v>29890.0</v>
      </c>
      <c r="L34" s="34" t="s">
        <v>48</v>
      </c>
      <c r="M34" s="33" t="n">
        <f>31300</f>
        <v>31300.0</v>
      </c>
      <c r="N34" s="34" t="s">
        <v>49</v>
      </c>
      <c r="O34" s="33" t="n">
        <f>26580</f>
        <v>26580.0</v>
      </c>
      <c r="P34" s="34" t="s">
        <v>50</v>
      </c>
      <c r="Q34" s="33" t="n">
        <f>29510</f>
        <v>29510.0</v>
      </c>
      <c r="R34" s="34" t="s">
        <v>51</v>
      </c>
      <c r="S34" s="35" t="n">
        <f>28828.89</f>
        <v>28828.89</v>
      </c>
      <c r="T34" s="32" t="n">
        <f>420401</f>
        <v>420401.0</v>
      </c>
      <c r="U34" s="32" t="n">
        <f>110</f>
        <v>110.0</v>
      </c>
      <c r="V34" s="32" t="n">
        <f>12033599210</f>
        <v>1.203359921E10</v>
      </c>
      <c r="W34" s="32" t="n">
        <f>3170700</f>
        <v>3170700.0</v>
      </c>
      <c r="X34" s="36" t="n">
        <f>18</f>
        <v>18.0</v>
      </c>
    </row>
    <row r="35">
      <c r="A35" s="27" t="s">
        <v>42</v>
      </c>
      <c r="B35" s="27" t="s">
        <v>140</v>
      </c>
      <c r="C35" s="27" t="s">
        <v>141</v>
      </c>
      <c r="D35" s="27" t="s">
        <v>142</v>
      </c>
      <c r="E35" s="28" t="s">
        <v>46</v>
      </c>
      <c r="F35" s="29" t="s">
        <v>46</v>
      </c>
      <c r="G35" s="30" t="s">
        <v>46</v>
      </c>
      <c r="H35" s="31"/>
      <c r="I35" s="31" t="s">
        <v>47</v>
      </c>
      <c r="J35" s="32" t="n">
        <v>10.0</v>
      </c>
      <c r="K35" s="33" t="n">
        <f>1020</f>
        <v>1020.0</v>
      </c>
      <c r="L35" s="34" t="s">
        <v>48</v>
      </c>
      <c r="M35" s="33" t="n">
        <f>1138</f>
        <v>1138.0</v>
      </c>
      <c r="N35" s="34" t="s">
        <v>50</v>
      </c>
      <c r="O35" s="33" t="n">
        <f>973</f>
        <v>973.0</v>
      </c>
      <c r="P35" s="34" t="s">
        <v>49</v>
      </c>
      <c r="Q35" s="33" t="n">
        <f>1019</f>
        <v>1019.0</v>
      </c>
      <c r="R35" s="34" t="s">
        <v>51</v>
      </c>
      <c r="S35" s="35" t="n">
        <f>1048.83</f>
        <v>1048.83</v>
      </c>
      <c r="T35" s="32" t="n">
        <f>222612430</f>
        <v>2.2261243E8</v>
      </c>
      <c r="U35" s="32" t="n">
        <f>161090</f>
        <v>161090.0</v>
      </c>
      <c r="V35" s="32" t="n">
        <f>235062899290</f>
        <v>2.3506289929E11</v>
      </c>
      <c r="W35" s="32" t="n">
        <f>162611150</f>
        <v>1.6261115E8</v>
      </c>
      <c r="X35" s="36" t="n">
        <f>18</f>
        <v>18.0</v>
      </c>
    </row>
    <row r="36">
      <c r="A36" s="27" t="s">
        <v>42</v>
      </c>
      <c r="B36" s="27" t="s">
        <v>143</v>
      </c>
      <c r="C36" s="27" t="s">
        <v>144</v>
      </c>
      <c r="D36" s="27" t="s">
        <v>145</v>
      </c>
      <c r="E36" s="28" t="s">
        <v>46</v>
      </c>
      <c r="F36" s="29" t="s">
        <v>46</v>
      </c>
      <c r="G36" s="30" t="s">
        <v>46</v>
      </c>
      <c r="H36" s="31"/>
      <c r="I36" s="31" t="s">
        <v>47</v>
      </c>
      <c r="J36" s="32" t="n">
        <v>1.0</v>
      </c>
      <c r="K36" s="33" t="n">
        <f>17810</f>
        <v>17810.0</v>
      </c>
      <c r="L36" s="34" t="s">
        <v>48</v>
      </c>
      <c r="M36" s="33" t="n">
        <f>18100</f>
        <v>18100.0</v>
      </c>
      <c r="N36" s="34" t="s">
        <v>84</v>
      </c>
      <c r="O36" s="33" t="n">
        <f>17090</f>
        <v>17090.0</v>
      </c>
      <c r="P36" s="34" t="s">
        <v>50</v>
      </c>
      <c r="Q36" s="33" t="n">
        <f>17830</f>
        <v>17830.0</v>
      </c>
      <c r="R36" s="34" t="s">
        <v>51</v>
      </c>
      <c r="S36" s="35" t="n">
        <f>17664.44</f>
        <v>17664.44</v>
      </c>
      <c r="T36" s="32" t="n">
        <f>19322</f>
        <v>19322.0</v>
      </c>
      <c r="U36" s="32" t="str">
        <f>"－"</f>
        <v>－</v>
      </c>
      <c r="V36" s="32" t="n">
        <f>337755210</f>
        <v>3.3775521E8</v>
      </c>
      <c r="W36" s="32" t="str">
        <f>"－"</f>
        <v>－</v>
      </c>
      <c r="X36" s="36" t="n">
        <f>18</f>
        <v>18.0</v>
      </c>
    </row>
    <row r="37">
      <c r="A37" s="27" t="s">
        <v>42</v>
      </c>
      <c r="B37" s="27" t="s">
        <v>146</v>
      </c>
      <c r="C37" s="27" t="s">
        <v>147</v>
      </c>
      <c r="D37" s="27" t="s">
        <v>148</v>
      </c>
      <c r="E37" s="28" t="s">
        <v>46</v>
      </c>
      <c r="F37" s="29" t="s">
        <v>46</v>
      </c>
      <c r="G37" s="30" t="s">
        <v>46</v>
      </c>
      <c r="H37" s="31"/>
      <c r="I37" s="31" t="s">
        <v>47</v>
      </c>
      <c r="J37" s="32" t="n">
        <v>1.0</v>
      </c>
      <c r="K37" s="33" t="n">
        <f>24780</f>
        <v>24780.0</v>
      </c>
      <c r="L37" s="34" t="s">
        <v>48</v>
      </c>
      <c r="M37" s="33" t="n">
        <f>25920</f>
        <v>25920.0</v>
      </c>
      <c r="N37" s="34" t="s">
        <v>49</v>
      </c>
      <c r="O37" s="33" t="n">
        <f>22010</f>
        <v>22010.0</v>
      </c>
      <c r="P37" s="34" t="s">
        <v>50</v>
      </c>
      <c r="Q37" s="33" t="n">
        <f>24400</f>
        <v>24400.0</v>
      </c>
      <c r="R37" s="34" t="s">
        <v>51</v>
      </c>
      <c r="S37" s="35" t="n">
        <f>23868.33</f>
        <v>23868.33</v>
      </c>
      <c r="T37" s="32" t="n">
        <f>849734</f>
        <v>849734.0</v>
      </c>
      <c r="U37" s="32" t="n">
        <f>94</f>
        <v>94.0</v>
      </c>
      <c r="V37" s="32" t="n">
        <f>20150934880</f>
        <v>2.015093488E10</v>
      </c>
      <c r="W37" s="32" t="n">
        <f>2214520</f>
        <v>2214520.0</v>
      </c>
      <c r="X37" s="36" t="n">
        <f>18</f>
        <v>18.0</v>
      </c>
    </row>
    <row r="38">
      <c r="A38" s="27" t="s">
        <v>42</v>
      </c>
      <c r="B38" s="27" t="s">
        <v>149</v>
      </c>
      <c r="C38" s="27" t="s">
        <v>150</v>
      </c>
      <c r="D38" s="27" t="s">
        <v>151</v>
      </c>
      <c r="E38" s="28" t="s">
        <v>46</v>
      </c>
      <c r="F38" s="29" t="s">
        <v>46</v>
      </c>
      <c r="G38" s="30" t="s">
        <v>46</v>
      </c>
      <c r="H38" s="31"/>
      <c r="I38" s="31" t="s">
        <v>47</v>
      </c>
      <c r="J38" s="32" t="n">
        <v>1.0</v>
      </c>
      <c r="K38" s="33" t="n">
        <f>1090</f>
        <v>1090.0</v>
      </c>
      <c r="L38" s="34" t="s">
        <v>48</v>
      </c>
      <c r="M38" s="33" t="n">
        <f>1218</f>
        <v>1218.0</v>
      </c>
      <c r="N38" s="34" t="s">
        <v>50</v>
      </c>
      <c r="O38" s="33" t="n">
        <f>1042</f>
        <v>1042.0</v>
      </c>
      <c r="P38" s="34" t="s">
        <v>49</v>
      </c>
      <c r="Q38" s="33" t="n">
        <f>1089</f>
        <v>1089.0</v>
      </c>
      <c r="R38" s="34" t="s">
        <v>51</v>
      </c>
      <c r="S38" s="35" t="n">
        <f>1122.78</f>
        <v>1122.78</v>
      </c>
      <c r="T38" s="32" t="n">
        <f>10085979</f>
        <v>1.0085979E7</v>
      </c>
      <c r="U38" s="32" t="n">
        <f>3314</f>
        <v>3314.0</v>
      </c>
      <c r="V38" s="32" t="n">
        <f>11406217757</f>
        <v>1.1406217757E10</v>
      </c>
      <c r="W38" s="32" t="n">
        <f>3777156</f>
        <v>3777156.0</v>
      </c>
      <c r="X38" s="36" t="n">
        <f>18</f>
        <v>18.0</v>
      </c>
    </row>
    <row r="39">
      <c r="A39" s="27" t="s">
        <v>42</v>
      </c>
      <c r="B39" s="27" t="s">
        <v>152</v>
      </c>
      <c r="C39" s="27" t="s">
        <v>153</v>
      </c>
      <c r="D39" s="27" t="s">
        <v>154</v>
      </c>
      <c r="E39" s="28" t="s">
        <v>46</v>
      </c>
      <c r="F39" s="29" t="s">
        <v>46</v>
      </c>
      <c r="G39" s="30" t="s">
        <v>46</v>
      </c>
      <c r="H39" s="31"/>
      <c r="I39" s="31" t="s">
        <v>47</v>
      </c>
      <c r="J39" s="32" t="n">
        <v>1.0</v>
      </c>
      <c r="K39" s="33" t="n">
        <f>18140</f>
        <v>18140.0</v>
      </c>
      <c r="L39" s="34" t="s">
        <v>48</v>
      </c>
      <c r="M39" s="33" t="n">
        <f>18810</f>
        <v>18810.0</v>
      </c>
      <c r="N39" s="34" t="s">
        <v>49</v>
      </c>
      <c r="O39" s="33" t="n">
        <f>16720</f>
        <v>16720.0</v>
      </c>
      <c r="P39" s="34" t="s">
        <v>50</v>
      </c>
      <c r="Q39" s="33" t="n">
        <f>18160</f>
        <v>18160.0</v>
      </c>
      <c r="R39" s="34" t="s">
        <v>51</v>
      </c>
      <c r="S39" s="35" t="n">
        <f>17898.89</f>
        <v>17898.89</v>
      </c>
      <c r="T39" s="32" t="n">
        <f>339598</f>
        <v>339598.0</v>
      </c>
      <c r="U39" s="32" t="n">
        <f>158</f>
        <v>158.0</v>
      </c>
      <c r="V39" s="32" t="n">
        <f>6038566790</f>
        <v>6.03856679E9</v>
      </c>
      <c r="W39" s="32" t="n">
        <f>2802170</f>
        <v>2802170.0</v>
      </c>
      <c r="X39" s="36" t="n">
        <f>18</f>
        <v>18.0</v>
      </c>
    </row>
    <row r="40">
      <c r="A40" s="27" t="s">
        <v>42</v>
      </c>
      <c r="B40" s="27" t="s">
        <v>155</v>
      </c>
      <c r="C40" s="27" t="s">
        <v>156</v>
      </c>
      <c r="D40" s="27" t="s">
        <v>157</v>
      </c>
      <c r="E40" s="28" t="s">
        <v>46</v>
      </c>
      <c r="F40" s="29" t="s">
        <v>46</v>
      </c>
      <c r="G40" s="30" t="s">
        <v>46</v>
      </c>
      <c r="H40" s="31"/>
      <c r="I40" s="31" t="s">
        <v>47</v>
      </c>
      <c r="J40" s="32" t="n">
        <v>1.0</v>
      </c>
      <c r="K40" s="33" t="n">
        <f>1734</f>
        <v>1734.0</v>
      </c>
      <c r="L40" s="34" t="s">
        <v>48</v>
      </c>
      <c r="M40" s="33" t="n">
        <f>1875</f>
        <v>1875.0</v>
      </c>
      <c r="N40" s="34" t="s">
        <v>50</v>
      </c>
      <c r="O40" s="33" t="n">
        <f>1673</f>
        <v>1673.0</v>
      </c>
      <c r="P40" s="34" t="s">
        <v>84</v>
      </c>
      <c r="Q40" s="33" t="n">
        <f>1718</f>
        <v>1718.0</v>
      </c>
      <c r="R40" s="34" t="s">
        <v>51</v>
      </c>
      <c r="S40" s="35" t="n">
        <f>1752.83</f>
        <v>1752.83</v>
      </c>
      <c r="T40" s="32" t="n">
        <f>2691733</f>
        <v>2691733.0</v>
      </c>
      <c r="U40" s="32" t="n">
        <f>3123</f>
        <v>3123.0</v>
      </c>
      <c r="V40" s="32" t="n">
        <f>4746505411</f>
        <v>4.746505411E9</v>
      </c>
      <c r="W40" s="32" t="n">
        <f>5394292</f>
        <v>5394292.0</v>
      </c>
      <c r="X40" s="36" t="n">
        <f>18</f>
        <v>18.0</v>
      </c>
    </row>
    <row r="41">
      <c r="A41" s="27" t="s">
        <v>42</v>
      </c>
      <c r="B41" s="27" t="s">
        <v>158</v>
      </c>
      <c r="C41" s="27" t="s">
        <v>159</v>
      </c>
      <c r="D41" s="27" t="s">
        <v>160</v>
      </c>
      <c r="E41" s="28" t="s">
        <v>46</v>
      </c>
      <c r="F41" s="29" t="s">
        <v>46</v>
      </c>
      <c r="G41" s="30" t="s">
        <v>46</v>
      </c>
      <c r="H41" s="31"/>
      <c r="I41" s="31" t="s">
        <v>47</v>
      </c>
      <c r="J41" s="32" t="n">
        <v>1.0</v>
      </c>
      <c r="K41" s="33" t="n">
        <f>29210</f>
        <v>29210.0</v>
      </c>
      <c r="L41" s="34" t="s">
        <v>48</v>
      </c>
      <c r="M41" s="33" t="n">
        <f>29890</f>
        <v>29890.0</v>
      </c>
      <c r="N41" s="34" t="s">
        <v>49</v>
      </c>
      <c r="O41" s="33" t="n">
        <f>27600</f>
        <v>27600.0</v>
      </c>
      <c r="P41" s="34" t="s">
        <v>50</v>
      </c>
      <c r="Q41" s="33" t="n">
        <f>29070</f>
        <v>29070.0</v>
      </c>
      <c r="R41" s="34" t="s">
        <v>51</v>
      </c>
      <c r="S41" s="35" t="n">
        <f>28725.56</f>
        <v>28725.56</v>
      </c>
      <c r="T41" s="32" t="n">
        <f>330761</f>
        <v>330761.0</v>
      </c>
      <c r="U41" s="32" t="n">
        <f>107042</f>
        <v>107042.0</v>
      </c>
      <c r="V41" s="32" t="n">
        <f>9448400200</f>
        <v>9.4484002E9</v>
      </c>
      <c r="W41" s="32" t="n">
        <f>3061157320</f>
        <v>3.06115732E9</v>
      </c>
      <c r="X41" s="36" t="n">
        <f>18</f>
        <v>18.0</v>
      </c>
    </row>
    <row r="42">
      <c r="A42" s="27" t="s">
        <v>42</v>
      </c>
      <c r="B42" s="27" t="s">
        <v>161</v>
      </c>
      <c r="C42" s="27" t="s">
        <v>162</v>
      </c>
      <c r="D42" s="27" t="s">
        <v>163</v>
      </c>
      <c r="E42" s="28" t="s">
        <v>46</v>
      </c>
      <c r="F42" s="29" t="s">
        <v>46</v>
      </c>
      <c r="G42" s="30" t="s">
        <v>46</v>
      </c>
      <c r="H42" s="31"/>
      <c r="I42" s="31" t="s">
        <v>47</v>
      </c>
      <c r="J42" s="32" t="n">
        <v>1.0</v>
      </c>
      <c r="K42" s="33" t="n">
        <f>5380</f>
        <v>5380.0</v>
      </c>
      <c r="L42" s="34" t="s">
        <v>48</v>
      </c>
      <c r="M42" s="33" t="n">
        <f>5610</f>
        <v>5610.0</v>
      </c>
      <c r="N42" s="34" t="s">
        <v>51</v>
      </c>
      <c r="O42" s="33" t="n">
        <f>5240</f>
        <v>5240.0</v>
      </c>
      <c r="P42" s="34" t="s">
        <v>85</v>
      </c>
      <c r="Q42" s="33" t="n">
        <f>5590</f>
        <v>5590.0</v>
      </c>
      <c r="R42" s="34" t="s">
        <v>51</v>
      </c>
      <c r="S42" s="35" t="n">
        <f>5430</f>
        <v>5430.0</v>
      </c>
      <c r="T42" s="32" t="n">
        <f>6548</f>
        <v>6548.0</v>
      </c>
      <c r="U42" s="32" t="str">
        <f>"－"</f>
        <v>－</v>
      </c>
      <c r="V42" s="32" t="n">
        <f>35654950</f>
        <v>3.565495E7</v>
      </c>
      <c r="W42" s="32" t="str">
        <f>"－"</f>
        <v>－</v>
      </c>
      <c r="X42" s="36" t="n">
        <f>18</f>
        <v>18.0</v>
      </c>
    </row>
    <row r="43">
      <c r="A43" s="27" t="s">
        <v>42</v>
      </c>
      <c r="B43" s="27" t="s">
        <v>164</v>
      </c>
      <c r="C43" s="27" t="s">
        <v>165</v>
      </c>
      <c r="D43" s="27" t="s">
        <v>166</v>
      </c>
      <c r="E43" s="28" t="s">
        <v>46</v>
      </c>
      <c r="F43" s="29" t="s">
        <v>46</v>
      </c>
      <c r="G43" s="30" t="s">
        <v>46</v>
      </c>
      <c r="H43" s="31"/>
      <c r="I43" s="31" t="s">
        <v>47</v>
      </c>
      <c r="J43" s="32" t="n">
        <v>1.0</v>
      </c>
      <c r="K43" s="33" t="n">
        <f>9500</f>
        <v>9500.0</v>
      </c>
      <c r="L43" s="34" t="s">
        <v>48</v>
      </c>
      <c r="M43" s="33" t="n">
        <f>9910</f>
        <v>9910.0</v>
      </c>
      <c r="N43" s="34" t="s">
        <v>51</v>
      </c>
      <c r="O43" s="33" t="n">
        <f>9400</f>
        <v>9400.0</v>
      </c>
      <c r="P43" s="34" t="s">
        <v>50</v>
      </c>
      <c r="Q43" s="33" t="n">
        <f>9780</f>
        <v>9780.0</v>
      </c>
      <c r="R43" s="34" t="s">
        <v>51</v>
      </c>
      <c r="S43" s="35" t="n">
        <f>9651.11</f>
        <v>9651.11</v>
      </c>
      <c r="T43" s="32" t="n">
        <f>2735</f>
        <v>2735.0</v>
      </c>
      <c r="U43" s="32" t="str">
        <f>"－"</f>
        <v>－</v>
      </c>
      <c r="V43" s="32" t="n">
        <f>26501530</f>
        <v>2.650153E7</v>
      </c>
      <c r="W43" s="32" t="str">
        <f>"－"</f>
        <v>－</v>
      </c>
      <c r="X43" s="36" t="n">
        <f>18</f>
        <v>18.0</v>
      </c>
    </row>
    <row r="44">
      <c r="A44" s="27" t="s">
        <v>42</v>
      </c>
      <c r="B44" s="27" t="s">
        <v>167</v>
      </c>
      <c r="C44" s="27" t="s">
        <v>168</v>
      </c>
      <c r="D44" s="27" t="s">
        <v>169</v>
      </c>
      <c r="E44" s="28" t="s">
        <v>46</v>
      </c>
      <c r="F44" s="29" t="s">
        <v>46</v>
      </c>
      <c r="G44" s="30" t="s">
        <v>46</v>
      </c>
      <c r="H44" s="31"/>
      <c r="I44" s="31" t="s">
        <v>47</v>
      </c>
      <c r="J44" s="32" t="n">
        <v>1.0</v>
      </c>
      <c r="K44" s="33" t="n">
        <f>18970</f>
        <v>18970.0</v>
      </c>
      <c r="L44" s="34" t="s">
        <v>48</v>
      </c>
      <c r="M44" s="33" t="n">
        <f>19780</f>
        <v>19780.0</v>
      </c>
      <c r="N44" s="34" t="s">
        <v>51</v>
      </c>
      <c r="O44" s="33" t="n">
        <f>18540</f>
        <v>18540.0</v>
      </c>
      <c r="P44" s="34" t="s">
        <v>114</v>
      </c>
      <c r="Q44" s="33" t="n">
        <f>19300</f>
        <v>19300.0</v>
      </c>
      <c r="R44" s="34" t="s">
        <v>51</v>
      </c>
      <c r="S44" s="35" t="n">
        <f>19149.29</f>
        <v>19149.29</v>
      </c>
      <c r="T44" s="32" t="n">
        <f>572</f>
        <v>572.0</v>
      </c>
      <c r="U44" s="32" t="str">
        <f>"－"</f>
        <v>－</v>
      </c>
      <c r="V44" s="32" t="n">
        <f>10933760</f>
        <v>1.093376E7</v>
      </c>
      <c r="W44" s="32" t="str">
        <f>"－"</f>
        <v>－</v>
      </c>
      <c r="X44" s="36" t="n">
        <f>14</f>
        <v>14.0</v>
      </c>
    </row>
    <row r="45">
      <c r="A45" s="27" t="s">
        <v>42</v>
      </c>
      <c r="B45" s="27" t="s">
        <v>170</v>
      </c>
      <c r="C45" s="27" t="s">
        <v>171</v>
      </c>
      <c r="D45" s="27" t="s">
        <v>172</v>
      </c>
      <c r="E45" s="28" t="s">
        <v>46</v>
      </c>
      <c r="F45" s="29" t="s">
        <v>46</v>
      </c>
      <c r="G45" s="30" t="s">
        <v>46</v>
      </c>
      <c r="H45" s="31"/>
      <c r="I45" s="31" t="s">
        <v>47</v>
      </c>
      <c r="J45" s="32" t="n">
        <v>1.0</v>
      </c>
      <c r="K45" s="33" t="n">
        <f>16250</f>
        <v>16250.0</v>
      </c>
      <c r="L45" s="34" t="s">
        <v>48</v>
      </c>
      <c r="M45" s="33" t="n">
        <f>17220</f>
        <v>17220.0</v>
      </c>
      <c r="N45" s="34" t="s">
        <v>173</v>
      </c>
      <c r="O45" s="33" t="n">
        <f>16070</f>
        <v>16070.0</v>
      </c>
      <c r="P45" s="34" t="s">
        <v>48</v>
      </c>
      <c r="Q45" s="33" t="n">
        <f>17030</f>
        <v>17030.0</v>
      </c>
      <c r="R45" s="34" t="s">
        <v>51</v>
      </c>
      <c r="S45" s="35" t="n">
        <f>16516.15</f>
        <v>16516.15</v>
      </c>
      <c r="T45" s="32" t="n">
        <f>128</f>
        <v>128.0</v>
      </c>
      <c r="U45" s="32" t="str">
        <f>"－"</f>
        <v>－</v>
      </c>
      <c r="V45" s="32" t="n">
        <f>2140360</f>
        <v>2140360.0</v>
      </c>
      <c r="W45" s="32" t="str">
        <f>"－"</f>
        <v>－</v>
      </c>
      <c r="X45" s="36" t="n">
        <f>13</f>
        <v>13.0</v>
      </c>
    </row>
    <row r="46">
      <c r="A46" s="27" t="s">
        <v>42</v>
      </c>
      <c r="B46" s="27" t="s">
        <v>174</v>
      </c>
      <c r="C46" s="27" t="s">
        <v>175</v>
      </c>
      <c r="D46" s="27" t="s">
        <v>176</v>
      </c>
      <c r="E46" s="28" t="s">
        <v>46</v>
      </c>
      <c r="F46" s="29" t="s">
        <v>46</v>
      </c>
      <c r="G46" s="30" t="s">
        <v>46</v>
      </c>
      <c r="H46" s="31"/>
      <c r="I46" s="31" t="s">
        <v>47</v>
      </c>
      <c r="J46" s="32" t="n">
        <v>1.0</v>
      </c>
      <c r="K46" s="33" t="n">
        <f>10000</f>
        <v>10000.0</v>
      </c>
      <c r="L46" s="34" t="s">
        <v>48</v>
      </c>
      <c r="M46" s="33" t="n">
        <f>10360</f>
        <v>10360.0</v>
      </c>
      <c r="N46" s="34" t="s">
        <v>49</v>
      </c>
      <c r="O46" s="33" t="n">
        <f>9830</f>
        <v>9830.0</v>
      </c>
      <c r="P46" s="34" t="s">
        <v>48</v>
      </c>
      <c r="Q46" s="33" t="n">
        <f>10170</f>
        <v>10170.0</v>
      </c>
      <c r="R46" s="34" t="s">
        <v>51</v>
      </c>
      <c r="S46" s="35" t="n">
        <f>10097.22</f>
        <v>10097.22</v>
      </c>
      <c r="T46" s="32" t="n">
        <f>4954</f>
        <v>4954.0</v>
      </c>
      <c r="U46" s="32" t="str">
        <f>"－"</f>
        <v>－</v>
      </c>
      <c r="V46" s="32" t="n">
        <f>50168860</f>
        <v>5.016886E7</v>
      </c>
      <c r="W46" s="32" t="str">
        <f>"－"</f>
        <v>－</v>
      </c>
      <c r="X46" s="36" t="n">
        <f>18</f>
        <v>18.0</v>
      </c>
    </row>
    <row r="47">
      <c r="A47" s="27" t="s">
        <v>42</v>
      </c>
      <c r="B47" s="27" t="s">
        <v>177</v>
      </c>
      <c r="C47" s="27" t="s">
        <v>178</v>
      </c>
      <c r="D47" s="27" t="s">
        <v>179</v>
      </c>
      <c r="E47" s="28" t="s">
        <v>46</v>
      </c>
      <c r="F47" s="29" t="s">
        <v>46</v>
      </c>
      <c r="G47" s="30" t="s">
        <v>46</v>
      </c>
      <c r="H47" s="31"/>
      <c r="I47" s="31" t="s">
        <v>47</v>
      </c>
      <c r="J47" s="32" t="n">
        <v>1.0</v>
      </c>
      <c r="K47" s="33" t="n">
        <f>5500</f>
        <v>5500.0</v>
      </c>
      <c r="L47" s="34" t="s">
        <v>48</v>
      </c>
      <c r="M47" s="33" t="n">
        <f>5720</f>
        <v>5720.0</v>
      </c>
      <c r="N47" s="34" t="s">
        <v>51</v>
      </c>
      <c r="O47" s="33" t="n">
        <f>5360</f>
        <v>5360.0</v>
      </c>
      <c r="P47" s="34" t="s">
        <v>114</v>
      </c>
      <c r="Q47" s="33" t="n">
        <f>5580</f>
        <v>5580.0</v>
      </c>
      <c r="R47" s="34" t="s">
        <v>51</v>
      </c>
      <c r="S47" s="35" t="n">
        <f>5492.22</f>
        <v>5492.22</v>
      </c>
      <c r="T47" s="32" t="n">
        <f>3040</f>
        <v>3040.0</v>
      </c>
      <c r="U47" s="32" t="str">
        <f>"－"</f>
        <v>－</v>
      </c>
      <c r="V47" s="32" t="n">
        <f>16709200</f>
        <v>1.67092E7</v>
      </c>
      <c r="W47" s="32" t="str">
        <f>"－"</f>
        <v>－</v>
      </c>
      <c r="X47" s="36" t="n">
        <f>18</f>
        <v>18.0</v>
      </c>
    </row>
    <row r="48">
      <c r="A48" s="27" t="s">
        <v>42</v>
      </c>
      <c r="B48" s="27" t="s">
        <v>180</v>
      </c>
      <c r="C48" s="27" t="s">
        <v>181</v>
      </c>
      <c r="D48" s="27" t="s">
        <v>182</v>
      </c>
      <c r="E48" s="28" t="s">
        <v>46</v>
      </c>
      <c r="F48" s="29" t="s">
        <v>46</v>
      </c>
      <c r="G48" s="30" t="s">
        <v>46</v>
      </c>
      <c r="H48" s="31"/>
      <c r="I48" s="31" t="s">
        <v>47</v>
      </c>
      <c r="J48" s="32" t="n">
        <v>1.0</v>
      </c>
      <c r="K48" s="33" t="n">
        <f>2651</f>
        <v>2651.0</v>
      </c>
      <c r="L48" s="34" t="s">
        <v>48</v>
      </c>
      <c r="M48" s="33" t="n">
        <f>2762</f>
        <v>2762.0</v>
      </c>
      <c r="N48" s="34" t="s">
        <v>51</v>
      </c>
      <c r="O48" s="33" t="n">
        <f>2559</f>
        <v>2559.0</v>
      </c>
      <c r="P48" s="34" t="s">
        <v>85</v>
      </c>
      <c r="Q48" s="33" t="n">
        <f>2744</f>
        <v>2744.0</v>
      </c>
      <c r="R48" s="34" t="s">
        <v>51</v>
      </c>
      <c r="S48" s="35" t="n">
        <f>2651.22</f>
        <v>2651.22</v>
      </c>
      <c r="T48" s="32" t="n">
        <f>6459</f>
        <v>6459.0</v>
      </c>
      <c r="U48" s="32" t="str">
        <f>"－"</f>
        <v>－</v>
      </c>
      <c r="V48" s="32" t="n">
        <f>17061791</f>
        <v>1.7061791E7</v>
      </c>
      <c r="W48" s="32" t="str">
        <f>"－"</f>
        <v>－</v>
      </c>
      <c r="X48" s="36" t="n">
        <f>18</f>
        <v>18.0</v>
      </c>
    </row>
    <row r="49">
      <c r="A49" s="27" t="s">
        <v>42</v>
      </c>
      <c r="B49" s="27" t="s">
        <v>183</v>
      </c>
      <c r="C49" s="27" t="s">
        <v>184</v>
      </c>
      <c r="D49" s="27" t="s">
        <v>185</v>
      </c>
      <c r="E49" s="28" t="s">
        <v>46</v>
      </c>
      <c r="F49" s="29" t="s">
        <v>46</v>
      </c>
      <c r="G49" s="30" t="s">
        <v>46</v>
      </c>
      <c r="H49" s="31"/>
      <c r="I49" s="31" t="s">
        <v>47</v>
      </c>
      <c r="J49" s="32" t="n">
        <v>1.0</v>
      </c>
      <c r="K49" s="33" t="n">
        <f>2642</f>
        <v>2642.0</v>
      </c>
      <c r="L49" s="34" t="s">
        <v>48</v>
      </c>
      <c r="M49" s="33" t="n">
        <f>2748</f>
        <v>2748.0</v>
      </c>
      <c r="N49" s="34" t="s">
        <v>71</v>
      </c>
      <c r="O49" s="33" t="n">
        <f>2636</f>
        <v>2636.0</v>
      </c>
      <c r="P49" s="34" t="s">
        <v>85</v>
      </c>
      <c r="Q49" s="33" t="n">
        <f>2736</f>
        <v>2736.0</v>
      </c>
      <c r="R49" s="34" t="s">
        <v>51</v>
      </c>
      <c r="S49" s="35" t="n">
        <f>2704.22</f>
        <v>2704.22</v>
      </c>
      <c r="T49" s="32" t="n">
        <f>11205</f>
        <v>11205.0</v>
      </c>
      <c r="U49" s="32" t="str">
        <f>"－"</f>
        <v>－</v>
      </c>
      <c r="V49" s="32" t="n">
        <f>30296659</f>
        <v>3.0296659E7</v>
      </c>
      <c r="W49" s="32" t="str">
        <f>"－"</f>
        <v>－</v>
      </c>
      <c r="X49" s="36" t="n">
        <f>18</f>
        <v>18.0</v>
      </c>
    </row>
    <row r="50">
      <c r="A50" s="27" t="s">
        <v>42</v>
      </c>
      <c r="B50" s="27" t="s">
        <v>186</v>
      </c>
      <c r="C50" s="27" t="s">
        <v>187</v>
      </c>
      <c r="D50" s="27" t="s">
        <v>188</v>
      </c>
      <c r="E50" s="28" t="s">
        <v>46</v>
      </c>
      <c r="F50" s="29" t="s">
        <v>46</v>
      </c>
      <c r="G50" s="30" t="s">
        <v>46</v>
      </c>
      <c r="H50" s="31"/>
      <c r="I50" s="31" t="s">
        <v>47</v>
      </c>
      <c r="J50" s="32" t="n">
        <v>1.0</v>
      </c>
      <c r="K50" s="33" t="n">
        <f>45850</f>
        <v>45850.0</v>
      </c>
      <c r="L50" s="34" t="s">
        <v>48</v>
      </c>
      <c r="M50" s="33" t="n">
        <f>46300</f>
        <v>46300.0</v>
      </c>
      <c r="N50" s="34" t="s">
        <v>49</v>
      </c>
      <c r="O50" s="33" t="n">
        <f>44000</f>
        <v>44000.0</v>
      </c>
      <c r="P50" s="34" t="s">
        <v>50</v>
      </c>
      <c r="Q50" s="33" t="n">
        <f>45850</f>
        <v>45850.0</v>
      </c>
      <c r="R50" s="34" t="s">
        <v>51</v>
      </c>
      <c r="S50" s="35" t="n">
        <f>45036.11</f>
        <v>45036.11</v>
      </c>
      <c r="T50" s="32" t="n">
        <f>971</f>
        <v>971.0</v>
      </c>
      <c r="U50" s="32" t="str">
        <f>"－"</f>
        <v>－</v>
      </c>
      <c r="V50" s="32" t="n">
        <f>43882800</f>
        <v>4.38828E7</v>
      </c>
      <c r="W50" s="32" t="str">
        <f>"－"</f>
        <v>－</v>
      </c>
      <c r="X50" s="36" t="n">
        <f>18</f>
        <v>18.0</v>
      </c>
    </row>
    <row r="51">
      <c r="A51" s="27" t="s">
        <v>42</v>
      </c>
      <c r="B51" s="27" t="s">
        <v>189</v>
      </c>
      <c r="C51" s="27" t="s">
        <v>190</v>
      </c>
      <c r="D51" s="27" t="s">
        <v>191</v>
      </c>
      <c r="E51" s="28" t="s">
        <v>46</v>
      </c>
      <c r="F51" s="29" t="s">
        <v>46</v>
      </c>
      <c r="G51" s="30" t="s">
        <v>46</v>
      </c>
      <c r="H51" s="31"/>
      <c r="I51" s="31" t="s">
        <v>47</v>
      </c>
      <c r="J51" s="32" t="n">
        <v>1.0</v>
      </c>
      <c r="K51" s="33" t="n">
        <f>32850</f>
        <v>32850.0</v>
      </c>
      <c r="L51" s="34" t="s">
        <v>48</v>
      </c>
      <c r="M51" s="33" t="n">
        <f>33600</f>
        <v>33600.0</v>
      </c>
      <c r="N51" s="34" t="s">
        <v>84</v>
      </c>
      <c r="O51" s="33" t="n">
        <f>32000</f>
        <v>32000.0</v>
      </c>
      <c r="P51" s="34" t="s">
        <v>50</v>
      </c>
      <c r="Q51" s="33" t="n">
        <f>33350</f>
        <v>33350.0</v>
      </c>
      <c r="R51" s="34" t="s">
        <v>51</v>
      </c>
      <c r="S51" s="35" t="n">
        <f>32732.14</f>
        <v>32732.14</v>
      </c>
      <c r="T51" s="32" t="n">
        <f>287</f>
        <v>287.0</v>
      </c>
      <c r="U51" s="32" t="str">
        <f>"－"</f>
        <v>－</v>
      </c>
      <c r="V51" s="32" t="n">
        <f>9406150</f>
        <v>9406150.0</v>
      </c>
      <c r="W51" s="32" t="str">
        <f>"－"</f>
        <v>－</v>
      </c>
      <c r="X51" s="36" t="n">
        <f>14</f>
        <v>14.0</v>
      </c>
    </row>
    <row r="52">
      <c r="A52" s="27" t="s">
        <v>42</v>
      </c>
      <c r="B52" s="27" t="s">
        <v>192</v>
      </c>
      <c r="C52" s="27" t="s">
        <v>193</v>
      </c>
      <c r="D52" s="27" t="s">
        <v>194</v>
      </c>
      <c r="E52" s="28" t="s">
        <v>46</v>
      </c>
      <c r="F52" s="29" t="s">
        <v>46</v>
      </c>
      <c r="G52" s="30" t="s">
        <v>46</v>
      </c>
      <c r="H52" s="31"/>
      <c r="I52" s="31" t="s">
        <v>47</v>
      </c>
      <c r="J52" s="32" t="n">
        <v>1.0</v>
      </c>
      <c r="K52" s="33" t="n">
        <f>29240</f>
        <v>29240.0</v>
      </c>
      <c r="L52" s="34" t="s">
        <v>48</v>
      </c>
      <c r="M52" s="33" t="n">
        <f>29860</f>
        <v>29860.0</v>
      </c>
      <c r="N52" s="34" t="s">
        <v>49</v>
      </c>
      <c r="O52" s="33" t="n">
        <f>27670</f>
        <v>27670.0</v>
      </c>
      <c r="P52" s="34" t="s">
        <v>50</v>
      </c>
      <c r="Q52" s="33" t="n">
        <f>29100</f>
        <v>29100.0</v>
      </c>
      <c r="R52" s="34" t="s">
        <v>51</v>
      </c>
      <c r="S52" s="35" t="n">
        <f>28765.33</f>
        <v>28765.33</v>
      </c>
      <c r="T52" s="32" t="n">
        <f>393101</f>
        <v>393101.0</v>
      </c>
      <c r="U52" s="32" t="n">
        <f>386000</f>
        <v>386000.0</v>
      </c>
      <c r="V52" s="32" t="n">
        <f>11183407800</f>
        <v>1.11834078E10</v>
      </c>
      <c r="W52" s="32" t="n">
        <f>10976817900</f>
        <v>1.09768179E10</v>
      </c>
      <c r="X52" s="36" t="n">
        <f>15</f>
        <v>15.0</v>
      </c>
    </row>
    <row r="53">
      <c r="A53" s="27" t="s">
        <v>42</v>
      </c>
      <c r="B53" s="27" t="s">
        <v>195</v>
      </c>
      <c r="C53" s="27" t="s">
        <v>196</v>
      </c>
      <c r="D53" s="27" t="s">
        <v>197</v>
      </c>
      <c r="E53" s="28" t="s">
        <v>46</v>
      </c>
      <c r="F53" s="29" t="s">
        <v>46</v>
      </c>
      <c r="G53" s="30" t="s">
        <v>46</v>
      </c>
      <c r="H53" s="31"/>
      <c r="I53" s="31" t="s">
        <v>47</v>
      </c>
      <c r="J53" s="32" t="n">
        <v>10.0</v>
      </c>
      <c r="K53" s="33" t="n">
        <f>2144</f>
        <v>2144.0</v>
      </c>
      <c r="L53" s="34" t="s">
        <v>48</v>
      </c>
      <c r="M53" s="33" t="n">
        <f>2150</f>
        <v>2150.0</v>
      </c>
      <c r="N53" s="34" t="s">
        <v>84</v>
      </c>
      <c r="O53" s="33" t="n">
        <f>2056</f>
        <v>2056.0</v>
      </c>
      <c r="P53" s="34" t="s">
        <v>114</v>
      </c>
      <c r="Q53" s="33" t="n">
        <f>2117</f>
        <v>2117.0</v>
      </c>
      <c r="R53" s="34" t="s">
        <v>51</v>
      </c>
      <c r="S53" s="35" t="n">
        <f>2102</f>
        <v>2102.0</v>
      </c>
      <c r="T53" s="32" t="n">
        <f>539260</f>
        <v>539260.0</v>
      </c>
      <c r="U53" s="32" t="n">
        <f>228900</f>
        <v>228900.0</v>
      </c>
      <c r="V53" s="32" t="n">
        <f>1129463073</f>
        <v>1.129463073E9</v>
      </c>
      <c r="W53" s="32" t="n">
        <f>478108783</f>
        <v>4.78108783E8</v>
      </c>
      <c r="X53" s="36" t="n">
        <f>18</f>
        <v>18.0</v>
      </c>
    </row>
    <row r="54">
      <c r="A54" s="27" t="s">
        <v>42</v>
      </c>
      <c r="B54" s="27" t="s">
        <v>198</v>
      </c>
      <c r="C54" s="27" t="s">
        <v>199</v>
      </c>
      <c r="D54" s="27" t="s">
        <v>200</v>
      </c>
      <c r="E54" s="28" t="s">
        <v>46</v>
      </c>
      <c r="F54" s="29" t="s">
        <v>46</v>
      </c>
      <c r="G54" s="30" t="s">
        <v>46</v>
      </c>
      <c r="H54" s="31"/>
      <c r="I54" s="31" t="s">
        <v>47</v>
      </c>
      <c r="J54" s="32" t="n">
        <v>10.0</v>
      </c>
      <c r="K54" s="33" t="n">
        <f>1572</f>
        <v>1572.0</v>
      </c>
      <c r="L54" s="34" t="s">
        <v>48</v>
      </c>
      <c r="M54" s="33" t="n">
        <f>1606</f>
        <v>1606.0</v>
      </c>
      <c r="N54" s="34" t="s">
        <v>49</v>
      </c>
      <c r="O54" s="33" t="n">
        <f>1534</f>
        <v>1534.0</v>
      </c>
      <c r="P54" s="34" t="s">
        <v>50</v>
      </c>
      <c r="Q54" s="33" t="n">
        <f>1548</f>
        <v>1548.0</v>
      </c>
      <c r="R54" s="34" t="s">
        <v>51</v>
      </c>
      <c r="S54" s="35" t="n">
        <f>1564.67</f>
        <v>1564.67</v>
      </c>
      <c r="T54" s="32" t="n">
        <f>2390</f>
        <v>2390.0</v>
      </c>
      <c r="U54" s="32" t="str">
        <f>"－"</f>
        <v>－</v>
      </c>
      <c r="V54" s="32" t="n">
        <f>3774010</f>
        <v>3774010.0</v>
      </c>
      <c r="W54" s="32" t="str">
        <f>"－"</f>
        <v>－</v>
      </c>
      <c r="X54" s="36" t="n">
        <f>15</f>
        <v>15.0</v>
      </c>
    </row>
    <row r="55">
      <c r="A55" s="27" t="s">
        <v>42</v>
      </c>
      <c r="B55" s="27" t="s">
        <v>201</v>
      </c>
      <c r="C55" s="27" t="s">
        <v>202</v>
      </c>
      <c r="D55" s="27" t="s">
        <v>203</v>
      </c>
      <c r="E55" s="28" t="s">
        <v>46</v>
      </c>
      <c r="F55" s="29" t="s">
        <v>46</v>
      </c>
      <c r="G55" s="30" t="s">
        <v>46</v>
      </c>
      <c r="H55" s="31"/>
      <c r="I55" s="31" t="s">
        <v>47</v>
      </c>
      <c r="J55" s="32" t="n">
        <v>1.0</v>
      </c>
      <c r="K55" s="33" t="n">
        <f>4360</f>
        <v>4360.0</v>
      </c>
      <c r="L55" s="34" t="s">
        <v>48</v>
      </c>
      <c r="M55" s="33" t="n">
        <f>4610</f>
        <v>4610.0</v>
      </c>
      <c r="N55" s="34" t="s">
        <v>50</v>
      </c>
      <c r="O55" s="33" t="n">
        <f>4265</f>
        <v>4265.0</v>
      </c>
      <c r="P55" s="34" t="s">
        <v>49</v>
      </c>
      <c r="Q55" s="33" t="n">
        <f>4365</f>
        <v>4365.0</v>
      </c>
      <c r="R55" s="34" t="s">
        <v>51</v>
      </c>
      <c r="S55" s="35" t="n">
        <f>4428.61</f>
        <v>4428.61</v>
      </c>
      <c r="T55" s="32" t="n">
        <f>1074249</f>
        <v>1074249.0</v>
      </c>
      <c r="U55" s="32" t="n">
        <f>591008</f>
        <v>591008.0</v>
      </c>
      <c r="V55" s="32" t="n">
        <f>4829329005</f>
        <v>4.829329005E9</v>
      </c>
      <c r="W55" s="32" t="n">
        <f>2675978215</f>
        <v>2.675978215E9</v>
      </c>
      <c r="X55" s="36" t="n">
        <f>18</f>
        <v>18.0</v>
      </c>
    </row>
    <row r="56">
      <c r="A56" s="27" t="s">
        <v>42</v>
      </c>
      <c r="B56" s="27" t="s">
        <v>204</v>
      </c>
      <c r="C56" s="27" t="s">
        <v>205</v>
      </c>
      <c r="D56" s="27" t="s">
        <v>206</v>
      </c>
      <c r="E56" s="28" t="s">
        <v>46</v>
      </c>
      <c r="F56" s="29" t="s">
        <v>46</v>
      </c>
      <c r="G56" s="30" t="s">
        <v>46</v>
      </c>
      <c r="H56" s="31"/>
      <c r="I56" s="31" t="s">
        <v>47</v>
      </c>
      <c r="J56" s="32" t="n">
        <v>1.0</v>
      </c>
      <c r="K56" s="33" t="n">
        <f>5430</f>
        <v>5430.0</v>
      </c>
      <c r="L56" s="34" t="s">
        <v>48</v>
      </c>
      <c r="M56" s="33" t="n">
        <f>5640</f>
        <v>5640.0</v>
      </c>
      <c r="N56" s="34" t="s">
        <v>50</v>
      </c>
      <c r="O56" s="33" t="n">
        <f>5330</f>
        <v>5330.0</v>
      </c>
      <c r="P56" s="34" t="s">
        <v>84</v>
      </c>
      <c r="Q56" s="33" t="n">
        <f>5420</f>
        <v>5420.0</v>
      </c>
      <c r="R56" s="34" t="s">
        <v>51</v>
      </c>
      <c r="S56" s="35" t="n">
        <f>5463.33</f>
        <v>5463.33</v>
      </c>
      <c r="T56" s="32" t="n">
        <f>343841</f>
        <v>343841.0</v>
      </c>
      <c r="U56" s="32" t="str">
        <f>"－"</f>
        <v>－</v>
      </c>
      <c r="V56" s="32" t="n">
        <f>1881131270</f>
        <v>1.88113127E9</v>
      </c>
      <c r="W56" s="32" t="str">
        <f>"－"</f>
        <v>－</v>
      </c>
      <c r="X56" s="36" t="n">
        <f>18</f>
        <v>18.0</v>
      </c>
    </row>
    <row r="57">
      <c r="A57" s="27" t="s">
        <v>42</v>
      </c>
      <c r="B57" s="27" t="s">
        <v>207</v>
      </c>
      <c r="C57" s="27" t="s">
        <v>208</v>
      </c>
      <c r="D57" s="27" t="s">
        <v>209</v>
      </c>
      <c r="E57" s="28" t="s">
        <v>46</v>
      </c>
      <c r="F57" s="29" t="s">
        <v>46</v>
      </c>
      <c r="G57" s="30" t="s">
        <v>46</v>
      </c>
      <c r="H57" s="31"/>
      <c r="I57" s="31" t="s">
        <v>47</v>
      </c>
      <c r="J57" s="32" t="n">
        <v>1.0</v>
      </c>
      <c r="K57" s="33" t="n">
        <f>18810</f>
        <v>18810.0</v>
      </c>
      <c r="L57" s="34" t="s">
        <v>48</v>
      </c>
      <c r="M57" s="33" t="n">
        <f>19660</f>
        <v>19660.0</v>
      </c>
      <c r="N57" s="34" t="s">
        <v>49</v>
      </c>
      <c r="O57" s="33" t="n">
        <f>16690</f>
        <v>16690.0</v>
      </c>
      <c r="P57" s="34" t="s">
        <v>50</v>
      </c>
      <c r="Q57" s="33" t="n">
        <f>18510</f>
        <v>18510.0</v>
      </c>
      <c r="R57" s="34" t="s">
        <v>51</v>
      </c>
      <c r="S57" s="35" t="n">
        <f>18102.78</f>
        <v>18102.78</v>
      </c>
      <c r="T57" s="32" t="n">
        <f>18046776</f>
        <v>1.8046776E7</v>
      </c>
      <c r="U57" s="32" t="n">
        <f>419</f>
        <v>419.0</v>
      </c>
      <c r="V57" s="32" t="n">
        <f>325122526730</f>
        <v>3.2512252673E11</v>
      </c>
      <c r="W57" s="32" t="n">
        <f>7464520</f>
        <v>7464520.0</v>
      </c>
      <c r="X57" s="36" t="n">
        <f>18</f>
        <v>18.0</v>
      </c>
    </row>
    <row r="58">
      <c r="A58" s="27" t="s">
        <v>42</v>
      </c>
      <c r="B58" s="27" t="s">
        <v>210</v>
      </c>
      <c r="C58" s="27" t="s">
        <v>211</v>
      </c>
      <c r="D58" s="27" t="s">
        <v>212</v>
      </c>
      <c r="E58" s="28" t="s">
        <v>46</v>
      </c>
      <c r="F58" s="29" t="s">
        <v>46</v>
      </c>
      <c r="G58" s="30" t="s">
        <v>46</v>
      </c>
      <c r="H58" s="31"/>
      <c r="I58" s="31" t="s">
        <v>47</v>
      </c>
      <c r="J58" s="32" t="n">
        <v>1.0</v>
      </c>
      <c r="K58" s="33" t="n">
        <f>1668</f>
        <v>1668.0</v>
      </c>
      <c r="L58" s="34" t="s">
        <v>48</v>
      </c>
      <c r="M58" s="33" t="n">
        <f>1860</f>
        <v>1860.0</v>
      </c>
      <c r="N58" s="34" t="s">
        <v>50</v>
      </c>
      <c r="O58" s="33" t="n">
        <f>1591</f>
        <v>1591.0</v>
      </c>
      <c r="P58" s="34" t="s">
        <v>49</v>
      </c>
      <c r="Q58" s="33" t="n">
        <f>1663</f>
        <v>1663.0</v>
      </c>
      <c r="R58" s="34" t="s">
        <v>51</v>
      </c>
      <c r="S58" s="35" t="n">
        <f>1714.11</f>
        <v>1714.11</v>
      </c>
      <c r="T58" s="32" t="n">
        <f>113854957</f>
        <v>1.13854957E8</v>
      </c>
      <c r="U58" s="32" t="n">
        <f>16217</f>
        <v>16217.0</v>
      </c>
      <c r="V58" s="32" t="n">
        <f>195110002599</f>
        <v>1.95110002599E11</v>
      </c>
      <c r="W58" s="32" t="n">
        <f>28380931</f>
        <v>2.8380931E7</v>
      </c>
      <c r="X58" s="36" t="n">
        <f>18</f>
        <v>18.0</v>
      </c>
    </row>
    <row r="59">
      <c r="A59" s="27" t="s">
        <v>42</v>
      </c>
      <c r="B59" s="27" t="s">
        <v>213</v>
      </c>
      <c r="C59" s="27" t="s">
        <v>214</v>
      </c>
      <c r="D59" s="27" t="s">
        <v>215</v>
      </c>
      <c r="E59" s="28" t="s">
        <v>46</v>
      </c>
      <c r="F59" s="29" t="s">
        <v>46</v>
      </c>
      <c r="G59" s="30" t="s">
        <v>46</v>
      </c>
      <c r="H59" s="31"/>
      <c r="I59" s="31" t="s">
        <v>47</v>
      </c>
      <c r="J59" s="32" t="n">
        <v>1.0</v>
      </c>
      <c r="K59" s="33" t="n">
        <f>24480</f>
        <v>24480.0</v>
      </c>
      <c r="L59" s="34" t="s">
        <v>61</v>
      </c>
      <c r="M59" s="33" t="n">
        <f>24800</f>
        <v>24800.0</v>
      </c>
      <c r="N59" s="34" t="s">
        <v>85</v>
      </c>
      <c r="O59" s="33" t="n">
        <f>23740</f>
        <v>23740.0</v>
      </c>
      <c r="P59" s="34" t="s">
        <v>50</v>
      </c>
      <c r="Q59" s="33" t="n">
        <f>23990</f>
        <v>23990.0</v>
      </c>
      <c r="R59" s="34" t="s">
        <v>51</v>
      </c>
      <c r="S59" s="35" t="n">
        <f>24135.71</f>
        <v>24135.71</v>
      </c>
      <c r="T59" s="32" t="n">
        <f>55</f>
        <v>55.0</v>
      </c>
      <c r="U59" s="32" t="str">
        <f>"－"</f>
        <v>－</v>
      </c>
      <c r="V59" s="32" t="n">
        <f>1329730</f>
        <v>1329730.0</v>
      </c>
      <c r="W59" s="32" t="str">
        <f>"－"</f>
        <v>－</v>
      </c>
      <c r="X59" s="36" t="n">
        <f>7</f>
        <v>7.0</v>
      </c>
    </row>
    <row r="60">
      <c r="A60" s="27" t="s">
        <v>42</v>
      </c>
      <c r="B60" s="27" t="s">
        <v>216</v>
      </c>
      <c r="C60" s="27" t="s">
        <v>217</v>
      </c>
      <c r="D60" s="27" t="s">
        <v>218</v>
      </c>
      <c r="E60" s="28" t="s">
        <v>46</v>
      </c>
      <c r="F60" s="29" t="s">
        <v>46</v>
      </c>
      <c r="G60" s="30" t="s">
        <v>46</v>
      </c>
      <c r="H60" s="31"/>
      <c r="I60" s="31" t="s">
        <v>47</v>
      </c>
      <c r="J60" s="32" t="n">
        <v>1.0</v>
      </c>
      <c r="K60" s="33" t="n">
        <f>14440</f>
        <v>14440.0</v>
      </c>
      <c r="L60" s="34" t="s">
        <v>48</v>
      </c>
      <c r="M60" s="33" t="n">
        <f>14940</f>
        <v>14940.0</v>
      </c>
      <c r="N60" s="34" t="s">
        <v>49</v>
      </c>
      <c r="O60" s="33" t="n">
        <f>13380</f>
        <v>13380.0</v>
      </c>
      <c r="P60" s="34" t="s">
        <v>50</v>
      </c>
      <c r="Q60" s="33" t="n">
        <f>14550</f>
        <v>14550.0</v>
      </c>
      <c r="R60" s="34" t="s">
        <v>51</v>
      </c>
      <c r="S60" s="35" t="n">
        <f>14297.22</f>
        <v>14297.22</v>
      </c>
      <c r="T60" s="32" t="n">
        <f>3315</f>
        <v>3315.0</v>
      </c>
      <c r="U60" s="32" t="str">
        <f>"－"</f>
        <v>－</v>
      </c>
      <c r="V60" s="32" t="n">
        <f>46911800</f>
        <v>4.69118E7</v>
      </c>
      <c r="W60" s="32" t="str">
        <f>"－"</f>
        <v>－</v>
      </c>
      <c r="X60" s="36" t="n">
        <f>18</f>
        <v>18.0</v>
      </c>
    </row>
    <row r="61">
      <c r="A61" s="27" t="s">
        <v>42</v>
      </c>
      <c r="B61" s="27" t="s">
        <v>219</v>
      </c>
      <c r="C61" s="27" t="s">
        <v>220</v>
      </c>
      <c r="D61" s="27" t="s">
        <v>221</v>
      </c>
      <c r="E61" s="28" t="s">
        <v>46</v>
      </c>
      <c r="F61" s="29" t="s">
        <v>46</v>
      </c>
      <c r="G61" s="30" t="s">
        <v>46</v>
      </c>
      <c r="H61" s="31"/>
      <c r="I61" s="31" t="s">
        <v>47</v>
      </c>
      <c r="J61" s="32" t="n">
        <v>1.0</v>
      </c>
      <c r="K61" s="33" t="n">
        <f>5280</f>
        <v>5280.0</v>
      </c>
      <c r="L61" s="34" t="s">
        <v>48</v>
      </c>
      <c r="M61" s="33" t="n">
        <f>5500</f>
        <v>5500.0</v>
      </c>
      <c r="N61" s="34" t="s">
        <v>50</v>
      </c>
      <c r="O61" s="33" t="n">
        <f>5200</f>
        <v>5200.0</v>
      </c>
      <c r="P61" s="34" t="s">
        <v>49</v>
      </c>
      <c r="Q61" s="33" t="n">
        <f>5200</f>
        <v>5200.0</v>
      </c>
      <c r="R61" s="34" t="s">
        <v>84</v>
      </c>
      <c r="S61" s="35" t="n">
        <f>5318</f>
        <v>5318.0</v>
      </c>
      <c r="T61" s="32" t="n">
        <f>681</f>
        <v>681.0</v>
      </c>
      <c r="U61" s="32" t="str">
        <f>"－"</f>
        <v>－</v>
      </c>
      <c r="V61" s="32" t="n">
        <f>3662470</f>
        <v>3662470.0</v>
      </c>
      <c r="W61" s="32" t="str">
        <f>"－"</f>
        <v>－</v>
      </c>
      <c r="X61" s="36" t="n">
        <f>15</f>
        <v>15.0</v>
      </c>
    </row>
    <row r="62">
      <c r="A62" s="27" t="s">
        <v>42</v>
      </c>
      <c r="B62" s="27" t="s">
        <v>222</v>
      </c>
      <c r="C62" s="27" t="s">
        <v>223</v>
      </c>
      <c r="D62" s="27" t="s">
        <v>224</v>
      </c>
      <c r="E62" s="28" t="s">
        <v>46</v>
      </c>
      <c r="F62" s="29" t="s">
        <v>46</v>
      </c>
      <c r="G62" s="30" t="s">
        <v>46</v>
      </c>
      <c r="H62" s="31"/>
      <c r="I62" s="31" t="s">
        <v>47</v>
      </c>
      <c r="J62" s="32" t="n">
        <v>1.0</v>
      </c>
      <c r="K62" s="33" t="n">
        <f>2262</f>
        <v>2262.0</v>
      </c>
      <c r="L62" s="34" t="s">
        <v>48</v>
      </c>
      <c r="M62" s="33" t="n">
        <f>2426</f>
        <v>2426.0</v>
      </c>
      <c r="N62" s="34" t="s">
        <v>50</v>
      </c>
      <c r="O62" s="33" t="n">
        <f>2157</f>
        <v>2157.0</v>
      </c>
      <c r="P62" s="34" t="s">
        <v>84</v>
      </c>
      <c r="Q62" s="33" t="n">
        <f>2221</f>
        <v>2221.0</v>
      </c>
      <c r="R62" s="34" t="s">
        <v>51</v>
      </c>
      <c r="S62" s="35" t="n">
        <f>2273.28</f>
        <v>2273.28</v>
      </c>
      <c r="T62" s="32" t="n">
        <f>39719</f>
        <v>39719.0</v>
      </c>
      <c r="U62" s="32" t="str">
        <f>"－"</f>
        <v>－</v>
      </c>
      <c r="V62" s="32" t="n">
        <f>92061432</f>
        <v>9.2061432E7</v>
      </c>
      <c r="W62" s="32" t="str">
        <f>"－"</f>
        <v>－</v>
      </c>
      <c r="X62" s="36" t="n">
        <f>18</f>
        <v>18.0</v>
      </c>
    </row>
    <row r="63">
      <c r="A63" s="27" t="s">
        <v>42</v>
      </c>
      <c r="B63" s="27" t="s">
        <v>225</v>
      </c>
      <c r="C63" s="27" t="s">
        <v>226</v>
      </c>
      <c r="D63" s="27" t="s">
        <v>227</v>
      </c>
      <c r="E63" s="28" t="s">
        <v>46</v>
      </c>
      <c r="F63" s="29" t="s">
        <v>46</v>
      </c>
      <c r="G63" s="30" t="s">
        <v>46</v>
      </c>
      <c r="H63" s="31"/>
      <c r="I63" s="31" t="s">
        <v>47</v>
      </c>
      <c r="J63" s="32" t="n">
        <v>10.0</v>
      </c>
      <c r="K63" s="33" t="n">
        <f>13500</f>
        <v>13500.0</v>
      </c>
      <c r="L63" s="34" t="s">
        <v>48</v>
      </c>
      <c r="M63" s="33" t="n">
        <f>14230</f>
        <v>14230.0</v>
      </c>
      <c r="N63" s="34" t="s">
        <v>85</v>
      </c>
      <c r="O63" s="33" t="n">
        <f>12680</f>
        <v>12680.0</v>
      </c>
      <c r="P63" s="34" t="s">
        <v>50</v>
      </c>
      <c r="Q63" s="33" t="n">
        <f>13700</f>
        <v>13700.0</v>
      </c>
      <c r="R63" s="34" t="s">
        <v>51</v>
      </c>
      <c r="S63" s="35" t="n">
        <f>13392.94</f>
        <v>13392.94</v>
      </c>
      <c r="T63" s="32" t="n">
        <f>4870</f>
        <v>4870.0</v>
      </c>
      <c r="U63" s="32" t="str">
        <f>"－"</f>
        <v>－</v>
      </c>
      <c r="V63" s="32" t="n">
        <f>64904400</f>
        <v>6.49044E7</v>
      </c>
      <c r="W63" s="32" t="str">
        <f>"－"</f>
        <v>－</v>
      </c>
      <c r="X63" s="36" t="n">
        <f>17</f>
        <v>17.0</v>
      </c>
    </row>
    <row r="64">
      <c r="A64" s="27" t="s">
        <v>42</v>
      </c>
      <c r="B64" s="27" t="s">
        <v>228</v>
      </c>
      <c r="C64" s="27" t="s">
        <v>229</v>
      </c>
      <c r="D64" s="27" t="s">
        <v>230</v>
      </c>
      <c r="E64" s="28" t="s">
        <v>46</v>
      </c>
      <c r="F64" s="29" t="s">
        <v>46</v>
      </c>
      <c r="G64" s="30" t="s">
        <v>46</v>
      </c>
      <c r="H64" s="31"/>
      <c r="I64" s="31" t="s">
        <v>47</v>
      </c>
      <c r="J64" s="32" t="n">
        <v>10.0</v>
      </c>
      <c r="K64" s="33" t="n">
        <f>5140</f>
        <v>5140.0</v>
      </c>
      <c r="L64" s="34" t="s">
        <v>49</v>
      </c>
      <c r="M64" s="33" t="n">
        <f>5320</f>
        <v>5320.0</v>
      </c>
      <c r="N64" s="34" t="s">
        <v>50</v>
      </c>
      <c r="O64" s="33" t="n">
        <f>5090</f>
        <v>5090.0</v>
      </c>
      <c r="P64" s="34" t="s">
        <v>49</v>
      </c>
      <c r="Q64" s="33" t="n">
        <f>5160</f>
        <v>5160.0</v>
      </c>
      <c r="R64" s="34" t="s">
        <v>231</v>
      </c>
      <c r="S64" s="35" t="n">
        <f>5208.75</f>
        <v>5208.75</v>
      </c>
      <c r="T64" s="32" t="n">
        <f>1740</f>
        <v>1740.0</v>
      </c>
      <c r="U64" s="32" t="str">
        <f>"－"</f>
        <v>－</v>
      </c>
      <c r="V64" s="32" t="n">
        <f>9100700</f>
        <v>9100700.0</v>
      </c>
      <c r="W64" s="32" t="str">
        <f>"－"</f>
        <v>－</v>
      </c>
      <c r="X64" s="36" t="n">
        <f>8</f>
        <v>8.0</v>
      </c>
    </row>
    <row r="65">
      <c r="A65" s="27" t="s">
        <v>42</v>
      </c>
      <c r="B65" s="27" t="s">
        <v>232</v>
      </c>
      <c r="C65" s="27" t="s">
        <v>233</v>
      </c>
      <c r="D65" s="27" t="s">
        <v>234</v>
      </c>
      <c r="E65" s="28" t="s">
        <v>46</v>
      </c>
      <c r="F65" s="29" t="s">
        <v>46</v>
      </c>
      <c r="G65" s="30" t="s">
        <v>46</v>
      </c>
      <c r="H65" s="31"/>
      <c r="I65" s="31" t="s">
        <v>47</v>
      </c>
      <c r="J65" s="32" t="n">
        <v>10.0</v>
      </c>
      <c r="K65" s="33" t="n">
        <f>2245</f>
        <v>2245.0</v>
      </c>
      <c r="L65" s="34" t="s">
        <v>48</v>
      </c>
      <c r="M65" s="33" t="n">
        <f>2402</f>
        <v>2402.0</v>
      </c>
      <c r="N65" s="34" t="s">
        <v>50</v>
      </c>
      <c r="O65" s="33" t="n">
        <f>2133</f>
        <v>2133.0</v>
      </c>
      <c r="P65" s="34" t="s">
        <v>84</v>
      </c>
      <c r="Q65" s="33" t="n">
        <f>2194</f>
        <v>2194.0</v>
      </c>
      <c r="R65" s="34" t="s">
        <v>51</v>
      </c>
      <c r="S65" s="35" t="n">
        <f>2248.89</f>
        <v>2248.89</v>
      </c>
      <c r="T65" s="32" t="n">
        <f>62040</f>
        <v>62040.0</v>
      </c>
      <c r="U65" s="32" t="str">
        <f>"－"</f>
        <v>－</v>
      </c>
      <c r="V65" s="32" t="n">
        <f>139018790</f>
        <v>1.3901879E8</v>
      </c>
      <c r="W65" s="32" t="str">
        <f>"－"</f>
        <v>－</v>
      </c>
      <c r="X65" s="36" t="n">
        <f>18</f>
        <v>18.0</v>
      </c>
    </row>
    <row r="66">
      <c r="A66" s="27" t="s">
        <v>42</v>
      </c>
      <c r="B66" s="27" t="s">
        <v>235</v>
      </c>
      <c r="C66" s="27" t="s">
        <v>236</v>
      </c>
      <c r="D66" s="27" t="s">
        <v>237</v>
      </c>
      <c r="E66" s="28" t="s">
        <v>46</v>
      </c>
      <c r="F66" s="29" t="s">
        <v>46</v>
      </c>
      <c r="G66" s="30" t="s">
        <v>46</v>
      </c>
      <c r="H66" s="31" t="s">
        <v>238</v>
      </c>
      <c r="I66" s="31"/>
      <c r="J66" s="32" t="n">
        <v>1.0</v>
      </c>
      <c r="K66" s="33" t="n">
        <f>28150</f>
        <v>28150.0</v>
      </c>
      <c r="L66" s="34" t="s">
        <v>48</v>
      </c>
      <c r="M66" s="33" t="n">
        <f>29400</f>
        <v>29400.0</v>
      </c>
      <c r="N66" s="34" t="s">
        <v>49</v>
      </c>
      <c r="O66" s="33" t="n">
        <f>27380</f>
        <v>27380.0</v>
      </c>
      <c r="P66" s="34" t="s">
        <v>114</v>
      </c>
      <c r="Q66" s="33" t="n">
        <f>28550</f>
        <v>28550.0</v>
      </c>
      <c r="R66" s="34" t="s">
        <v>51</v>
      </c>
      <c r="S66" s="35" t="n">
        <f>28601.76</f>
        <v>28601.76</v>
      </c>
      <c r="T66" s="32" t="n">
        <f>1355</f>
        <v>1355.0</v>
      </c>
      <c r="U66" s="32" t="str">
        <f>"－"</f>
        <v>－</v>
      </c>
      <c r="V66" s="32" t="n">
        <f>38737930</f>
        <v>3.873793E7</v>
      </c>
      <c r="W66" s="32" t="str">
        <f>"－"</f>
        <v>－</v>
      </c>
      <c r="X66" s="36" t="n">
        <f>17</f>
        <v>17.0</v>
      </c>
    </row>
    <row r="67">
      <c r="A67" s="27" t="s">
        <v>42</v>
      </c>
      <c r="B67" s="27" t="s">
        <v>239</v>
      </c>
      <c r="C67" s="27" t="s">
        <v>240</v>
      </c>
      <c r="D67" s="27" t="s">
        <v>241</v>
      </c>
      <c r="E67" s="28" t="s">
        <v>46</v>
      </c>
      <c r="F67" s="29" t="s">
        <v>46</v>
      </c>
      <c r="G67" s="30" t="s">
        <v>46</v>
      </c>
      <c r="H67" s="31"/>
      <c r="I67" s="31" t="s">
        <v>47</v>
      </c>
      <c r="J67" s="32" t="n">
        <v>1.0</v>
      </c>
      <c r="K67" s="33" t="n">
        <f>3430</f>
        <v>3430.0</v>
      </c>
      <c r="L67" s="34" t="s">
        <v>48</v>
      </c>
      <c r="M67" s="33" t="n">
        <f>3545</f>
        <v>3545.0</v>
      </c>
      <c r="N67" s="34" t="s">
        <v>50</v>
      </c>
      <c r="O67" s="33" t="n">
        <f>3345</f>
        <v>3345.0</v>
      </c>
      <c r="P67" s="34" t="s">
        <v>84</v>
      </c>
      <c r="Q67" s="33" t="n">
        <f>3390</f>
        <v>3390.0</v>
      </c>
      <c r="R67" s="34" t="s">
        <v>51</v>
      </c>
      <c r="S67" s="35" t="n">
        <f>3437.94</f>
        <v>3437.94</v>
      </c>
      <c r="T67" s="32" t="n">
        <f>1404</f>
        <v>1404.0</v>
      </c>
      <c r="U67" s="32" t="str">
        <f>"－"</f>
        <v>－</v>
      </c>
      <c r="V67" s="32" t="n">
        <f>4878480</f>
        <v>4878480.0</v>
      </c>
      <c r="W67" s="32" t="str">
        <f>"－"</f>
        <v>－</v>
      </c>
      <c r="X67" s="36" t="n">
        <f>17</f>
        <v>17.0</v>
      </c>
    </row>
    <row r="68">
      <c r="A68" s="27" t="s">
        <v>42</v>
      </c>
      <c r="B68" s="27" t="s">
        <v>242</v>
      </c>
      <c r="C68" s="27" t="s">
        <v>243</v>
      </c>
      <c r="D68" s="27" t="s">
        <v>244</v>
      </c>
      <c r="E68" s="28" t="s">
        <v>46</v>
      </c>
      <c r="F68" s="29" t="s">
        <v>46</v>
      </c>
      <c r="G68" s="30" t="s">
        <v>46</v>
      </c>
      <c r="H68" s="31"/>
      <c r="I68" s="31" t="s">
        <v>47</v>
      </c>
      <c r="J68" s="32" t="n">
        <v>1.0</v>
      </c>
      <c r="K68" s="33" t="n">
        <f>900</f>
        <v>900.0</v>
      </c>
      <c r="L68" s="34" t="s">
        <v>48</v>
      </c>
      <c r="M68" s="33" t="n">
        <f>963</f>
        <v>963.0</v>
      </c>
      <c r="N68" s="34" t="s">
        <v>50</v>
      </c>
      <c r="O68" s="33" t="n">
        <f>856</f>
        <v>856.0</v>
      </c>
      <c r="P68" s="34" t="s">
        <v>49</v>
      </c>
      <c r="Q68" s="33" t="n">
        <f>882</f>
        <v>882.0</v>
      </c>
      <c r="R68" s="34" t="s">
        <v>51</v>
      </c>
      <c r="S68" s="35" t="n">
        <f>902.56</f>
        <v>902.56</v>
      </c>
      <c r="T68" s="32" t="n">
        <f>109555</f>
        <v>109555.0</v>
      </c>
      <c r="U68" s="32" t="str">
        <f>"－"</f>
        <v>－</v>
      </c>
      <c r="V68" s="32" t="n">
        <f>99736348</f>
        <v>9.9736348E7</v>
      </c>
      <c r="W68" s="32" t="str">
        <f>"－"</f>
        <v>－</v>
      </c>
      <c r="X68" s="36" t="n">
        <f>18</f>
        <v>18.0</v>
      </c>
    </row>
    <row r="69">
      <c r="A69" s="27" t="s">
        <v>42</v>
      </c>
      <c r="B69" s="27" t="s">
        <v>245</v>
      </c>
      <c r="C69" s="27" t="s">
        <v>246</v>
      </c>
      <c r="D69" s="27" t="s">
        <v>247</v>
      </c>
      <c r="E69" s="28" t="s">
        <v>46</v>
      </c>
      <c r="F69" s="29" t="s">
        <v>46</v>
      </c>
      <c r="G69" s="30" t="s">
        <v>46</v>
      </c>
      <c r="H69" s="31"/>
      <c r="I69" s="31" t="s">
        <v>47</v>
      </c>
      <c r="J69" s="32" t="n">
        <v>10.0</v>
      </c>
      <c r="K69" s="33" t="n">
        <f>1962</f>
        <v>1962.0</v>
      </c>
      <c r="L69" s="34" t="s">
        <v>48</v>
      </c>
      <c r="M69" s="33" t="n">
        <f>1994</f>
        <v>1994.0</v>
      </c>
      <c r="N69" s="34" t="s">
        <v>49</v>
      </c>
      <c r="O69" s="33" t="n">
        <f>1888</f>
        <v>1888.0</v>
      </c>
      <c r="P69" s="34" t="s">
        <v>50</v>
      </c>
      <c r="Q69" s="33" t="n">
        <f>1959</f>
        <v>1959.0</v>
      </c>
      <c r="R69" s="34" t="s">
        <v>51</v>
      </c>
      <c r="S69" s="35" t="n">
        <f>1946.22</f>
        <v>1946.22</v>
      </c>
      <c r="T69" s="32" t="n">
        <f>824120</f>
        <v>824120.0</v>
      </c>
      <c r="U69" s="32" t="n">
        <f>250000</f>
        <v>250000.0</v>
      </c>
      <c r="V69" s="32" t="n">
        <f>1594596120</f>
        <v>1.59459612E9</v>
      </c>
      <c r="W69" s="32" t="n">
        <f>483485000</f>
        <v>4.83485E8</v>
      </c>
      <c r="X69" s="36" t="n">
        <f>18</f>
        <v>18.0</v>
      </c>
    </row>
    <row r="70">
      <c r="A70" s="27" t="s">
        <v>42</v>
      </c>
      <c r="B70" s="27" t="s">
        <v>248</v>
      </c>
      <c r="C70" s="27" t="s">
        <v>249</v>
      </c>
      <c r="D70" s="27" t="s">
        <v>250</v>
      </c>
      <c r="E70" s="28" t="s">
        <v>46</v>
      </c>
      <c r="F70" s="29" t="s">
        <v>46</v>
      </c>
      <c r="G70" s="30" t="s">
        <v>46</v>
      </c>
      <c r="H70" s="31"/>
      <c r="I70" s="31" t="s">
        <v>47</v>
      </c>
      <c r="J70" s="32" t="n">
        <v>1.0</v>
      </c>
      <c r="K70" s="33" t="n">
        <f>17590</f>
        <v>17590.0</v>
      </c>
      <c r="L70" s="34" t="s">
        <v>48</v>
      </c>
      <c r="M70" s="33" t="n">
        <f>17990</f>
        <v>17990.0</v>
      </c>
      <c r="N70" s="34" t="s">
        <v>71</v>
      </c>
      <c r="O70" s="33" t="n">
        <f>16940</f>
        <v>16940.0</v>
      </c>
      <c r="P70" s="34" t="s">
        <v>50</v>
      </c>
      <c r="Q70" s="33" t="n">
        <f>17930</f>
        <v>17930.0</v>
      </c>
      <c r="R70" s="34" t="s">
        <v>84</v>
      </c>
      <c r="S70" s="35" t="n">
        <f>17526.47</f>
        <v>17526.47</v>
      </c>
      <c r="T70" s="32" t="n">
        <f>48560</f>
        <v>48560.0</v>
      </c>
      <c r="U70" s="32" t="str">
        <f>"－"</f>
        <v>－</v>
      </c>
      <c r="V70" s="32" t="n">
        <f>843193580</f>
        <v>8.4319358E8</v>
      </c>
      <c r="W70" s="32" t="str">
        <f>"－"</f>
        <v>－</v>
      </c>
      <c r="X70" s="36" t="n">
        <f>17</f>
        <v>17.0</v>
      </c>
    </row>
    <row r="71">
      <c r="A71" s="27" t="s">
        <v>42</v>
      </c>
      <c r="B71" s="27" t="s">
        <v>251</v>
      </c>
      <c r="C71" s="27" t="s">
        <v>252</v>
      </c>
      <c r="D71" s="27" t="s">
        <v>253</v>
      </c>
      <c r="E71" s="28" t="s">
        <v>46</v>
      </c>
      <c r="F71" s="29" t="s">
        <v>46</v>
      </c>
      <c r="G71" s="30" t="s">
        <v>46</v>
      </c>
      <c r="H71" s="31"/>
      <c r="I71" s="31" t="s">
        <v>47</v>
      </c>
      <c r="J71" s="32" t="n">
        <v>1.0</v>
      </c>
      <c r="K71" s="33" t="n">
        <f>1975</f>
        <v>1975.0</v>
      </c>
      <c r="L71" s="34" t="s">
        <v>48</v>
      </c>
      <c r="M71" s="33" t="n">
        <f>2009</f>
        <v>2009.0</v>
      </c>
      <c r="N71" s="34" t="s">
        <v>49</v>
      </c>
      <c r="O71" s="33" t="n">
        <f>1898</f>
        <v>1898.0</v>
      </c>
      <c r="P71" s="34" t="s">
        <v>50</v>
      </c>
      <c r="Q71" s="33" t="n">
        <f>1975</f>
        <v>1975.0</v>
      </c>
      <c r="R71" s="34" t="s">
        <v>51</v>
      </c>
      <c r="S71" s="35" t="n">
        <f>1961.33</f>
        <v>1961.33</v>
      </c>
      <c r="T71" s="32" t="n">
        <f>4100816</f>
        <v>4100816.0</v>
      </c>
      <c r="U71" s="32" t="n">
        <f>1785432</f>
        <v>1785432.0</v>
      </c>
      <c r="V71" s="32" t="n">
        <f>8044997037</f>
        <v>8.044997037E9</v>
      </c>
      <c r="W71" s="32" t="n">
        <f>3514404648</f>
        <v>3.514404648E9</v>
      </c>
      <c r="X71" s="36" t="n">
        <f>18</f>
        <v>18.0</v>
      </c>
    </row>
    <row r="72">
      <c r="A72" s="27" t="s">
        <v>42</v>
      </c>
      <c r="B72" s="27" t="s">
        <v>254</v>
      </c>
      <c r="C72" s="27" t="s">
        <v>255</v>
      </c>
      <c r="D72" s="27" t="s">
        <v>256</v>
      </c>
      <c r="E72" s="28" t="s">
        <v>46</v>
      </c>
      <c r="F72" s="29" t="s">
        <v>46</v>
      </c>
      <c r="G72" s="30" t="s">
        <v>46</v>
      </c>
      <c r="H72" s="31"/>
      <c r="I72" s="31" t="s">
        <v>47</v>
      </c>
      <c r="J72" s="32" t="n">
        <v>1.0</v>
      </c>
      <c r="K72" s="33" t="n">
        <f>2154</f>
        <v>2154.0</v>
      </c>
      <c r="L72" s="34" t="s">
        <v>48</v>
      </c>
      <c r="M72" s="33" t="n">
        <f>2154</f>
        <v>2154.0</v>
      </c>
      <c r="N72" s="34" t="s">
        <v>48</v>
      </c>
      <c r="O72" s="33" t="n">
        <f>2062</f>
        <v>2062.0</v>
      </c>
      <c r="P72" s="34" t="s">
        <v>114</v>
      </c>
      <c r="Q72" s="33" t="n">
        <f>2132</f>
        <v>2132.0</v>
      </c>
      <c r="R72" s="34" t="s">
        <v>51</v>
      </c>
      <c r="S72" s="35" t="n">
        <f>2110.11</f>
        <v>2110.11</v>
      </c>
      <c r="T72" s="32" t="n">
        <f>6961907</f>
        <v>6961907.0</v>
      </c>
      <c r="U72" s="32" t="n">
        <f>1278911</f>
        <v>1278911.0</v>
      </c>
      <c r="V72" s="32" t="n">
        <f>14687940128</f>
        <v>1.4687940128E10</v>
      </c>
      <c r="W72" s="32" t="n">
        <f>2698277991</f>
        <v>2.698277991E9</v>
      </c>
      <c r="X72" s="36" t="n">
        <f>18</f>
        <v>18.0</v>
      </c>
    </row>
    <row r="73">
      <c r="A73" s="27" t="s">
        <v>42</v>
      </c>
      <c r="B73" s="27" t="s">
        <v>257</v>
      </c>
      <c r="C73" s="27" t="s">
        <v>258</v>
      </c>
      <c r="D73" s="27" t="s">
        <v>259</v>
      </c>
      <c r="E73" s="28" t="s">
        <v>46</v>
      </c>
      <c r="F73" s="29" t="s">
        <v>46</v>
      </c>
      <c r="G73" s="30" t="s">
        <v>46</v>
      </c>
      <c r="H73" s="31"/>
      <c r="I73" s="31" t="s">
        <v>47</v>
      </c>
      <c r="J73" s="32" t="n">
        <v>1.0</v>
      </c>
      <c r="K73" s="33" t="n">
        <f>1830</f>
        <v>1830.0</v>
      </c>
      <c r="L73" s="34" t="s">
        <v>48</v>
      </c>
      <c r="M73" s="33" t="n">
        <f>1867</f>
        <v>1867.0</v>
      </c>
      <c r="N73" s="34" t="s">
        <v>71</v>
      </c>
      <c r="O73" s="33" t="n">
        <f>1771</f>
        <v>1771.0</v>
      </c>
      <c r="P73" s="34" t="s">
        <v>50</v>
      </c>
      <c r="Q73" s="33" t="n">
        <f>1835</f>
        <v>1835.0</v>
      </c>
      <c r="R73" s="34" t="s">
        <v>51</v>
      </c>
      <c r="S73" s="35" t="n">
        <f>1826.11</f>
        <v>1826.11</v>
      </c>
      <c r="T73" s="32" t="n">
        <f>89796</f>
        <v>89796.0</v>
      </c>
      <c r="U73" s="32" t="n">
        <f>74586</f>
        <v>74586.0</v>
      </c>
      <c r="V73" s="32" t="n">
        <f>164177295</f>
        <v>1.64177295E8</v>
      </c>
      <c r="W73" s="32" t="n">
        <f>136686957</f>
        <v>1.36686957E8</v>
      </c>
      <c r="X73" s="36" t="n">
        <f>18</f>
        <v>18.0</v>
      </c>
    </row>
    <row r="74">
      <c r="A74" s="27" t="s">
        <v>42</v>
      </c>
      <c r="B74" s="27" t="s">
        <v>260</v>
      </c>
      <c r="C74" s="27" t="s">
        <v>261</v>
      </c>
      <c r="D74" s="27" t="s">
        <v>262</v>
      </c>
      <c r="E74" s="28" t="s">
        <v>46</v>
      </c>
      <c r="F74" s="29" t="s">
        <v>46</v>
      </c>
      <c r="G74" s="30" t="s">
        <v>46</v>
      </c>
      <c r="H74" s="31"/>
      <c r="I74" s="31" t="s">
        <v>47</v>
      </c>
      <c r="J74" s="32" t="n">
        <v>1.0</v>
      </c>
      <c r="K74" s="33" t="n">
        <f>2147</f>
        <v>2147.0</v>
      </c>
      <c r="L74" s="34" t="s">
        <v>48</v>
      </c>
      <c r="M74" s="33" t="n">
        <f>2199</f>
        <v>2199.0</v>
      </c>
      <c r="N74" s="34" t="s">
        <v>84</v>
      </c>
      <c r="O74" s="33" t="n">
        <f>2097</f>
        <v>2097.0</v>
      </c>
      <c r="P74" s="34" t="s">
        <v>85</v>
      </c>
      <c r="Q74" s="33" t="n">
        <f>2175</f>
        <v>2175.0</v>
      </c>
      <c r="R74" s="34" t="s">
        <v>51</v>
      </c>
      <c r="S74" s="35" t="n">
        <f>2159.17</f>
        <v>2159.17</v>
      </c>
      <c r="T74" s="32" t="n">
        <f>240608</f>
        <v>240608.0</v>
      </c>
      <c r="U74" s="32" t="n">
        <f>35569</f>
        <v>35569.0</v>
      </c>
      <c r="V74" s="32" t="n">
        <f>519661002</f>
        <v>5.19661002E8</v>
      </c>
      <c r="W74" s="32" t="n">
        <f>76536456</f>
        <v>7.6536456E7</v>
      </c>
      <c r="X74" s="36" t="n">
        <f>18</f>
        <v>18.0</v>
      </c>
    </row>
    <row r="75">
      <c r="A75" s="27" t="s">
        <v>42</v>
      </c>
      <c r="B75" s="27" t="s">
        <v>263</v>
      </c>
      <c r="C75" s="27" t="s">
        <v>264</v>
      </c>
      <c r="D75" s="27" t="s">
        <v>265</v>
      </c>
      <c r="E75" s="28" t="s">
        <v>46</v>
      </c>
      <c r="F75" s="29" t="s">
        <v>46</v>
      </c>
      <c r="G75" s="30" t="s">
        <v>46</v>
      </c>
      <c r="H75" s="31"/>
      <c r="I75" s="31" t="s">
        <v>47</v>
      </c>
      <c r="J75" s="32" t="n">
        <v>1.0</v>
      </c>
      <c r="K75" s="33" t="n">
        <f>23420</f>
        <v>23420.0</v>
      </c>
      <c r="L75" s="34" t="s">
        <v>48</v>
      </c>
      <c r="M75" s="33" t="n">
        <f>23750</f>
        <v>23750.0</v>
      </c>
      <c r="N75" s="34" t="s">
        <v>84</v>
      </c>
      <c r="O75" s="33" t="n">
        <f>22440</f>
        <v>22440.0</v>
      </c>
      <c r="P75" s="34" t="s">
        <v>50</v>
      </c>
      <c r="Q75" s="33" t="n">
        <f>23740</f>
        <v>23740.0</v>
      </c>
      <c r="R75" s="34" t="s">
        <v>51</v>
      </c>
      <c r="S75" s="35" t="n">
        <f>23233.89</f>
        <v>23233.89</v>
      </c>
      <c r="T75" s="32" t="n">
        <f>475</f>
        <v>475.0</v>
      </c>
      <c r="U75" s="32" t="str">
        <f>"－"</f>
        <v>－</v>
      </c>
      <c r="V75" s="32" t="n">
        <f>11000090</f>
        <v>1.100009E7</v>
      </c>
      <c r="W75" s="32" t="str">
        <f>"－"</f>
        <v>－</v>
      </c>
      <c r="X75" s="36" t="n">
        <f>18</f>
        <v>18.0</v>
      </c>
    </row>
    <row r="76">
      <c r="A76" s="27" t="s">
        <v>42</v>
      </c>
      <c r="B76" s="27" t="s">
        <v>266</v>
      </c>
      <c r="C76" s="27" t="s">
        <v>267</v>
      </c>
      <c r="D76" s="27" t="s">
        <v>268</v>
      </c>
      <c r="E76" s="28" t="s">
        <v>46</v>
      </c>
      <c r="F76" s="29" t="s">
        <v>46</v>
      </c>
      <c r="G76" s="30" t="s">
        <v>46</v>
      </c>
      <c r="H76" s="31"/>
      <c r="I76" s="31" t="s">
        <v>47</v>
      </c>
      <c r="J76" s="32" t="n">
        <v>1.0</v>
      </c>
      <c r="K76" s="33" t="n">
        <f>19120</f>
        <v>19120.0</v>
      </c>
      <c r="L76" s="34" t="s">
        <v>48</v>
      </c>
      <c r="M76" s="33" t="n">
        <f>19500</f>
        <v>19500.0</v>
      </c>
      <c r="N76" s="34" t="s">
        <v>84</v>
      </c>
      <c r="O76" s="33" t="n">
        <f>18390</f>
        <v>18390.0</v>
      </c>
      <c r="P76" s="34" t="s">
        <v>50</v>
      </c>
      <c r="Q76" s="33" t="n">
        <f>19500</f>
        <v>19500.0</v>
      </c>
      <c r="R76" s="34" t="s">
        <v>51</v>
      </c>
      <c r="S76" s="35" t="n">
        <f>19017.5</f>
        <v>19017.5</v>
      </c>
      <c r="T76" s="32" t="n">
        <f>267</f>
        <v>267.0</v>
      </c>
      <c r="U76" s="32" t="str">
        <f>"－"</f>
        <v>－</v>
      </c>
      <c r="V76" s="32" t="n">
        <f>5013510</f>
        <v>5013510.0</v>
      </c>
      <c r="W76" s="32" t="str">
        <f>"－"</f>
        <v>－</v>
      </c>
      <c r="X76" s="36" t="n">
        <f>16</f>
        <v>16.0</v>
      </c>
    </row>
    <row r="77">
      <c r="A77" s="27" t="s">
        <v>42</v>
      </c>
      <c r="B77" s="27" t="s">
        <v>269</v>
      </c>
      <c r="C77" s="27" t="s">
        <v>270</v>
      </c>
      <c r="D77" s="27" t="s">
        <v>271</v>
      </c>
      <c r="E77" s="28" t="s">
        <v>46</v>
      </c>
      <c r="F77" s="29" t="s">
        <v>46</v>
      </c>
      <c r="G77" s="30" t="s">
        <v>46</v>
      </c>
      <c r="H77" s="31"/>
      <c r="I77" s="31" t="s">
        <v>47</v>
      </c>
      <c r="J77" s="32" t="n">
        <v>1.0</v>
      </c>
      <c r="K77" s="33" t="n">
        <f>1893</f>
        <v>1893.0</v>
      </c>
      <c r="L77" s="34" t="s">
        <v>48</v>
      </c>
      <c r="M77" s="33" t="n">
        <f>1924</f>
        <v>1924.0</v>
      </c>
      <c r="N77" s="34" t="s">
        <v>49</v>
      </c>
      <c r="O77" s="33" t="n">
        <f>1818</f>
        <v>1818.0</v>
      </c>
      <c r="P77" s="34" t="s">
        <v>50</v>
      </c>
      <c r="Q77" s="33" t="n">
        <f>1905</f>
        <v>1905.0</v>
      </c>
      <c r="R77" s="34" t="s">
        <v>51</v>
      </c>
      <c r="S77" s="35" t="n">
        <f>1881.61</f>
        <v>1881.61</v>
      </c>
      <c r="T77" s="32" t="n">
        <f>626</f>
        <v>626.0</v>
      </c>
      <c r="U77" s="32" t="str">
        <f>"－"</f>
        <v>－</v>
      </c>
      <c r="V77" s="32" t="n">
        <f>1172546</f>
        <v>1172546.0</v>
      </c>
      <c r="W77" s="32" t="str">
        <f>"－"</f>
        <v>－</v>
      </c>
      <c r="X77" s="36" t="n">
        <f>18</f>
        <v>18.0</v>
      </c>
    </row>
    <row r="78">
      <c r="A78" s="27" t="s">
        <v>42</v>
      </c>
      <c r="B78" s="27" t="s">
        <v>272</v>
      </c>
      <c r="C78" s="27" t="s">
        <v>273</v>
      </c>
      <c r="D78" s="27" t="s">
        <v>274</v>
      </c>
      <c r="E78" s="28" t="s">
        <v>46</v>
      </c>
      <c r="F78" s="29" t="s">
        <v>46</v>
      </c>
      <c r="G78" s="30" t="s">
        <v>46</v>
      </c>
      <c r="H78" s="31"/>
      <c r="I78" s="31" t="s">
        <v>47</v>
      </c>
      <c r="J78" s="32" t="n">
        <v>1.0</v>
      </c>
      <c r="K78" s="33" t="n">
        <f>2338</f>
        <v>2338.0</v>
      </c>
      <c r="L78" s="34" t="s">
        <v>48</v>
      </c>
      <c r="M78" s="33" t="n">
        <f>2344</f>
        <v>2344.0</v>
      </c>
      <c r="N78" s="34" t="s">
        <v>101</v>
      </c>
      <c r="O78" s="33" t="n">
        <f>2318</f>
        <v>2318.0</v>
      </c>
      <c r="P78" s="34" t="s">
        <v>50</v>
      </c>
      <c r="Q78" s="33" t="n">
        <f>2336</f>
        <v>2336.0</v>
      </c>
      <c r="R78" s="34" t="s">
        <v>51</v>
      </c>
      <c r="S78" s="35" t="n">
        <f>2332.5</f>
        <v>2332.5</v>
      </c>
      <c r="T78" s="32" t="n">
        <f>823846</f>
        <v>823846.0</v>
      </c>
      <c r="U78" s="32" t="n">
        <f>130010</f>
        <v>130010.0</v>
      </c>
      <c r="V78" s="32" t="n">
        <f>1921156179</f>
        <v>1.921156179E9</v>
      </c>
      <c r="W78" s="32" t="n">
        <f>302224310</f>
        <v>3.0222431E8</v>
      </c>
      <c r="X78" s="36" t="n">
        <f>18</f>
        <v>18.0</v>
      </c>
    </row>
    <row r="79">
      <c r="A79" s="27" t="s">
        <v>42</v>
      </c>
      <c r="B79" s="27" t="s">
        <v>275</v>
      </c>
      <c r="C79" s="27" t="s">
        <v>276</v>
      </c>
      <c r="D79" s="27" t="s">
        <v>277</v>
      </c>
      <c r="E79" s="28" t="s">
        <v>46</v>
      </c>
      <c r="F79" s="29" t="s">
        <v>46</v>
      </c>
      <c r="G79" s="30" t="s">
        <v>46</v>
      </c>
      <c r="H79" s="31"/>
      <c r="I79" s="31" t="s">
        <v>47</v>
      </c>
      <c r="J79" s="32" t="n">
        <v>1.0</v>
      </c>
      <c r="K79" s="33" t="n">
        <f>1897</f>
        <v>1897.0</v>
      </c>
      <c r="L79" s="34" t="s">
        <v>48</v>
      </c>
      <c r="M79" s="33" t="n">
        <f>1900</f>
        <v>1900.0</v>
      </c>
      <c r="N79" s="34" t="s">
        <v>48</v>
      </c>
      <c r="O79" s="33" t="n">
        <f>1811</f>
        <v>1811.0</v>
      </c>
      <c r="P79" s="34" t="s">
        <v>50</v>
      </c>
      <c r="Q79" s="33" t="n">
        <f>1894</f>
        <v>1894.0</v>
      </c>
      <c r="R79" s="34" t="s">
        <v>84</v>
      </c>
      <c r="S79" s="35" t="n">
        <f>1863.36</f>
        <v>1863.36</v>
      </c>
      <c r="T79" s="32" t="n">
        <f>476</f>
        <v>476.0</v>
      </c>
      <c r="U79" s="32" t="str">
        <f>"－"</f>
        <v>－</v>
      </c>
      <c r="V79" s="32" t="n">
        <f>884013</f>
        <v>884013.0</v>
      </c>
      <c r="W79" s="32" t="str">
        <f>"－"</f>
        <v>－</v>
      </c>
      <c r="X79" s="36" t="n">
        <f>14</f>
        <v>14.0</v>
      </c>
    </row>
    <row r="80">
      <c r="A80" s="27" t="s">
        <v>42</v>
      </c>
      <c r="B80" s="27" t="s">
        <v>278</v>
      </c>
      <c r="C80" s="27" t="s">
        <v>279</v>
      </c>
      <c r="D80" s="27" t="s">
        <v>280</v>
      </c>
      <c r="E80" s="28" t="s">
        <v>46</v>
      </c>
      <c r="F80" s="29" t="s">
        <v>46</v>
      </c>
      <c r="G80" s="30" t="s">
        <v>46</v>
      </c>
      <c r="H80" s="31"/>
      <c r="I80" s="31" t="s">
        <v>47</v>
      </c>
      <c r="J80" s="32" t="n">
        <v>10.0</v>
      </c>
      <c r="K80" s="33" t="n">
        <f>1874</f>
        <v>1874.0</v>
      </c>
      <c r="L80" s="34" t="s">
        <v>48</v>
      </c>
      <c r="M80" s="33" t="n">
        <f>1900</f>
        <v>1900.0</v>
      </c>
      <c r="N80" s="34" t="s">
        <v>49</v>
      </c>
      <c r="O80" s="33" t="n">
        <f>1790</f>
        <v>1790.0</v>
      </c>
      <c r="P80" s="34" t="s">
        <v>50</v>
      </c>
      <c r="Q80" s="33" t="n">
        <f>1887</f>
        <v>1887.0</v>
      </c>
      <c r="R80" s="34" t="s">
        <v>51</v>
      </c>
      <c r="S80" s="35" t="n">
        <f>1860.31</f>
        <v>1860.31</v>
      </c>
      <c r="T80" s="32" t="n">
        <f>11590</f>
        <v>11590.0</v>
      </c>
      <c r="U80" s="32" t="str">
        <f>"－"</f>
        <v>－</v>
      </c>
      <c r="V80" s="32" t="n">
        <f>21664090</f>
        <v>2.166409E7</v>
      </c>
      <c r="W80" s="32" t="str">
        <f>"－"</f>
        <v>－</v>
      </c>
      <c r="X80" s="36" t="n">
        <f>16</f>
        <v>16.0</v>
      </c>
    </row>
    <row r="81">
      <c r="A81" s="27" t="s">
        <v>42</v>
      </c>
      <c r="B81" s="27" t="s">
        <v>281</v>
      </c>
      <c r="C81" s="27" t="s">
        <v>282</v>
      </c>
      <c r="D81" s="27" t="s">
        <v>283</v>
      </c>
      <c r="E81" s="28" t="s">
        <v>46</v>
      </c>
      <c r="F81" s="29" t="s">
        <v>46</v>
      </c>
      <c r="G81" s="30" t="s">
        <v>46</v>
      </c>
      <c r="H81" s="31"/>
      <c r="I81" s="31" t="s">
        <v>47</v>
      </c>
      <c r="J81" s="32" t="n">
        <v>1.0</v>
      </c>
      <c r="K81" s="33" t="n">
        <f>30750</f>
        <v>30750.0</v>
      </c>
      <c r="L81" s="34" t="s">
        <v>48</v>
      </c>
      <c r="M81" s="33" t="n">
        <f>31350</f>
        <v>31350.0</v>
      </c>
      <c r="N81" s="34" t="s">
        <v>84</v>
      </c>
      <c r="O81" s="33" t="n">
        <f>30650</f>
        <v>30650.0</v>
      </c>
      <c r="P81" s="34" t="s">
        <v>85</v>
      </c>
      <c r="Q81" s="33" t="n">
        <f>31350</f>
        <v>31350.0</v>
      </c>
      <c r="R81" s="34" t="s">
        <v>84</v>
      </c>
      <c r="S81" s="35" t="n">
        <f>30916.67</f>
        <v>30916.67</v>
      </c>
      <c r="T81" s="32" t="n">
        <f>22</f>
        <v>22.0</v>
      </c>
      <c r="U81" s="32" t="str">
        <f>"－"</f>
        <v>－</v>
      </c>
      <c r="V81" s="32" t="n">
        <f>682100</f>
        <v>682100.0</v>
      </c>
      <c r="W81" s="32" t="str">
        <f>"－"</f>
        <v>－</v>
      </c>
      <c r="X81" s="36" t="n">
        <f>3</f>
        <v>3.0</v>
      </c>
    </row>
    <row r="82">
      <c r="A82" s="27" t="s">
        <v>42</v>
      </c>
      <c r="B82" s="27" t="s">
        <v>284</v>
      </c>
      <c r="C82" s="27" t="s">
        <v>285</v>
      </c>
      <c r="D82" s="27" t="s">
        <v>286</v>
      </c>
      <c r="E82" s="28" t="s">
        <v>46</v>
      </c>
      <c r="F82" s="29" t="s">
        <v>46</v>
      </c>
      <c r="G82" s="30" t="s">
        <v>46</v>
      </c>
      <c r="H82" s="31"/>
      <c r="I82" s="31" t="s">
        <v>47</v>
      </c>
      <c r="J82" s="32" t="n">
        <v>1.0</v>
      </c>
      <c r="K82" s="33" t="n">
        <f>21140</f>
        <v>21140.0</v>
      </c>
      <c r="L82" s="34" t="s">
        <v>48</v>
      </c>
      <c r="M82" s="33" t="n">
        <f>21400</f>
        <v>21400.0</v>
      </c>
      <c r="N82" s="34" t="s">
        <v>287</v>
      </c>
      <c r="O82" s="33" t="n">
        <f>21000</f>
        <v>21000.0</v>
      </c>
      <c r="P82" s="34" t="s">
        <v>85</v>
      </c>
      <c r="Q82" s="33" t="n">
        <f>21270</f>
        <v>21270.0</v>
      </c>
      <c r="R82" s="34" t="s">
        <v>51</v>
      </c>
      <c r="S82" s="35" t="n">
        <f>21111.11</f>
        <v>21111.11</v>
      </c>
      <c r="T82" s="32" t="n">
        <f>14521</f>
        <v>14521.0</v>
      </c>
      <c r="U82" s="32" t="n">
        <f>5012</f>
        <v>5012.0</v>
      </c>
      <c r="V82" s="32" t="n">
        <f>306395690</f>
        <v>3.0639569E8</v>
      </c>
      <c r="W82" s="32" t="n">
        <f>105680740</f>
        <v>1.0568074E8</v>
      </c>
      <c r="X82" s="36" t="n">
        <f>18</f>
        <v>18.0</v>
      </c>
    </row>
    <row r="83">
      <c r="A83" s="27" t="s">
        <v>42</v>
      </c>
      <c r="B83" s="27" t="s">
        <v>288</v>
      </c>
      <c r="C83" s="27" t="s">
        <v>289</v>
      </c>
      <c r="D83" s="27" t="s">
        <v>290</v>
      </c>
      <c r="E83" s="28" t="s">
        <v>46</v>
      </c>
      <c r="F83" s="29" t="s">
        <v>46</v>
      </c>
      <c r="G83" s="30" t="s">
        <v>46</v>
      </c>
      <c r="H83" s="31"/>
      <c r="I83" s="31" t="s">
        <v>47</v>
      </c>
      <c r="J83" s="32" t="n">
        <v>1.0</v>
      </c>
      <c r="K83" s="33" t="n">
        <f>18300</f>
        <v>18300.0</v>
      </c>
      <c r="L83" s="34" t="s">
        <v>48</v>
      </c>
      <c r="M83" s="33" t="n">
        <f>18340</f>
        <v>18340.0</v>
      </c>
      <c r="N83" s="34" t="s">
        <v>101</v>
      </c>
      <c r="O83" s="33" t="n">
        <f>18110</f>
        <v>18110.0</v>
      </c>
      <c r="P83" s="34" t="s">
        <v>50</v>
      </c>
      <c r="Q83" s="33" t="n">
        <f>18270</f>
        <v>18270.0</v>
      </c>
      <c r="R83" s="34" t="s">
        <v>51</v>
      </c>
      <c r="S83" s="35" t="n">
        <f>18249.44</f>
        <v>18249.44</v>
      </c>
      <c r="T83" s="32" t="n">
        <f>250813</f>
        <v>250813.0</v>
      </c>
      <c r="U83" s="32" t="n">
        <f>6008</f>
        <v>6008.0</v>
      </c>
      <c r="V83" s="32" t="n">
        <f>4588034380</f>
        <v>4.58803438E9</v>
      </c>
      <c r="W83" s="32" t="n">
        <f>109499270</f>
        <v>1.0949927E8</v>
      </c>
      <c r="X83" s="36" t="n">
        <f>18</f>
        <v>18.0</v>
      </c>
    </row>
    <row r="84">
      <c r="A84" s="27" t="s">
        <v>42</v>
      </c>
      <c r="B84" s="27" t="s">
        <v>291</v>
      </c>
      <c r="C84" s="27" t="s">
        <v>292</v>
      </c>
      <c r="D84" s="27" t="s">
        <v>293</v>
      </c>
      <c r="E84" s="28" t="s">
        <v>46</v>
      </c>
      <c r="F84" s="29" t="s">
        <v>46</v>
      </c>
      <c r="G84" s="30" t="s">
        <v>46</v>
      </c>
      <c r="H84" s="31"/>
      <c r="I84" s="31" t="s">
        <v>47</v>
      </c>
      <c r="J84" s="32" t="n">
        <v>10.0</v>
      </c>
      <c r="K84" s="33" t="n">
        <f>2152</f>
        <v>2152.0</v>
      </c>
      <c r="L84" s="34" t="s">
        <v>48</v>
      </c>
      <c r="M84" s="33" t="n">
        <f>2158</f>
        <v>2158.0</v>
      </c>
      <c r="N84" s="34" t="s">
        <v>48</v>
      </c>
      <c r="O84" s="33" t="n">
        <f>2071</f>
        <v>2071.0</v>
      </c>
      <c r="P84" s="34" t="s">
        <v>114</v>
      </c>
      <c r="Q84" s="33" t="n">
        <f>2139</f>
        <v>2139.0</v>
      </c>
      <c r="R84" s="34" t="s">
        <v>51</v>
      </c>
      <c r="S84" s="35" t="n">
        <f>2119.56</f>
        <v>2119.56</v>
      </c>
      <c r="T84" s="32" t="n">
        <f>1632630</f>
        <v>1632630.0</v>
      </c>
      <c r="U84" s="32" t="n">
        <f>657070</f>
        <v>657070.0</v>
      </c>
      <c r="V84" s="32" t="n">
        <f>3444788990</f>
        <v>3.44478899E9</v>
      </c>
      <c r="W84" s="32" t="n">
        <f>1384317390</f>
        <v>1.38431739E9</v>
      </c>
      <c r="X84" s="36" t="n">
        <f>18</f>
        <v>18.0</v>
      </c>
    </row>
    <row r="85">
      <c r="A85" s="27" t="s">
        <v>42</v>
      </c>
      <c r="B85" s="27" t="s">
        <v>294</v>
      </c>
      <c r="C85" s="27" t="s">
        <v>295</v>
      </c>
      <c r="D85" s="27" t="s">
        <v>296</v>
      </c>
      <c r="E85" s="28" t="s">
        <v>46</v>
      </c>
      <c r="F85" s="29" t="s">
        <v>46</v>
      </c>
      <c r="G85" s="30" t="s">
        <v>46</v>
      </c>
      <c r="H85" s="31"/>
      <c r="I85" s="31" t="s">
        <v>47</v>
      </c>
      <c r="J85" s="32" t="n">
        <v>1.0</v>
      </c>
      <c r="K85" s="33" t="n">
        <f>35150</f>
        <v>35150.0</v>
      </c>
      <c r="L85" s="34" t="s">
        <v>48</v>
      </c>
      <c r="M85" s="33" t="n">
        <f>36100</f>
        <v>36100.0</v>
      </c>
      <c r="N85" s="34" t="s">
        <v>49</v>
      </c>
      <c r="O85" s="33" t="n">
        <f>34700</f>
        <v>34700.0</v>
      </c>
      <c r="P85" s="34" t="s">
        <v>50</v>
      </c>
      <c r="Q85" s="33" t="n">
        <f>35550</f>
        <v>35550.0</v>
      </c>
      <c r="R85" s="34" t="s">
        <v>51</v>
      </c>
      <c r="S85" s="35" t="n">
        <f>35536.11</f>
        <v>35536.11</v>
      </c>
      <c r="T85" s="32" t="n">
        <f>16062</f>
        <v>16062.0</v>
      </c>
      <c r="U85" s="32" t="n">
        <f>11</f>
        <v>11.0</v>
      </c>
      <c r="V85" s="32" t="n">
        <f>570427250</f>
        <v>5.7042725E8</v>
      </c>
      <c r="W85" s="32" t="n">
        <f>391900</f>
        <v>391900.0</v>
      </c>
      <c r="X85" s="36" t="n">
        <f>18</f>
        <v>18.0</v>
      </c>
    </row>
    <row r="86">
      <c r="A86" s="27" t="s">
        <v>42</v>
      </c>
      <c r="B86" s="27" t="s">
        <v>297</v>
      </c>
      <c r="C86" s="27" t="s">
        <v>298</v>
      </c>
      <c r="D86" s="27" t="s">
        <v>299</v>
      </c>
      <c r="E86" s="28" t="s">
        <v>46</v>
      </c>
      <c r="F86" s="29" t="s">
        <v>46</v>
      </c>
      <c r="G86" s="30" t="s">
        <v>46</v>
      </c>
      <c r="H86" s="31"/>
      <c r="I86" s="31" t="s">
        <v>47</v>
      </c>
      <c r="J86" s="32" t="n">
        <v>10.0</v>
      </c>
      <c r="K86" s="33" t="n">
        <f>7950</f>
        <v>7950.0</v>
      </c>
      <c r="L86" s="34" t="s">
        <v>114</v>
      </c>
      <c r="M86" s="33" t="n">
        <f>7950</f>
        <v>7950.0</v>
      </c>
      <c r="N86" s="34" t="s">
        <v>114</v>
      </c>
      <c r="O86" s="33" t="n">
        <f>7810</f>
        <v>7810.0</v>
      </c>
      <c r="P86" s="34" t="s">
        <v>231</v>
      </c>
      <c r="Q86" s="33" t="n">
        <f>7810</f>
        <v>7810.0</v>
      </c>
      <c r="R86" s="34" t="s">
        <v>231</v>
      </c>
      <c r="S86" s="35" t="n">
        <f>7880</f>
        <v>7880.0</v>
      </c>
      <c r="T86" s="32" t="n">
        <f>28540</f>
        <v>28540.0</v>
      </c>
      <c r="U86" s="32" t="n">
        <f>28500</f>
        <v>28500.0</v>
      </c>
      <c r="V86" s="32" t="n">
        <f>222423100</f>
        <v>2.224231E8</v>
      </c>
      <c r="W86" s="32" t="n">
        <f>222106500</f>
        <v>2.221065E8</v>
      </c>
      <c r="X86" s="36" t="n">
        <f>2</f>
        <v>2.0</v>
      </c>
    </row>
    <row r="87">
      <c r="A87" s="27" t="s">
        <v>42</v>
      </c>
      <c r="B87" s="27" t="s">
        <v>300</v>
      </c>
      <c r="C87" s="27" t="s">
        <v>301</v>
      </c>
      <c r="D87" s="27" t="s">
        <v>302</v>
      </c>
      <c r="E87" s="28" t="s">
        <v>46</v>
      </c>
      <c r="F87" s="29" t="s">
        <v>46</v>
      </c>
      <c r="G87" s="30" t="s">
        <v>46</v>
      </c>
      <c r="H87" s="31"/>
      <c r="I87" s="31" t="s">
        <v>47</v>
      </c>
      <c r="J87" s="32" t="n">
        <v>1.0</v>
      </c>
      <c r="K87" s="33" t="n">
        <f>15860</f>
        <v>15860.0</v>
      </c>
      <c r="L87" s="34" t="s">
        <v>48</v>
      </c>
      <c r="M87" s="33" t="n">
        <f>16380</f>
        <v>16380.0</v>
      </c>
      <c r="N87" s="34" t="s">
        <v>61</v>
      </c>
      <c r="O87" s="33" t="n">
        <f>15620</f>
        <v>15620.0</v>
      </c>
      <c r="P87" s="34" t="s">
        <v>50</v>
      </c>
      <c r="Q87" s="33" t="n">
        <f>16010</f>
        <v>16010.0</v>
      </c>
      <c r="R87" s="34" t="s">
        <v>51</v>
      </c>
      <c r="S87" s="35" t="n">
        <f>16006.11</f>
        <v>16006.11</v>
      </c>
      <c r="T87" s="32" t="n">
        <f>1355</f>
        <v>1355.0</v>
      </c>
      <c r="U87" s="32" t="n">
        <f>10</f>
        <v>10.0</v>
      </c>
      <c r="V87" s="32" t="n">
        <f>21612210</f>
        <v>2.161221E7</v>
      </c>
      <c r="W87" s="32" t="n">
        <f>159660</f>
        <v>159660.0</v>
      </c>
      <c r="X87" s="36" t="n">
        <f>18</f>
        <v>18.0</v>
      </c>
    </row>
    <row r="88">
      <c r="A88" s="27" t="s">
        <v>42</v>
      </c>
      <c r="B88" s="27" t="s">
        <v>303</v>
      </c>
      <c r="C88" s="27" t="s">
        <v>304</v>
      </c>
      <c r="D88" s="27" t="s">
        <v>305</v>
      </c>
      <c r="E88" s="28" t="s">
        <v>46</v>
      </c>
      <c r="F88" s="29" t="s">
        <v>46</v>
      </c>
      <c r="G88" s="30" t="s">
        <v>46</v>
      </c>
      <c r="H88" s="31"/>
      <c r="I88" s="31" t="s">
        <v>47</v>
      </c>
      <c r="J88" s="32" t="n">
        <v>1.0</v>
      </c>
      <c r="K88" s="33" t="n">
        <f>16050</f>
        <v>16050.0</v>
      </c>
      <c r="L88" s="34" t="s">
        <v>48</v>
      </c>
      <c r="M88" s="33" t="n">
        <f>16440</f>
        <v>16440.0</v>
      </c>
      <c r="N88" s="34" t="s">
        <v>49</v>
      </c>
      <c r="O88" s="33" t="n">
        <f>15600</f>
        <v>15600.0</v>
      </c>
      <c r="P88" s="34" t="s">
        <v>50</v>
      </c>
      <c r="Q88" s="33" t="n">
        <f>16240</f>
        <v>16240.0</v>
      </c>
      <c r="R88" s="34" t="s">
        <v>51</v>
      </c>
      <c r="S88" s="35" t="n">
        <f>16100</f>
        <v>16100.0</v>
      </c>
      <c r="T88" s="32" t="n">
        <f>4160</f>
        <v>4160.0</v>
      </c>
      <c r="U88" s="32" t="str">
        <f>"－"</f>
        <v>－</v>
      </c>
      <c r="V88" s="32" t="n">
        <f>66277620</f>
        <v>6.627762E7</v>
      </c>
      <c r="W88" s="32" t="str">
        <f>"－"</f>
        <v>－</v>
      </c>
      <c r="X88" s="36" t="n">
        <f>17</f>
        <v>17.0</v>
      </c>
    </row>
    <row r="89">
      <c r="A89" s="27" t="s">
        <v>42</v>
      </c>
      <c r="B89" s="27" t="s">
        <v>306</v>
      </c>
      <c r="C89" s="27" t="s">
        <v>307</v>
      </c>
      <c r="D89" s="27" t="s">
        <v>308</v>
      </c>
      <c r="E89" s="28" t="s">
        <v>46</v>
      </c>
      <c r="F89" s="29" t="s">
        <v>46</v>
      </c>
      <c r="G89" s="30" t="s">
        <v>46</v>
      </c>
      <c r="H89" s="31"/>
      <c r="I89" s="31" t="s">
        <v>47</v>
      </c>
      <c r="J89" s="32" t="n">
        <v>1.0</v>
      </c>
      <c r="K89" s="33" t="n">
        <f>19370</f>
        <v>19370.0</v>
      </c>
      <c r="L89" s="34" t="s">
        <v>48</v>
      </c>
      <c r="M89" s="33" t="n">
        <f>19900</f>
        <v>19900.0</v>
      </c>
      <c r="N89" s="34" t="s">
        <v>309</v>
      </c>
      <c r="O89" s="33" t="n">
        <f>19020</f>
        <v>19020.0</v>
      </c>
      <c r="P89" s="34" t="s">
        <v>50</v>
      </c>
      <c r="Q89" s="33" t="n">
        <f>19250</f>
        <v>19250.0</v>
      </c>
      <c r="R89" s="34" t="s">
        <v>51</v>
      </c>
      <c r="S89" s="35" t="n">
        <f>19476.67</f>
        <v>19476.67</v>
      </c>
      <c r="T89" s="32" t="n">
        <f>4792</f>
        <v>4792.0</v>
      </c>
      <c r="U89" s="32" t="str">
        <f>"－"</f>
        <v>－</v>
      </c>
      <c r="V89" s="32" t="n">
        <f>92858330</f>
        <v>9.285833E7</v>
      </c>
      <c r="W89" s="32" t="str">
        <f>"－"</f>
        <v>－</v>
      </c>
      <c r="X89" s="36" t="n">
        <f>18</f>
        <v>18.0</v>
      </c>
    </row>
    <row r="90">
      <c r="A90" s="27" t="s">
        <v>42</v>
      </c>
      <c r="B90" s="27" t="s">
        <v>310</v>
      </c>
      <c r="C90" s="27" t="s">
        <v>311</v>
      </c>
      <c r="D90" s="27" t="s">
        <v>312</v>
      </c>
      <c r="E90" s="28" t="s">
        <v>46</v>
      </c>
      <c r="F90" s="29" t="s">
        <v>46</v>
      </c>
      <c r="G90" s="30" t="s">
        <v>46</v>
      </c>
      <c r="H90" s="31"/>
      <c r="I90" s="31" t="s">
        <v>47</v>
      </c>
      <c r="J90" s="32" t="n">
        <v>10.0</v>
      </c>
      <c r="K90" s="33" t="n">
        <f>10550</f>
        <v>10550.0</v>
      </c>
      <c r="L90" s="34" t="s">
        <v>48</v>
      </c>
      <c r="M90" s="33" t="n">
        <f>10550</f>
        <v>10550.0</v>
      </c>
      <c r="N90" s="34" t="s">
        <v>48</v>
      </c>
      <c r="O90" s="33" t="n">
        <f>10250</f>
        <v>10250.0</v>
      </c>
      <c r="P90" s="34" t="s">
        <v>50</v>
      </c>
      <c r="Q90" s="33" t="n">
        <f>10450</f>
        <v>10450.0</v>
      </c>
      <c r="R90" s="34" t="s">
        <v>51</v>
      </c>
      <c r="S90" s="35" t="n">
        <f>10359.44</f>
        <v>10359.44</v>
      </c>
      <c r="T90" s="32" t="n">
        <f>7090</f>
        <v>7090.0</v>
      </c>
      <c r="U90" s="32" t="n">
        <f>30</f>
        <v>30.0</v>
      </c>
      <c r="V90" s="32" t="n">
        <f>73624800</f>
        <v>7.36248E7</v>
      </c>
      <c r="W90" s="32" t="n">
        <f>311900</f>
        <v>311900.0</v>
      </c>
      <c r="X90" s="36" t="n">
        <f>18</f>
        <v>18.0</v>
      </c>
    </row>
    <row r="91">
      <c r="A91" s="27" t="s">
        <v>42</v>
      </c>
      <c r="B91" s="27" t="s">
        <v>313</v>
      </c>
      <c r="C91" s="27" t="s">
        <v>314</v>
      </c>
      <c r="D91" s="27" t="s">
        <v>315</v>
      </c>
      <c r="E91" s="28" t="s">
        <v>46</v>
      </c>
      <c r="F91" s="29" t="s">
        <v>46</v>
      </c>
      <c r="G91" s="30" t="s">
        <v>46</v>
      </c>
      <c r="H91" s="31"/>
      <c r="I91" s="31" t="s">
        <v>47</v>
      </c>
      <c r="J91" s="32" t="n">
        <v>1.0</v>
      </c>
      <c r="K91" s="33" t="n">
        <f>2553</f>
        <v>2553.0</v>
      </c>
      <c r="L91" s="34" t="s">
        <v>48</v>
      </c>
      <c r="M91" s="33" t="n">
        <f>2561</f>
        <v>2561.0</v>
      </c>
      <c r="N91" s="34" t="s">
        <v>287</v>
      </c>
      <c r="O91" s="33" t="n">
        <f>2515</f>
        <v>2515.0</v>
      </c>
      <c r="P91" s="34" t="s">
        <v>50</v>
      </c>
      <c r="Q91" s="33" t="n">
        <f>2554</f>
        <v>2554.0</v>
      </c>
      <c r="R91" s="34" t="s">
        <v>51</v>
      </c>
      <c r="S91" s="35" t="n">
        <f>2543.39</f>
        <v>2543.39</v>
      </c>
      <c r="T91" s="32" t="n">
        <f>168157</f>
        <v>168157.0</v>
      </c>
      <c r="U91" s="32" t="n">
        <f>120014</f>
        <v>120014.0</v>
      </c>
      <c r="V91" s="32" t="n">
        <f>428928053</f>
        <v>4.28928053E8</v>
      </c>
      <c r="W91" s="32" t="n">
        <f>306515635</f>
        <v>3.06515635E8</v>
      </c>
      <c r="X91" s="36" t="n">
        <f>18</f>
        <v>18.0</v>
      </c>
    </row>
    <row r="92">
      <c r="A92" s="27" t="s">
        <v>42</v>
      </c>
      <c r="B92" s="27" t="s">
        <v>316</v>
      </c>
      <c r="C92" s="27" t="s">
        <v>317</v>
      </c>
      <c r="D92" s="27" t="s">
        <v>318</v>
      </c>
      <c r="E92" s="28" t="s">
        <v>46</v>
      </c>
      <c r="F92" s="29" t="s">
        <v>46</v>
      </c>
      <c r="G92" s="30" t="s">
        <v>46</v>
      </c>
      <c r="H92" s="31"/>
      <c r="I92" s="31" t="s">
        <v>47</v>
      </c>
      <c r="J92" s="32" t="n">
        <v>1.0</v>
      </c>
      <c r="K92" s="33" t="n">
        <f>2356</f>
        <v>2356.0</v>
      </c>
      <c r="L92" s="34" t="s">
        <v>48</v>
      </c>
      <c r="M92" s="33" t="n">
        <f>2363</f>
        <v>2363.0</v>
      </c>
      <c r="N92" s="34" t="s">
        <v>49</v>
      </c>
      <c r="O92" s="33" t="n">
        <f>2341</f>
        <v>2341.0</v>
      </c>
      <c r="P92" s="34" t="s">
        <v>319</v>
      </c>
      <c r="Q92" s="33" t="n">
        <f>2360</f>
        <v>2360.0</v>
      </c>
      <c r="R92" s="34" t="s">
        <v>51</v>
      </c>
      <c r="S92" s="35" t="n">
        <f>2355.89</f>
        <v>2355.89</v>
      </c>
      <c r="T92" s="32" t="n">
        <f>63949</f>
        <v>63949.0</v>
      </c>
      <c r="U92" s="32" t="n">
        <f>15</f>
        <v>15.0</v>
      </c>
      <c r="V92" s="32" t="n">
        <f>150557723</f>
        <v>1.50557723E8</v>
      </c>
      <c r="W92" s="32" t="n">
        <f>35168</f>
        <v>35168.0</v>
      </c>
      <c r="X92" s="36" t="n">
        <f>18</f>
        <v>18.0</v>
      </c>
    </row>
    <row r="93">
      <c r="A93" s="27" t="s">
        <v>42</v>
      </c>
      <c r="B93" s="27" t="s">
        <v>320</v>
      </c>
      <c r="C93" s="27" t="s">
        <v>321</v>
      </c>
      <c r="D93" s="27" t="s">
        <v>322</v>
      </c>
      <c r="E93" s="28" t="s">
        <v>46</v>
      </c>
      <c r="F93" s="29" t="s">
        <v>46</v>
      </c>
      <c r="G93" s="30" t="s">
        <v>46</v>
      </c>
      <c r="H93" s="31"/>
      <c r="I93" s="31" t="s">
        <v>47</v>
      </c>
      <c r="J93" s="32" t="n">
        <v>1.0</v>
      </c>
      <c r="K93" s="33" t="n">
        <f>14640</f>
        <v>14640.0</v>
      </c>
      <c r="L93" s="34" t="s">
        <v>48</v>
      </c>
      <c r="M93" s="33" t="n">
        <f>15060</f>
        <v>15060.0</v>
      </c>
      <c r="N93" s="34" t="s">
        <v>51</v>
      </c>
      <c r="O93" s="33" t="n">
        <f>14160</f>
        <v>14160.0</v>
      </c>
      <c r="P93" s="34" t="s">
        <v>50</v>
      </c>
      <c r="Q93" s="33" t="n">
        <f>14860</f>
        <v>14860.0</v>
      </c>
      <c r="R93" s="34" t="s">
        <v>51</v>
      </c>
      <c r="S93" s="35" t="n">
        <f>14630.56</f>
        <v>14630.56</v>
      </c>
      <c r="T93" s="32" t="n">
        <f>20099</f>
        <v>20099.0</v>
      </c>
      <c r="U93" s="32" t="n">
        <f>4159</f>
        <v>4159.0</v>
      </c>
      <c r="V93" s="32" t="n">
        <f>294877429</f>
        <v>2.94877429E8</v>
      </c>
      <c r="W93" s="32" t="n">
        <f>60008139</f>
        <v>6.0008139E7</v>
      </c>
      <c r="X93" s="36" t="n">
        <f>18</f>
        <v>18.0</v>
      </c>
    </row>
    <row r="94">
      <c r="A94" s="27" t="s">
        <v>42</v>
      </c>
      <c r="B94" s="27" t="s">
        <v>323</v>
      </c>
      <c r="C94" s="27" t="s">
        <v>324</v>
      </c>
      <c r="D94" s="27" t="s">
        <v>325</v>
      </c>
      <c r="E94" s="28" t="s">
        <v>46</v>
      </c>
      <c r="F94" s="29" t="s">
        <v>46</v>
      </c>
      <c r="G94" s="30" t="s">
        <v>46</v>
      </c>
      <c r="H94" s="31"/>
      <c r="I94" s="31" t="s">
        <v>47</v>
      </c>
      <c r="J94" s="32" t="n">
        <v>1.0</v>
      </c>
      <c r="K94" s="33" t="n">
        <f>8370</f>
        <v>8370.0</v>
      </c>
      <c r="L94" s="34" t="s">
        <v>48</v>
      </c>
      <c r="M94" s="33" t="n">
        <f>8600</f>
        <v>8600.0</v>
      </c>
      <c r="N94" s="34" t="s">
        <v>51</v>
      </c>
      <c r="O94" s="33" t="n">
        <f>8210</f>
        <v>8210.0</v>
      </c>
      <c r="P94" s="34" t="s">
        <v>50</v>
      </c>
      <c r="Q94" s="33" t="n">
        <f>8600</f>
        <v>8600.0</v>
      </c>
      <c r="R94" s="34" t="s">
        <v>51</v>
      </c>
      <c r="S94" s="35" t="n">
        <f>8419.44</f>
        <v>8419.44</v>
      </c>
      <c r="T94" s="32" t="n">
        <f>1745</f>
        <v>1745.0</v>
      </c>
      <c r="U94" s="32" t="n">
        <f>6</f>
        <v>6.0</v>
      </c>
      <c r="V94" s="32" t="n">
        <f>14718290</f>
        <v>1.471829E7</v>
      </c>
      <c r="W94" s="32" t="n">
        <f>49940</f>
        <v>49940.0</v>
      </c>
      <c r="X94" s="36" t="n">
        <f>18</f>
        <v>18.0</v>
      </c>
    </row>
    <row r="95">
      <c r="A95" s="27" t="s">
        <v>42</v>
      </c>
      <c r="B95" s="27" t="s">
        <v>326</v>
      </c>
      <c r="C95" s="27" t="s">
        <v>327</v>
      </c>
      <c r="D95" s="27" t="s">
        <v>328</v>
      </c>
      <c r="E95" s="28" t="s">
        <v>46</v>
      </c>
      <c r="F95" s="29" t="s">
        <v>46</v>
      </c>
      <c r="G95" s="30" t="s">
        <v>46</v>
      </c>
      <c r="H95" s="31"/>
      <c r="I95" s="31" t="s">
        <v>47</v>
      </c>
      <c r="J95" s="32" t="n">
        <v>1.0</v>
      </c>
      <c r="K95" s="33" t="n">
        <f>5970</f>
        <v>5970.0</v>
      </c>
      <c r="L95" s="34" t="s">
        <v>48</v>
      </c>
      <c r="M95" s="33" t="n">
        <f>6420</f>
        <v>6420.0</v>
      </c>
      <c r="N95" s="34" t="s">
        <v>51</v>
      </c>
      <c r="O95" s="33" t="n">
        <f>5970</f>
        <v>5970.0</v>
      </c>
      <c r="P95" s="34" t="s">
        <v>48</v>
      </c>
      <c r="Q95" s="33" t="n">
        <f>6410</f>
        <v>6410.0</v>
      </c>
      <c r="R95" s="34" t="s">
        <v>51</v>
      </c>
      <c r="S95" s="35" t="n">
        <f>6215</f>
        <v>6215.0</v>
      </c>
      <c r="T95" s="32" t="n">
        <f>3171508</f>
        <v>3171508.0</v>
      </c>
      <c r="U95" s="32" t="n">
        <f>127022</f>
        <v>127022.0</v>
      </c>
      <c r="V95" s="32" t="n">
        <f>19679597869</f>
        <v>1.9679597869E10</v>
      </c>
      <c r="W95" s="32" t="n">
        <f>785700879</f>
        <v>7.85700879E8</v>
      </c>
      <c r="X95" s="36" t="n">
        <f>18</f>
        <v>18.0</v>
      </c>
    </row>
    <row r="96">
      <c r="A96" s="27" t="s">
        <v>42</v>
      </c>
      <c r="B96" s="27" t="s">
        <v>329</v>
      </c>
      <c r="C96" s="27" t="s">
        <v>330</v>
      </c>
      <c r="D96" s="27" t="s">
        <v>331</v>
      </c>
      <c r="E96" s="28" t="s">
        <v>46</v>
      </c>
      <c r="F96" s="29" t="s">
        <v>46</v>
      </c>
      <c r="G96" s="30" t="s">
        <v>46</v>
      </c>
      <c r="H96" s="31"/>
      <c r="I96" s="31" t="s">
        <v>47</v>
      </c>
      <c r="J96" s="32" t="n">
        <v>1.0</v>
      </c>
      <c r="K96" s="33" t="n">
        <f>4005</f>
        <v>4005.0</v>
      </c>
      <c r="L96" s="34" t="s">
        <v>48</v>
      </c>
      <c r="M96" s="33" t="n">
        <f>4140</f>
        <v>4140.0</v>
      </c>
      <c r="N96" s="34" t="s">
        <v>49</v>
      </c>
      <c r="O96" s="33" t="n">
        <f>3840</f>
        <v>3840.0</v>
      </c>
      <c r="P96" s="34" t="s">
        <v>173</v>
      </c>
      <c r="Q96" s="33" t="n">
        <f>3925</f>
        <v>3925.0</v>
      </c>
      <c r="R96" s="34" t="s">
        <v>51</v>
      </c>
      <c r="S96" s="35" t="n">
        <f>3991.94</f>
        <v>3991.94</v>
      </c>
      <c r="T96" s="32" t="n">
        <f>824297</f>
        <v>824297.0</v>
      </c>
      <c r="U96" s="32" t="n">
        <f>240</f>
        <v>240.0</v>
      </c>
      <c r="V96" s="32" t="n">
        <f>3287194460</f>
        <v>3.28719446E9</v>
      </c>
      <c r="W96" s="32" t="n">
        <f>966815</f>
        <v>966815.0</v>
      </c>
      <c r="X96" s="36" t="n">
        <f>18</f>
        <v>18.0</v>
      </c>
    </row>
    <row r="97">
      <c r="A97" s="27" t="s">
        <v>42</v>
      </c>
      <c r="B97" s="27" t="s">
        <v>332</v>
      </c>
      <c r="C97" s="27" t="s">
        <v>333</v>
      </c>
      <c r="D97" s="27" t="s">
        <v>334</v>
      </c>
      <c r="E97" s="28" t="s">
        <v>46</v>
      </c>
      <c r="F97" s="29" t="s">
        <v>46</v>
      </c>
      <c r="G97" s="30" t="s">
        <v>46</v>
      </c>
      <c r="H97" s="31"/>
      <c r="I97" s="31" t="s">
        <v>47</v>
      </c>
      <c r="J97" s="32" t="n">
        <v>1.0</v>
      </c>
      <c r="K97" s="33" t="n">
        <f>8710</f>
        <v>8710.0</v>
      </c>
      <c r="L97" s="34" t="s">
        <v>48</v>
      </c>
      <c r="M97" s="33" t="n">
        <f>9430</f>
        <v>9430.0</v>
      </c>
      <c r="N97" s="34" t="s">
        <v>335</v>
      </c>
      <c r="O97" s="33" t="n">
        <f>8630</f>
        <v>8630.0</v>
      </c>
      <c r="P97" s="34" t="s">
        <v>48</v>
      </c>
      <c r="Q97" s="33" t="n">
        <f>9170</f>
        <v>9170.0</v>
      </c>
      <c r="R97" s="34" t="s">
        <v>51</v>
      </c>
      <c r="S97" s="35" t="n">
        <f>9051.11</f>
        <v>9051.11</v>
      </c>
      <c r="T97" s="32" t="n">
        <f>438870</f>
        <v>438870.0</v>
      </c>
      <c r="U97" s="32" t="n">
        <f>37</f>
        <v>37.0</v>
      </c>
      <c r="V97" s="32" t="n">
        <f>3962670820</f>
        <v>3.96267082E9</v>
      </c>
      <c r="W97" s="32" t="n">
        <f>340870</f>
        <v>340870.0</v>
      </c>
      <c r="X97" s="36" t="n">
        <f>18</f>
        <v>18.0</v>
      </c>
    </row>
    <row r="98">
      <c r="A98" s="27" t="s">
        <v>42</v>
      </c>
      <c r="B98" s="27" t="s">
        <v>336</v>
      </c>
      <c r="C98" s="27" t="s">
        <v>337</v>
      </c>
      <c r="D98" s="27" t="s">
        <v>338</v>
      </c>
      <c r="E98" s="28" t="s">
        <v>46</v>
      </c>
      <c r="F98" s="29" t="s">
        <v>46</v>
      </c>
      <c r="G98" s="30" t="s">
        <v>46</v>
      </c>
      <c r="H98" s="31"/>
      <c r="I98" s="31" t="s">
        <v>47</v>
      </c>
      <c r="J98" s="32" t="n">
        <v>1.0</v>
      </c>
      <c r="K98" s="33" t="n">
        <f>98400</f>
        <v>98400.0</v>
      </c>
      <c r="L98" s="34" t="s">
        <v>48</v>
      </c>
      <c r="M98" s="33" t="n">
        <f>98400</f>
        <v>98400.0</v>
      </c>
      <c r="N98" s="34" t="s">
        <v>48</v>
      </c>
      <c r="O98" s="33" t="n">
        <f>88100</f>
        <v>88100.0</v>
      </c>
      <c r="P98" s="34" t="s">
        <v>173</v>
      </c>
      <c r="Q98" s="33" t="n">
        <f>92300</f>
        <v>92300.0</v>
      </c>
      <c r="R98" s="34" t="s">
        <v>51</v>
      </c>
      <c r="S98" s="35" t="n">
        <f>92688.89</f>
        <v>92688.89</v>
      </c>
      <c r="T98" s="32" t="n">
        <f>4170</f>
        <v>4170.0</v>
      </c>
      <c r="U98" s="32" t="n">
        <f>4</f>
        <v>4.0</v>
      </c>
      <c r="V98" s="32" t="n">
        <f>388386000</f>
        <v>3.88386E8</v>
      </c>
      <c r="W98" s="32" t="n">
        <f>377700</f>
        <v>377700.0</v>
      </c>
      <c r="X98" s="36" t="n">
        <f>18</f>
        <v>18.0</v>
      </c>
    </row>
    <row r="99">
      <c r="A99" s="27" t="s">
        <v>42</v>
      </c>
      <c r="B99" s="27" t="s">
        <v>339</v>
      </c>
      <c r="C99" s="27" t="s">
        <v>340</v>
      </c>
      <c r="D99" s="27" t="s">
        <v>341</v>
      </c>
      <c r="E99" s="28" t="s">
        <v>46</v>
      </c>
      <c r="F99" s="29" t="s">
        <v>46</v>
      </c>
      <c r="G99" s="30" t="s">
        <v>46</v>
      </c>
      <c r="H99" s="31"/>
      <c r="I99" s="31" t="s">
        <v>47</v>
      </c>
      <c r="J99" s="32" t="n">
        <v>1.0</v>
      </c>
      <c r="K99" s="33" t="n">
        <f>14960</f>
        <v>14960.0</v>
      </c>
      <c r="L99" s="34" t="s">
        <v>48</v>
      </c>
      <c r="M99" s="33" t="n">
        <f>15280</f>
        <v>15280.0</v>
      </c>
      <c r="N99" s="34" t="s">
        <v>84</v>
      </c>
      <c r="O99" s="33" t="n">
        <f>14450</f>
        <v>14450.0</v>
      </c>
      <c r="P99" s="34" t="s">
        <v>50</v>
      </c>
      <c r="Q99" s="33" t="n">
        <f>15240</f>
        <v>15240.0</v>
      </c>
      <c r="R99" s="34" t="s">
        <v>51</v>
      </c>
      <c r="S99" s="35" t="n">
        <f>14883.89</f>
        <v>14883.89</v>
      </c>
      <c r="T99" s="32" t="n">
        <f>1890611</f>
        <v>1890611.0</v>
      </c>
      <c r="U99" s="32" t="n">
        <f>46197</f>
        <v>46197.0</v>
      </c>
      <c r="V99" s="32" t="n">
        <f>27968345284</f>
        <v>2.7968345284E10</v>
      </c>
      <c r="W99" s="32" t="n">
        <f>693726324</f>
        <v>6.93726324E8</v>
      </c>
      <c r="X99" s="36" t="n">
        <f>18</f>
        <v>18.0</v>
      </c>
    </row>
    <row r="100">
      <c r="A100" s="27" t="s">
        <v>42</v>
      </c>
      <c r="B100" s="27" t="s">
        <v>342</v>
      </c>
      <c r="C100" s="27" t="s">
        <v>343</v>
      </c>
      <c r="D100" s="27" t="s">
        <v>344</v>
      </c>
      <c r="E100" s="28" t="s">
        <v>46</v>
      </c>
      <c r="F100" s="29" t="s">
        <v>46</v>
      </c>
      <c r="G100" s="30" t="s">
        <v>46</v>
      </c>
      <c r="H100" s="31"/>
      <c r="I100" s="31" t="s">
        <v>47</v>
      </c>
      <c r="J100" s="32" t="n">
        <v>1.0</v>
      </c>
      <c r="K100" s="33" t="n">
        <f>36550</f>
        <v>36550.0</v>
      </c>
      <c r="L100" s="34" t="s">
        <v>48</v>
      </c>
      <c r="M100" s="33" t="n">
        <f>37350</f>
        <v>37350.0</v>
      </c>
      <c r="N100" s="34" t="s">
        <v>84</v>
      </c>
      <c r="O100" s="33" t="n">
        <f>36050</f>
        <v>36050.0</v>
      </c>
      <c r="P100" s="34" t="s">
        <v>50</v>
      </c>
      <c r="Q100" s="33" t="n">
        <f>37200</f>
        <v>37200.0</v>
      </c>
      <c r="R100" s="34" t="s">
        <v>51</v>
      </c>
      <c r="S100" s="35" t="n">
        <f>36686.11</f>
        <v>36686.11</v>
      </c>
      <c r="T100" s="32" t="n">
        <f>180227</f>
        <v>180227.0</v>
      </c>
      <c r="U100" s="32" t="n">
        <f>13007</f>
        <v>13007.0</v>
      </c>
      <c r="V100" s="32" t="n">
        <f>6617085800</f>
        <v>6.6170858E9</v>
      </c>
      <c r="W100" s="32" t="n">
        <f>483116750</f>
        <v>4.8311675E8</v>
      </c>
      <c r="X100" s="36" t="n">
        <f>18</f>
        <v>18.0</v>
      </c>
    </row>
    <row r="101">
      <c r="A101" s="27" t="s">
        <v>42</v>
      </c>
      <c r="B101" s="27" t="s">
        <v>345</v>
      </c>
      <c r="C101" s="27" t="s">
        <v>346</v>
      </c>
      <c r="D101" s="27" t="s">
        <v>347</v>
      </c>
      <c r="E101" s="28" t="s">
        <v>46</v>
      </c>
      <c r="F101" s="29" t="s">
        <v>46</v>
      </c>
      <c r="G101" s="30" t="s">
        <v>46</v>
      </c>
      <c r="H101" s="31"/>
      <c r="I101" s="31" t="s">
        <v>47</v>
      </c>
      <c r="J101" s="32" t="n">
        <v>10.0</v>
      </c>
      <c r="K101" s="33" t="n">
        <f>4940</f>
        <v>4940.0</v>
      </c>
      <c r="L101" s="34" t="s">
        <v>48</v>
      </c>
      <c r="M101" s="33" t="n">
        <f>5040</f>
        <v>5040.0</v>
      </c>
      <c r="N101" s="34" t="s">
        <v>84</v>
      </c>
      <c r="O101" s="33" t="n">
        <f>4835</f>
        <v>4835.0</v>
      </c>
      <c r="P101" s="34" t="s">
        <v>50</v>
      </c>
      <c r="Q101" s="33" t="n">
        <f>5010</f>
        <v>5010.0</v>
      </c>
      <c r="R101" s="34" t="s">
        <v>51</v>
      </c>
      <c r="S101" s="35" t="n">
        <f>4938.61</f>
        <v>4938.61</v>
      </c>
      <c r="T101" s="32" t="n">
        <f>1120500</f>
        <v>1120500.0</v>
      </c>
      <c r="U101" s="32" t="n">
        <f>62780</f>
        <v>62780.0</v>
      </c>
      <c r="V101" s="32" t="n">
        <f>5529828156</f>
        <v>5.529828156E9</v>
      </c>
      <c r="W101" s="32" t="n">
        <f>311950906</f>
        <v>3.11950906E8</v>
      </c>
      <c r="X101" s="36" t="n">
        <f>18</f>
        <v>18.0</v>
      </c>
    </row>
    <row r="102">
      <c r="A102" s="27" t="s">
        <v>42</v>
      </c>
      <c r="B102" s="27" t="s">
        <v>348</v>
      </c>
      <c r="C102" s="27" t="s">
        <v>349</v>
      </c>
      <c r="D102" s="27" t="s">
        <v>350</v>
      </c>
      <c r="E102" s="28" t="s">
        <v>46</v>
      </c>
      <c r="F102" s="29" t="s">
        <v>46</v>
      </c>
      <c r="G102" s="30" t="s">
        <v>46</v>
      </c>
      <c r="H102" s="31"/>
      <c r="I102" s="31" t="s">
        <v>47</v>
      </c>
      <c r="J102" s="32" t="n">
        <v>10.0</v>
      </c>
      <c r="K102" s="33" t="n">
        <f>3300</f>
        <v>3300.0</v>
      </c>
      <c r="L102" s="34" t="s">
        <v>48</v>
      </c>
      <c r="M102" s="33" t="n">
        <f>3380</f>
        <v>3380.0</v>
      </c>
      <c r="N102" s="34" t="s">
        <v>51</v>
      </c>
      <c r="O102" s="33" t="n">
        <f>3235</f>
        <v>3235.0</v>
      </c>
      <c r="P102" s="34" t="s">
        <v>50</v>
      </c>
      <c r="Q102" s="33" t="n">
        <f>3360</f>
        <v>3360.0</v>
      </c>
      <c r="R102" s="34" t="s">
        <v>51</v>
      </c>
      <c r="S102" s="35" t="n">
        <f>3311.67</f>
        <v>3311.67</v>
      </c>
      <c r="T102" s="32" t="n">
        <f>86120</f>
        <v>86120.0</v>
      </c>
      <c r="U102" s="32" t="n">
        <f>50</f>
        <v>50.0</v>
      </c>
      <c r="V102" s="32" t="n">
        <f>284931500</f>
        <v>2.849315E8</v>
      </c>
      <c r="W102" s="32" t="n">
        <f>166050</f>
        <v>166050.0</v>
      </c>
      <c r="X102" s="36" t="n">
        <f>18</f>
        <v>18.0</v>
      </c>
    </row>
    <row r="103">
      <c r="A103" s="27" t="s">
        <v>42</v>
      </c>
      <c r="B103" s="27" t="s">
        <v>351</v>
      </c>
      <c r="C103" s="27" t="s">
        <v>352</v>
      </c>
      <c r="D103" s="27" t="s">
        <v>353</v>
      </c>
      <c r="E103" s="28" t="s">
        <v>46</v>
      </c>
      <c r="F103" s="29" t="s">
        <v>46</v>
      </c>
      <c r="G103" s="30" t="s">
        <v>46</v>
      </c>
      <c r="H103" s="31"/>
      <c r="I103" s="31" t="s">
        <v>47</v>
      </c>
      <c r="J103" s="32" t="n">
        <v>10.0</v>
      </c>
      <c r="K103" s="33" t="n">
        <f>5410</f>
        <v>5410.0</v>
      </c>
      <c r="L103" s="34" t="s">
        <v>48</v>
      </c>
      <c r="M103" s="33" t="n">
        <f>5410</f>
        <v>5410.0</v>
      </c>
      <c r="N103" s="34" t="s">
        <v>48</v>
      </c>
      <c r="O103" s="33" t="n">
        <f>4895</f>
        <v>4895.0</v>
      </c>
      <c r="P103" s="34" t="s">
        <v>335</v>
      </c>
      <c r="Q103" s="33" t="n">
        <f>5120</f>
        <v>5120.0</v>
      </c>
      <c r="R103" s="34" t="s">
        <v>51</v>
      </c>
      <c r="S103" s="35" t="n">
        <f>5126.11</f>
        <v>5126.11</v>
      </c>
      <c r="T103" s="32" t="n">
        <f>14880</f>
        <v>14880.0</v>
      </c>
      <c r="U103" s="32" t="str">
        <f>"－"</f>
        <v>－</v>
      </c>
      <c r="V103" s="32" t="n">
        <f>75872400</f>
        <v>7.58724E7</v>
      </c>
      <c r="W103" s="32" t="str">
        <f>"－"</f>
        <v>－</v>
      </c>
      <c r="X103" s="36" t="n">
        <f>18</f>
        <v>18.0</v>
      </c>
    </row>
    <row r="104">
      <c r="A104" s="27" t="s">
        <v>42</v>
      </c>
      <c r="B104" s="27" t="s">
        <v>354</v>
      </c>
      <c r="C104" s="27" t="s">
        <v>355</v>
      </c>
      <c r="D104" s="27" t="s">
        <v>356</v>
      </c>
      <c r="E104" s="28" t="s">
        <v>46</v>
      </c>
      <c r="F104" s="29" t="s">
        <v>46</v>
      </c>
      <c r="G104" s="30" t="s">
        <v>46</v>
      </c>
      <c r="H104" s="31"/>
      <c r="I104" s="31" t="s">
        <v>47</v>
      </c>
      <c r="J104" s="32" t="n">
        <v>1.0</v>
      </c>
      <c r="K104" s="33" t="n">
        <f>3445</f>
        <v>3445.0</v>
      </c>
      <c r="L104" s="34" t="s">
        <v>48</v>
      </c>
      <c r="M104" s="33" t="n">
        <f>4155</f>
        <v>4155.0</v>
      </c>
      <c r="N104" s="34" t="s">
        <v>50</v>
      </c>
      <c r="O104" s="33" t="n">
        <f>2994</f>
        <v>2994.0</v>
      </c>
      <c r="P104" s="34" t="s">
        <v>84</v>
      </c>
      <c r="Q104" s="33" t="n">
        <f>3030</f>
        <v>3030.0</v>
      </c>
      <c r="R104" s="34" t="s">
        <v>51</v>
      </c>
      <c r="S104" s="35" t="n">
        <f>3428.33</f>
        <v>3428.33</v>
      </c>
      <c r="T104" s="32" t="n">
        <f>24575834</f>
        <v>2.4575834E7</v>
      </c>
      <c r="U104" s="32" t="n">
        <f>1782</f>
        <v>1782.0</v>
      </c>
      <c r="V104" s="32" t="n">
        <f>86366204303</f>
        <v>8.6366204303E10</v>
      </c>
      <c r="W104" s="32" t="n">
        <f>6561105</f>
        <v>6561105.0</v>
      </c>
      <c r="X104" s="36" t="n">
        <f>18</f>
        <v>18.0</v>
      </c>
    </row>
    <row r="105">
      <c r="A105" s="27" t="s">
        <v>42</v>
      </c>
      <c r="B105" s="27" t="s">
        <v>357</v>
      </c>
      <c r="C105" s="27" t="s">
        <v>358</v>
      </c>
      <c r="D105" s="27" t="s">
        <v>359</v>
      </c>
      <c r="E105" s="28" t="s">
        <v>46</v>
      </c>
      <c r="F105" s="29" t="s">
        <v>46</v>
      </c>
      <c r="G105" s="30" t="s">
        <v>46</v>
      </c>
      <c r="H105" s="31"/>
      <c r="I105" s="31" t="s">
        <v>47</v>
      </c>
      <c r="J105" s="32" t="n">
        <v>10.0</v>
      </c>
      <c r="K105" s="33" t="n">
        <f>2865</f>
        <v>2865.0</v>
      </c>
      <c r="L105" s="34" t="s">
        <v>48</v>
      </c>
      <c r="M105" s="33" t="n">
        <f>2927</f>
        <v>2927.0</v>
      </c>
      <c r="N105" s="34" t="s">
        <v>51</v>
      </c>
      <c r="O105" s="33" t="n">
        <f>2760</f>
        <v>2760.0</v>
      </c>
      <c r="P105" s="34" t="s">
        <v>50</v>
      </c>
      <c r="Q105" s="33" t="n">
        <f>2917</f>
        <v>2917.0</v>
      </c>
      <c r="R105" s="34" t="s">
        <v>51</v>
      </c>
      <c r="S105" s="35" t="n">
        <f>2862.06</f>
        <v>2862.06</v>
      </c>
      <c r="T105" s="32" t="n">
        <f>94130</f>
        <v>94130.0</v>
      </c>
      <c r="U105" s="32" t="n">
        <f>60</f>
        <v>60.0</v>
      </c>
      <c r="V105" s="32" t="n">
        <f>268944330</f>
        <v>2.6894433E8</v>
      </c>
      <c r="W105" s="32" t="n">
        <f>170860</f>
        <v>170860.0</v>
      </c>
      <c r="X105" s="36" t="n">
        <f>18</f>
        <v>18.0</v>
      </c>
    </row>
    <row r="106">
      <c r="A106" s="27" t="s">
        <v>42</v>
      </c>
      <c r="B106" s="27" t="s">
        <v>360</v>
      </c>
      <c r="C106" s="27" t="s">
        <v>361</v>
      </c>
      <c r="D106" s="27" t="s">
        <v>362</v>
      </c>
      <c r="E106" s="28" t="s">
        <v>46</v>
      </c>
      <c r="F106" s="29" t="s">
        <v>46</v>
      </c>
      <c r="G106" s="30" t="s">
        <v>46</v>
      </c>
      <c r="H106" s="31"/>
      <c r="I106" s="31" t="s">
        <v>47</v>
      </c>
      <c r="J106" s="32" t="n">
        <v>10.0</v>
      </c>
      <c r="K106" s="33" t="n">
        <f>1663</f>
        <v>1663.0</v>
      </c>
      <c r="L106" s="34" t="s">
        <v>48</v>
      </c>
      <c r="M106" s="33" t="n">
        <f>1680</f>
        <v>1680.0</v>
      </c>
      <c r="N106" s="34" t="s">
        <v>49</v>
      </c>
      <c r="O106" s="33" t="n">
        <f>1602</f>
        <v>1602.0</v>
      </c>
      <c r="P106" s="34" t="s">
        <v>319</v>
      </c>
      <c r="Q106" s="33" t="n">
        <f>1671</f>
        <v>1671.0</v>
      </c>
      <c r="R106" s="34" t="s">
        <v>51</v>
      </c>
      <c r="S106" s="35" t="n">
        <f>1647.67</f>
        <v>1647.67</v>
      </c>
      <c r="T106" s="32" t="n">
        <f>117510</f>
        <v>117510.0</v>
      </c>
      <c r="U106" s="32" t="n">
        <f>60</f>
        <v>60.0</v>
      </c>
      <c r="V106" s="32" t="n">
        <f>193468290</f>
        <v>1.9346829E8</v>
      </c>
      <c r="W106" s="32" t="n">
        <f>98650</f>
        <v>98650.0</v>
      </c>
      <c r="X106" s="36" t="n">
        <f>18</f>
        <v>18.0</v>
      </c>
    </row>
    <row r="107">
      <c r="A107" s="27" t="s">
        <v>42</v>
      </c>
      <c r="B107" s="27" t="s">
        <v>363</v>
      </c>
      <c r="C107" s="27" t="s">
        <v>364</v>
      </c>
      <c r="D107" s="27" t="s">
        <v>365</v>
      </c>
      <c r="E107" s="28" t="s">
        <v>46</v>
      </c>
      <c r="F107" s="29" t="s">
        <v>46</v>
      </c>
      <c r="G107" s="30" t="s">
        <v>46</v>
      </c>
      <c r="H107" s="31"/>
      <c r="I107" s="31" t="s">
        <v>47</v>
      </c>
      <c r="J107" s="32" t="n">
        <v>1.0</v>
      </c>
      <c r="K107" s="33" t="n">
        <f>45450</f>
        <v>45450.0</v>
      </c>
      <c r="L107" s="34" t="s">
        <v>48</v>
      </c>
      <c r="M107" s="33" t="n">
        <f>46350</f>
        <v>46350.0</v>
      </c>
      <c r="N107" s="34" t="s">
        <v>84</v>
      </c>
      <c r="O107" s="33" t="n">
        <f>44500</f>
        <v>44500.0</v>
      </c>
      <c r="P107" s="34" t="s">
        <v>50</v>
      </c>
      <c r="Q107" s="33" t="n">
        <f>46150</f>
        <v>46150.0</v>
      </c>
      <c r="R107" s="34" t="s">
        <v>51</v>
      </c>
      <c r="S107" s="35" t="n">
        <f>45433.33</f>
        <v>45433.33</v>
      </c>
      <c r="T107" s="32" t="n">
        <f>154315</f>
        <v>154315.0</v>
      </c>
      <c r="U107" s="32" t="n">
        <f>32000</f>
        <v>32000.0</v>
      </c>
      <c r="V107" s="32" t="n">
        <f>7008365124</f>
        <v>7.008365124E9</v>
      </c>
      <c r="W107" s="32" t="n">
        <f>1455716424</f>
        <v>1.455716424E9</v>
      </c>
      <c r="X107" s="36" t="n">
        <f>18</f>
        <v>18.0</v>
      </c>
    </row>
    <row r="108">
      <c r="A108" s="27" t="s">
        <v>42</v>
      </c>
      <c r="B108" s="27" t="s">
        <v>366</v>
      </c>
      <c r="C108" s="27" t="s">
        <v>367</v>
      </c>
      <c r="D108" s="27" t="s">
        <v>368</v>
      </c>
      <c r="E108" s="28" t="s">
        <v>46</v>
      </c>
      <c r="F108" s="29" t="s">
        <v>46</v>
      </c>
      <c r="G108" s="30" t="s">
        <v>46</v>
      </c>
      <c r="H108" s="31"/>
      <c r="I108" s="31" t="s">
        <v>47</v>
      </c>
      <c r="J108" s="32" t="n">
        <v>1.0</v>
      </c>
      <c r="K108" s="33" t="n">
        <f>3020</f>
        <v>3020.0</v>
      </c>
      <c r="L108" s="34" t="s">
        <v>48</v>
      </c>
      <c r="M108" s="33" t="n">
        <f>3045</f>
        <v>3045.0</v>
      </c>
      <c r="N108" s="34" t="s">
        <v>51</v>
      </c>
      <c r="O108" s="33" t="n">
        <f>2950</f>
        <v>2950.0</v>
      </c>
      <c r="P108" s="34" t="s">
        <v>319</v>
      </c>
      <c r="Q108" s="33" t="n">
        <f>3040</f>
        <v>3040.0</v>
      </c>
      <c r="R108" s="34" t="s">
        <v>51</v>
      </c>
      <c r="S108" s="35" t="n">
        <f>3006.11</f>
        <v>3006.11</v>
      </c>
      <c r="T108" s="32" t="n">
        <f>9951</f>
        <v>9951.0</v>
      </c>
      <c r="U108" s="32" t="str">
        <f>"－"</f>
        <v>－</v>
      </c>
      <c r="V108" s="32" t="n">
        <f>29940581</f>
        <v>2.9940581E7</v>
      </c>
      <c r="W108" s="32" t="str">
        <f>"－"</f>
        <v>－</v>
      </c>
      <c r="X108" s="36" t="n">
        <f>18</f>
        <v>18.0</v>
      </c>
    </row>
    <row r="109">
      <c r="A109" s="27" t="s">
        <v>42</v>
      </c>
      <c r="B109" s="27" t="s">
        <v>369</v>
      </c>
      <c r="C109" s="27" t="s">
        <v>370</v>
      </c>
      <c r="D109" s="27" t="s">
        <v>371</v>
      </c>
      <c r="E109" s="28" t="s">
        <v>46</v>
      </c>
      <c r="F109" s="29" t="s">
        <v>46</v>
      </c>
      <c r="G109" s="30" t="s">
        <v>46</v>
      </c>
      <c r="H109" s="31"/>
      <c r="I109" s="31" t="s">
        <v>47</v>
      </c>
      <c r="J109" s="32" t="n">
        <v>1.0</v>
      </c>
      <c r="K109" s="33" t="n">
        <f>4160</f>
        <v>4160.0</v>
      </c>
      <c r="L109" s="34" t="s">
        <v>48</v>
      </c>
      <c r="M109" s="33" t="n">
        <f>4200</f>
        <v>4200.0</v>
      </c>
      <c r="N109" s="34" t="s">
        <v>49</v>
      </c>
      <c r="O109" s="33" t="n">
        <f>4075</f>
        <v>4075.0</v>
      </c>
      <c r="P109" s="34" t="s">
        <v>309</v>
      </c>
      <c r="Q109" s="33" t="n">
        <f>4130</f>
        <v>4130.0</v>
      </c>
      <c r="R109" s="34" t="s">
        <v>51</v>
      </c>
      <c r="S109" s="35" t="n">
        <f>4127.78</f>
        <v>4127.78</v>
      </c>
      <c r="T109" s="32" t="n">
        <f>3121</f>
        <v>3121.0</v>
      </c>
      <c r="U109" s="32" t="str">
        <f>"－"</f>
        <v>－</v>
      </c>
      <c r="V109" s="32" t="n">
        <f>12898820</f>
        <v>1.289882E7</v>
      </c>
      <c r="W109" s="32" t="str">
        <f>"－"</f>
        <v>－</v>
      </c>
      <c r="X109" s="36" t="n">
        <f>18</f>
        <v>18.0</v>
      </c>
    </row>
    <row r="110">
      <c r="A110" s="27" t="s">
        <v>42</v>
      </c>
      <c r="B110" s="27" t="s">
        <v>372</v>
      </c>
      <c r="C110" s="27" t="s">
        <v>373</v>
      </c>
      <c r="D110" s="27" t="s">
        <v>374</v>
      </c>
      <c r="E110" s="28" t="s">
        <v>46</v>
      </c>
      <c r="F110" s="29" t="s">
        <v>46</v>
      </c>
      <c r="G110" s="30" t="s">
        <v>46</v>
      </c>
      <c r="H110" s="31"/>
      <c r="I110" s="31" t="s">
        <v>47</v>
      </c>
      <c r="J110" s="32" t="n">
        <v>1.0</v>
      </c>
      <c r="K110" s="33" t="n">
        <f>3610</f>
        <v>3610.0</v>
      </c>
      <c r="L110" s="34" t="s">
        <v>48</v>
      </c>
      <c r="M110" s="33" t="n">
        <f>3615</f>
        <v>3615.0</v>
      </c>
      <c r="N110" s="34" t="s">
        <v>48</v>
      </c>
      <c r="O110" s="33" t="n">
        <f>3230</f>
        <v>3230.0</v>
      </c>
      <c r="P110" s="34" t="s">
        <v>50</v>
      </c>
      <c r="Q110" s="33" t="n">
        <f>3405</f>
        <v>3405.0</v>
      </c>
      <c r="R110" s="34" t="s">
        <v>51</v>
      </c>
      <c r="S110" s="35" t="n">
        <f>3419.44</f>
        <v>3419.44</v>
      </c>
      <c r="T110" s="32" t="n">
        <f>159376</f>
        <v>159376.0</v>
      </c>
      <c r="U110" s="32" t="n">
        <f>32</f>
        <v>32.0</v>
      </c>
      <c r="V110" s="32" t="n">
        <f>544204650</f>
        <v>5.4420465E8</v>
      </c>
      <c r="W110" s="32" t="n">
        <f>108005</f>
        <v>108005.0</v>
      </c>
      <c r="X110" s="36" t="n">
        <f>18</f>
        <v>18.0</v>
      </c>
    </row>
    <row r="111">
      <c r="A111" s="27" t="s">
        <v>42</v>
      </c>
      <c r="B111" s="27" t="s">
        <v>375</v>
      </c>
      <c r="C111" s="27" t="s">
        <v>376</v>
      </c>
      <c r="D111" s="27" t="s">
        <v>377</v>
      </c>
      <c r="E111" s="28" t="s">
        <v>46</v>
      </c>
      <c r="F111" s="29" t="s">
        <v>46</v>
      </c>
      <c r="G111" s="30" t="s">
        <v>46</v>
      </c>
      <c r="H111" s="31"/>
      <c r="I111" s="31" t="s">
        <v>47</v>
      </c>
      <c r="J111" s="32" t="n">
        <v>1.0</v>
      </c>
      <c r="K111" s="33" t="n">
        <f>44700</f>
        <v>44700.0</v>
      </c>
      <c r="L111" s="34" t="s">
        <v>48</v>
      </c>
      <c r="M111" s="33" t="n">
        <f>45250</f>
        <v>45250.0</v>
      </c>
      <c r="N111" s="34" t="s">
        <v>51</v>
      </c>
      <c r="O111" s="33" t="n">
        <f>44450</f>
        <v>44450.0</v>
      </c>
      <c r="P111" s="34" t="s">
        <v>50</v>
      </c>
      <c r="Q111" s="33" t="n">
        <f>45100</f>
        <v>45100.0</v>
      </c>
      <c r="R111" s="34" t="s">
        <v>51</v>
      </c>
      <c r="S111" s="35" t="n">
        <f>44675</f>
        <v>44675.0</v>
      </c>
      <c r="T111" s="32" t="n">
        <f>13583</f>
        <v>13583.0</v>
      </c>
      <c r="U111" s="32" t="n">
        <f>7</f>
        <v>7.0</v>
      </c>
      <c r="V111" s="32" t="n">
        <f>607343450</f>
        <v>6.0734345E8</v>
      </c>
      <c r="W111" s="32" t="n">
        <f>312600</f>
        <v>312600.0</v>
      </c>
      <c r="X111" s="36" t="n">
        <f>18</f>
        <v>18.0</v>
      </c>
    </row>
    <row r="112">
      <c r="A112" s="27" t="s">
        <v>42</v>
      </c>
      <c r="B112" s="27" t="s">
        <v>378</v>
      </c>
      <c r="C112" s="27" t="s">
        <v>379</v>
      </c>
      <c r="D112" s="27" t="s">
        <v>380</v>
      </c>
      <c r="E112" s="28" t="s">
        <v>46</v>
      </c>
      <c r="F112" s="29" t="s">
        <v>46</v>
      </c>
      <c r="G112" s="30" t="s">
        <v>46</v>
      </c>
      <c r="H112" s="31"/>
      <c r="I112" s="31" t="s">
        <v>47</v>
      </c>
      <c r="J112" s="32" t="n">
        <v>10.0</v>
      </c>
      <c r="K112" s="33" t="n">
        <f>1279</f>
        <v>1279.0</v>
      </c>
      <c r="L112" s="34" t="s">
        <v>335</v>
      </c>
      <c r="M112" s="33" t="n">
        <f>1280</f>
        <v>1280.0</v>
      </c>
      <c r="N112" s="34" t="s">
        <v>101</v>
      </c>
      <c r="O112" s="33" t="n">
        <f>1206</f>
        <v>1206.0</v>
      </c>
      <c r="P112" s="34" t="s">
        <v>309</v>
      </c>
      <c r="Q112" s="33" t="n">
        <f>1280</f>
        <v>1280.0</v>
      </c>
      <c r="R112" s="34" t="s">
        <v>101</v>
      </c>
      <c r="S112" s="35" t="n">
        <f>1252.6</f>
        <v>1252.6</v>
      </c>
      <c r="T112" s="32" t="n">
        <f>240</f>
        <v>240.0</v>
      </c>
      <c r="U112" s="32" t="str">
        <f>"－"</f>
        <v>－</v>
      </c>
      <c r="V112" s="32" t="n">
        <f>301530</f>
        <v>301530.0</v>
      </c>
      <c r="W112" s="32" t="str">
        <f>"－"</f>
        <v>－</v>
      </c>
      <c r="X112" s="36" t="n">
        <f>5</f>
        <v>5.0</v>
      </c>
    </row>
    <row r="113">
      <c r="A113" s="27" t="s">
        <v>42</v>
      </c>
      <c r="B113" s="27" t="s">
        <v>381</v>
      </c>
      <c r="C113" s="27" t="s">
        <v>382</v>
      </c>
      <c r="D113" s="27" t="s">
        <v>383</v>
      </c>
      <c r="E113" s="28" t="s">
        <v>46</v>
      </c>
      <c r="F113" s="29" t="s">
        <v>46</v>
      </c>
      <c r="G113" s="30" t="s">
        <v>46</v>
      </c>
      <c r="H113" s="31"/>
      <c r="I113" s="31" t="s">
        <v>47</v>
      </c>
      <c r="J113" s="32" t="n">
        <v>10.0</v>
      </c>
      <c r="K113" s="33" t="n">
        <f>23420</f>
        <v>23420.0</v>
      </c>
      <c r="L113" s="34" t="s">
        <v>48</v>
      </c>
      <c r="M113" s="33" t="n">
        <f>24260</f>
        <v>24260.0</v>
      </c>
      <c r="N113" s="34" t="s">
        <v>49</v>
      </c>
      <c r="O113" s="33" t="n">
        <f>21560</f>
        <v>21560.0</v>
      </c>
      <c r="P113" s="34" t="s">
        <v>50</v>
      </c>
      <c r="Q113" s="33" t="n">
        <f>23400</f>
        <v>23400.0</v>
      </c>
      <c r="R113" s="34" t="s">
        <v>51</v>
      </c>
      <c r="S113" s="35" t="n">
        <f>23065</f>
        <v>23065.0</v>
      </c>
      <c r="T113" s="32" t="n">
        <f>3233340</f>
        <v>3233340.0</v>
      </c>
      <c r="U113" s="32" t="n">
        <f>7190</f>
        <v>7190.0</v>
      </c>
      <c r="V113" s="32" t="n">
        <f>74502148500</f>
        <v>7.45021485E10</v>
      </c>
      <c r="W113" s="32" t="n">
        <f>160209900</f>
        <v>1.602099E8</v>
      </c>
      <c r="X113" s="36" t="n">
        <f>18</f>
        <v>18.0</v>
      </c>
    </row>
    <row r="114">
      <c r="A114" s="27" t="s">
        <v>42</v>
      </c>
      <c r="B114" s="27" t="s">
        <v>384</v>
      </c>
      <c r="C114" s="27" t="s">
        <v>385</v>
      </c>
      <c r="D114" s="27" t="s">
        <v>386</v>
      </c>
      <c r="E114" s="28" t="s">
        <v>46</v>
      </c>
      <c r="F114" s="29" t="s">
        <v>46</v>
      </c>
      <c r="G114" s="30" t="s">
        <v>46</v>
      </c>
      <c r="H114" s="31"/>
      <c r="I114" s="31" t="s">
        <v>47</v>
      </c>
      <c r="J114" s="32" t="n">
        <v>10.0</v>
      </c>
      <c r="K114" s="33" t="n">
        <f>2274</f>
        <v>2274.0</v>
      </c>
      <c r="L114" s="34" t="s">
        <v>48</v>
      </c>
      <c r="M114" s="33" t="n">
        <f>2363</f>
        <v>2363.0</v>
      </c>
      <c r="N114" s="34" t="s">
        <v>50</v>
      </c>
      <c r="O114" s="33" t="n">
        <f>2234</f>
        <v>2234.0</v>
      </c>
      <c r="P114" s="34" t="s">
        <v>49</v>
      </c>
      <c r="Q114" s="33" t="n">
        <f>2266</f>
        <v>2266.0</v>
      </c>
      <c r="R114" s="34" t="s">
        <v>51</v>
      </c>
      <c r="S114" s="35" t="n">
        <f>2286.83</f>
        <v>2286.83</v>
      </c>
      <c r="T114" s="32" t="n">
        <f>361630</f>
        <v>361630.0</v>
      </c>
      <c r="U114" s="32" t="n">
        <f>750</f>
        <v>750.0</v>
      </c>
      <c r="V114" s="32" t="n">
        <f>829465360</f>
        <v>8.2946536E8</v>
      </c>
      <c r="W114" s="32" t="n">
        <f>1701820</f>
        <v>1701820.0</v>
      </c>
      <c r="X114" s="36" t="n">
        <f>18</f>
        <v>18.0</v>
      </c>
    </row>
    <row r="115">
      <c r="A115" s="27" t="s">
        <v>42</v>
      </c>
      <c r="B115" s="27" t="s">
        <v>387</v>
      </c>
      <c r="C115" s="27" t="s">
        <v>388</v>
      </c>
      <c r="D115" s="27" t="s">
        <v>389</v>
      </c>
      <c r="E115" s="28" t="s">
        <v>46</v>
      </c>
      <c r="F115" s="29" t="s">
        <v>46</v>
      </c>
      <c r="G115" s="30" t="s">
        <v>46</v>
      </c>
      <c r="H115" s="31"/>
      <c r="I115" s="31" t="s">
        <v>47</v>
      </c>
      <c r="J115" s="32" t="n">
        <v>1.0</v>
      </c>
      <c r="K115" s="33" t="n">
        <f>16110</f>
        <v>16110.0</v>
      </c>
      <c r="L115" s="34" t="s">
        <v>48</v>
      </c>
      <c r="M115" s="33" t="n">
        <f>16850</f>
        <v>16850.0</v>
      </c>
      <c r="N115" s="34" t="s">
        <v>49</v>
      </c>
      <c r="O115" s="33" t="n">
        <f>14300</f>
        <v>14300.0</v>
      </c>
      <c r="P115" s="34" t="s">
        <v>50</v>
      </c>
      <c r="Q115" s="33" t="n">
        <f>15860</f>
        <v>15860.0</v>
      </c>
      <c r="R115" s="34" t="s">
        <v>51</v>
      </c>
      <c r="S115" s="35" t="n">
        <f>15511.67</f>
        <v>15511.67</v>
      </c>
      <c r="T115" s="32" t="n">
        <f>141636562</f>
        <v>1.41636562E8</v>
      </c>
      <c r="U115" s="32" t="n">
        <f>273694</f>
        <v>273694.0</v>
      </c>
      <c r="V115" s="32" t="n">
        <f>2186890746226</f>
        <v>2.186890746226E12</v>
      </c>
      <c r="W115" s="32" t="n">
        <f>4153738136</f>
        <v>4.153738136E9</v>
      </c>
      <c r="X115" s="36" t="n">
        <f>18</f>
        <v>18.0</v>
      </c>
    </row>
    <row r="116">
      <c r="A116" s="27" t="s">
        <v>42</v>
      </c>
      <c r="B116" s="27" t="s">
        <v>390</v>
      </c>
      <c r="C116" s="27" t="s">
        <v>391</v>
      </c>
      <c r="D116" s="27" t="s">
        <v>392</v>
      </c>
      <c r="E116" s="28" t="s">
        <v>46</v>
      </c>
      <c r="F116" s="29" t="s">
        <v>46</v>
      </c>
      <c r="G116" s="30" t="s">
        <v>46</v>
      </c>
      <c r="H116" s="31"/>
      <c r="I116" s="31" t="s">
        <v>47</v>
      </c>
      <c r="J116" s="32" t="n">
        <v>1.0</v>
      </c>
      <c r="K116" s="33" t="n">
        <f>1012</f>
        <v>1012.0</v>
      </c>
      <c r="L116" s="34" t="s">
        <v>48</v>
      </c>
      <c r="M116" s="33" t="n">
        <f>1071</f>
        <v>1071.0</v>
      </c>
      <c r="N116" s="34" t="s">
        <v>50</v>
      </c>
      <c r="O116" s="33" t="n">
        <f>989</f>
        <v>989.0</v>
      </c>
      <c r="P116" s="34" t="s">
        <v>49</v>
      </c>
      <c r="Q116" s="33" t="n">
        <f>1013</f>
        <v>1013.0</v>
      </c>
      <c r="R116" s="34" t="s">
        <v>51</v>
      </c>
      <c r="S116" s="35" t="n">
        <f>1027.67</f>
        <v>1027.67</v>
      </c>
      <c r="T116" s="32" t="n">
        <f>11953317</f>
        <v>1.1953317E7</v>
      </c>
      <c r="U116" s="32" t="n">
        <f>3709221</f>
        <v>3709221.0</v>
      </c>
      <c r="V116" s="32" t="n">
        <f>12347704821</f>
        <v>1.2347704821E10</v>
      </c>
      <c r="W116" s="32" t="n">
        <f>3824355725</f>
        <v>3.824355725E9</v>
      </c>
      <c r="X116" s="36" t="n">
        <f>18</f>
        <v>18.0</v>
      </c>
    </row>
    <row r="117">
      <c r="A117" s="27" t="s">
        <v>42</v>
      </c>
      <c r="B117" s="27" t="s">
        <v>393</v>
      </c>
      <c r="C117" s="27" t="s">
        <v>394</v>
      </c>
      <c r="D117" s="27" t="s">
        <v>395</v>
      </c>
      <c r="E117" s="28" t="s">
        <v>46</v>
      </c>
      <c r="F117" s="29" t="s">
        <v>46</v>
      </c>
      <c r="G117" s="30" t="s">
        <v>46</v>
      </c>
      <c r="H117" s="31"/>
      <c r="I117" s="31" t="s">
        <v>47</v>
      </c>
      <c r="J117" s="32" t="n">
        <v>10.0</v>
      </c>
      <c r="K117" s="33" t="n">
        <f>11350</f>
        <v>11350.0</v>
      </c>
      <c r="L117" s="34" t="s">
        <v>48</v>
      </c>
      <c r="M117" s="33" t="n">
        <f>11600</f>
        <v>11600.0</v>
      </c>
      <c r="N117" s="34" t="s">
        <v>84</v>
      </c>
      <c r="O117" s="33" t="n">
        <f>10350</f>
        <v>10350.0</v>
      </c>
      <c r="P117" s="34" t="s">
        <v>114</v>
      </c>
      <c r="Q117" s="33" t="n">
        <f>11380</f>
        <v>11380.0</v>
      </c>
      <c r="R117" s="34" t="s">
        <v>51</v>
      </c>
      <c r="S117" s="35" t="n">
        <f>10935</f>
        <v>10935.0</v>
      </c>
      <c r="T117" s="32" t="n">
        <f>11540</f>
        <v>11540.0</v>
      </c>
      <c r="U117" s="32" t="str">
        <f>"－"</f>
        <v>－</v>
      </c>
      <c r="V117" s="32" t="n">
        <f>126960600</f>
        <v>1.269606E8</v>
      </c>
      <c r="W117" s="32" t="str">
        <f>"－"</f>
        <v>－</v>
      </c>
      <c r="X117" s="36" t="n">
        <f>18</f>
        <v>18.0</v>
      </c>
    </row>
    <row r="118">
      <c r="A118" s="27" t="s">
        <v>42</v>
      </c>
      <c r="B118" s="27" t="s">
        <v>396</v>
      </c>
      <c r="C118" s="27" t="s">
        <v>397</v>
      </c>
      <c r="D118" s="27" t="s">
        <v>398</v>
      </c>
      <c r="E118" s="28" t="s">
        <v>46</v>
      </c>
      <c r="F118" s="29" t="s">
        <v>46</v>
      </c>
      <c r="G118" s="30" t="s">
        <v>46</v>
      </c>
      <c r="H118" s="31"/>
      <c r="I118" s="31" t="s">
        <v>47</v>
      </c>
      <c r="J118" s="32" t="n">
        <v>10.0</v>
      </c>
      <c r="K118" s="33" t="n">
        <f>6600</f>
        <v>6600.0</v>
      </c>
      <c r="L118" s="34" t="s">
        <v>48</v>
      </c>
      <c r="M118" s="33" t="n">
        <f>6990</f>
        <v>6990.0</v>
      </c>
      <c r="N118" s="34" t="s">
        <v>50</v>
      </c>
      <c r="O118" s="33" t="n">
        <f>6540</f>
        <v>6540.0</v>
      </c>
      <c r="P118" s="34" t="s">
        <v>84</v>
      </c>
      <c r="Q118" s="33" t="n">
        <f>6600</f>
        <v>6600.0</v>
      </c>
      <c r="R118" s="34" t="s">
        <v>51</v>
      </c>
      <c r="S118" s="35" t="n">
        <f>6721.76</f>
        <v>6721.76</v>
      </c>
      <c r="T118" s="32" t="n">
        <f>3420</f>
        <v>3420.0</v>
      </c>
      <c r="U118" s="32" t="str">
        <f>"－"</f>
        <v>－</v>
      </c>
      <c r="V118" s="32" t="n">
        <f>23119400</f>
        <v>2.31194E7</v>
      </c>
      <c r="W118" s="32" t="str">
        <f>"－"</f>
        <v>－</v>
      </c>
      <c r="X118" s="36" t="n">
        <f>17</f>
        <v>17.0</v>
      </c>
    </row>
    <row r="119">
      <c r="A119" s="27" t="s">
        <v>42</v>
      </c>
      <c r="B119" s="27" t="s">
        <v>399</v>
      </c>
      <c r="C119" s="27" t="s">
        <v>400</v>
      </c>
      <c r="D119" s="27" t="s">
        <v>401</v>
      </c>
      <c r="E119" s="28" t="s">
        <v>46</v>
      </c>
      <c r="F119" s="29" t="s">
        <v>46</v>
      </c>
      <c r="G119" s="30" t="s">
        <v>46</v>
      </c>
      <c r="H119" s="31"/>
      <c r="I119" s="31" t="s">
        <v>47</v>
      </c>
      <c r="J119" s="32" t="n">
        <v>10.0</v>
      </c>
      <c r="K119" s="33" t="n">
        <f>1679</f>
        <v>1679.0</v>
      </c>
      <c r="L119" s="34" t="s">
        <v>335</v>
      </c>
      <c r="M119" s="33" t="n">
        <f>1700</f>
        <v>1700.0</v>
      </c>
      <c r="N119" s="34" t="s">
        <v>101</v>
      </c>
      <c r="O119" s="33" t="n">
        <f>1645</f>
        <v>1645.0</v>
      </c>
      <c r="P119" s="34" t="s">
        <v>71</v>
      </c>
      <c r="Q119" s="33" t="n">
        <f>1686</f>
        <v>1686.0</v>
      </c>
      <c r="R119" s="34" t="s">
        <v>287</v>
      </c>
      <c r="S119" s="35" t="n">
        <f>1688.75</f>
        <v>1688.75</v>
      </c>
      <c r="T119" s="32" t="n">
        <f>570</f>
        <v>570.0</v>
      </c>
      <c r="U119" s="32" t="str">
        <f>"－"</f>
        <v>－</v>
      </c>
      <c r="V119" s="32" t="n">
        <f>962560</f>
        <v>962560.0</v>
      </c>
      <c r="W119" s="32" t="str">
        <f>"－"</f>
        <v>－</v>
      </c>
      <c r="X119" s="36" t="n">
        <f>4</f>
        <v>4.0</v>
      </c>
    </row>
    <row r="120">
      <c r="A120" s="27" t="s">
        <v>42</v>
      </c>
      <c r="B120" s="27" t="s">
        <v>402</v>
      </c>
      <c r="C120" s="27" t="s">
        <v>403</v>
      </c>
      <c r="D120" s="27" t="s">
        <v>404</v>
      </c>
      <c r="E120" s="28" t="s">
        <v>46</v>
      </c>
      <c r="F120" s="29" t="s">
        <v>46</v>
      </c>
      <c r="G120" s="30" t="s">
        <v>46</v>
      </c>
      <c r="H120" s="31"/>
      <c r="I120" s="31" t="s">
        <v>47</v>
      </c>
      <c r="J120" s="32" t="n">
        <v>10.0</v>
      </c>
      <c r="K120" s="33" t="n">
        <f>854</f>
        <v>854.0</v>
      </c>
      <c r="L120" s="34" t="s">
        <v>48</v>
      </c>
      <c r="M120" s="33" t="n">
        <f>938</f>
        <v>938.0</v>
      </c>
      <c r="N120" s="34" t="s">
        <v>84</v>
      </c>
      <c r="O120" s="33" t="n">
        <f>832</f>
        <v>832.0</v>
      </c>
      <c r="P120" s="34" t="s">
        <v>114</v>
      </c>
      <c r="Q120" s="33" t="n">
        <f>916</f>
        <v>916.0</v>
      </c>
      <c r="R120" s="34" t="s">
        <v>51</v>
      </c>
      <c r="S120" s="35" t="n">
        <f>869</f>
        <v>869.0</v>
      </c>
      <c r="T120" s="32" t="n">
        <f>28740</f>
        <v>28740.0</v>
      </c>
      <c r="U120" s="32" t="str">
        <f>"－"</f>
        <v>－</v>
      </c>
      <c r="V120" s="32" t="n">
        <f>25207030</f>
        <v>2.520703E7</v>
      </c>
      <c r="W120" s="32" t="str">
        <f>"－"</f>
        <v>－</v>
      </c>
      <c r="X120" s="36" t="n">
        <f>18</f>
        <v>18.0</v>
      </c>
    </row>
    <row r="121">
      <c r="A121" s="27" t="s">
        <v>42</v>
      </c>
      <c r="B121" s="27" t="s">
        <v>405</v>
      </c>
      <c r="C121" s="27" t="s">
        <v>406</v>
      </c>
      <c r="D121" s="27" t="s">
        <v>407</v>
      </c>
      <c r="E121" s="28" t="s">
        <v>46</v>
      </c>
      <c r="F121" s="29" t="s">
        <v>46</v>
      </c>
      <c r="G121" s="30" t="s">
        <v>46</v>
      </c>
      <c r="H121" s="31" t="s">
        <v>238</v>
      </c>
      <c r="I121" s="31"/>
      <c r="J121" s="32" t="n">
        <v>10.0</v>
      </c>
      <c r="K121" s="33" t="n">
        <f>812</f>
        <v>812.0</v>
      </c>
      <c r="L121" s="34" t="s">
        <v>48</v>
      </c>
      <c r="M121" s="33" t="n">
        <f>829</f>
        <v>829.0</v>
      </c>
      <c r="N121" s="34" t="s">
        <v>51</v>
      </c>
      <c r="O121" s="33" t="n">
        <f>679</f>
        <v>679.0</v>
      </c>
      <c r="P121" s="34" t="s">
        <v>61</v>
      </c>
      <c r="Q121" s="33" t="n">
        <f>825</f>
        <v>825.0</v>
      </c>
      <c r="R121" s="34" t="s">
        <v>51</v>
      </c>
      <c r="S121" s="35" t="n">
        <f>765.61</f>
        <v>765.61</v>
      </c>
      <c r="T121" s="32" t="n">
        <f>46700</f>
        <v>46700.0</v>
      </c>
      <c r="U121" s="32" t="str">
        <f>"－"</f>
        <v>－</v>
      </c>
      <c r="V121" s="32" t="n">
        <f>35269970</f>
        <v>3.526997E7</v>
      </c>
      <c r="W121" s="32" t="str">
        <f>"－"</f>
        <v>－</v>
      </c>
      <c r="X121" s="36" t="n">
        <f>18</f>
        <v>18.0</v>
      </c>
    </row>
    <row r="122">
      <c r="A122" s="27" t="s">
        <v>42</v>
      </c>
      <c r="B122" s="27" t="s">
        <v>408</v>
      </c>
      <c r="C122" s="27" t="s">
        <v>409</v>
      </c>
      <c r="D122" s="27" t="s">
        <v>410</v>
      </c>
      <c r="E122" s="28" t="s">
        <v>46</v>
      </c>
      <c r="F122" s="29" t="s">
        <v>46</v>
      </c>
      <c r="G122" s="30" t="s">
        <v>46</v>
      </c>
      <c r="H122" s="31"/>
      <c r="I122" s="31" t="s">
        <v>47</v>
      </c>
      <c r="J122" s="32" t="n">
        <v>1.0</v>
      </c>
      <c r="K122" s="33" t="n">
        <f>22720</f>
        <v>22720.0</v>
      </c>
      <c r="L122" s="34" t="s">
        <v>48</v>
      </c>
      <c r="M122" s="33" t="n">
        <f>23290</f>
        <v>23290.0</v>
      </c>
      <c r="N122" s="34" t="s">
        <v>49</v>
      </c>
      <c r="O122" s="33" t="n">
        <f>22340</f>
        <v>22340.0</v>
      </c>
      <c r="P122" s="34" t="s">
        <v>85</v>
      </c>
      <c r="Q122" s="33" t="n">
        <f>22850</f>
        <v>22850.0</v>
      </c>
      <c r="R122" s="34" t="s">
        <v>51</v>
      </c>
      <c r="S122" s="35" t="n">
        <f>22896.67</f>
        <v>22896.67</v>
      </c>
      <c r="T122" s="32" t="n">
        <f>19222</f>
        <v>19222.0</v>
      </c>
      <c r="U122" s="32" t="n">
        <f>38</f>
        <v>38.0</v>
      </c>
      <c r="V122" s="32" t="n">
        <f>440691915</f>
        <v>4.40691915E8</v>
      </c>
      <c r="W122" s="32" t="n">
        <f>870455</f>
        <v>870455.0</v>
      </c>
      <c r="X122" s="36" t="n">
        <f>18</f>
        <v>18.0</v>
      </c>
    </row>
    <row r="123">
      <c r="A123" s="27" t="s">
        <v>42</v>
      </c>
      <c r="B123" s="27" t="s">
        <v>411</v>
      </c>
      <c r="C123" s="27" t="s">
        <v>412</v>
      </c>
      <c r="D123" s="27" t="s">
        <v>413</v>
      </c>
      <c r="E123" s="28" t="s">
        <v>46</v>
      </c>
      <c r="F123" s="29" t="s">
        <v>46</v>
      </c>
      <c r="G123" s="30" t="s">
        <v>46</v>
      </c>
      <c r="H123" s="31"/>
      <c r="I123" s="31" t="s">
        <v>47</v>
      </c>
      <c r="J123" s="32" t="n">
        <v>1.0</v>
      </c>
      <c r="K123" s="33" t="n">
        <f>2322</f>
        <v>2322.0</v>
      </c>
      <c r="L123" s="34" t="s">
        <v>48</v>
      </c>
      <c r="M123" s="33" t="n">
        <f>2374</f>
        <v>2374.0</v>
      </c>
      <c r="N123" s="34" t="s">
        <v>49</v>
      </c>
      <c r="O123" s="33" t="n">
        <f>2196</f>
        <v>2196.0</v>
      </c>
      <c r="P123" s="34" t="s">
        <v>50</v>
      </c>
      <c r="Q123" s="33" t="n">
        <f>2306</f>
        <v>2306.0</v>
      </c>
      <c r="R123" s="34" t="s">
        <v>51</v>
      </c>
      <c r="S123" s="35" t="n">
        <f>2283.17</f>
        <v>2283.17</v>
      </c>
      <c r="T123" s="32" t="n">
        <f>72410</f>
        <v>72410.0</v>
      </c>
      <c r="U123" s="32" t="n">
        <f>5</f>
        <v>5.0</v>
      </c>
      <c r="V123" s="32" t="n">
        <f>163813783</f>
        <v>1.63813783E8</v>
      </c>
      <c r="W123" s="32" t="n">
        <f>11304</f>
        <v>11304.0</v>
      </c>
      <c r="X123" s="36" t="n">
        <f>18</f>
        <v>18.0</v>
      </c>
    </row>
    <row r="124">
      <c r="A124" s="27" t="s">
        <v>42</v>
      </c>
      <c r="B124" s="27" t="s">
        <v>414</v>
      </c>
      <c r="C124" s="27" t="s">
        <v>415</v>
      </c>
      <c r="D124" s="27" t="s">
        <v>416</v>
      </c>
      <c r="E124" s="28" t="s">
        <v>46</v>
      </c>
      <c r="F124" s="29" t="s">
        <v>46</v>
      </c>
      <c r="G124" s="30" t="s">
        <v>46</v>
      </c>
      <c r="H124" s="31"/>
      <c r="I124" s="31" t="s">
        <v>47</v>
      </c>
      <c r="J124" s="32" t="n">
        <v>10.0</v>
      </c>
      <c r="K124" s="33" t="n">
        <f>17180</f>
        <v>17180.0</v>
      </c>
      <c r="L124" s="34" t="s">
        <v>48</v>
      </c>
      <c r="M124" s="33" t="n">
        <f>17980</f>
        <v>17980.0</v>
      </c>
      <c r="N124" s="34" t="s">
        <v>49</v>
      </c>
      <c r="O124" s="33" t="n">
        <f>15260</f>
        <v>15260.0</v>
      </c>
      <c r="P124" s="34" t="s">
        <v>50</v>
      </c>
      <c r="Q124" s="33" t="n">
        <f>16940</f>
        <v>16940.0</v>
      </c>
      <c r="R124" s="34" t="s">
        <v>51</v>
      </c>
      <c r="S124" s="35" t="n">
        <f>16557.22</f>
        <v>16557.22</v>
      </c>
      <c r="T124" s="32" t="n">
        <f>13118410</f>
        <v>1.311841E7</v>
      </c>
      <c r="U124" s="32" t="n">
        <f>3610</f>
        <v>3610.0</v>
      </c>
      <c r="V124" s="32" t="n">
        <f>218502136645</f>
        <v>2.18502136645E11</v>
      </c>
      <c r="W124" s="32" t="n">
        <f>59828445</f>
        <v>5.9828445E7</v>
      </c>
      <c r="X124" s="36" t="n">
        <f>18</f>
        <v>18.0</v>
      </c>
    </row>
    <row r="125">
      <c r="A125" s="27" t="s">
        <v>42</v>
      </c>
      <c r="B125" s="27" t="s">
        <v>417</v>
      </c>
      <c r="C125" s="27" t="s">
        <v>418</v>
      </c>
      <c r="D125" s="27" t="s">
        <v>419</v>
      </c>
      <c r="E125" s="28" t="s">
        <v>46</v>
      </c>
      <c r="F125" s="29" t="s">
        <v>46</v>
      </c>
      <c r="G125" s="30" t="s">
        <v>46</v>
      </c>
      <c r="H125" s="31"/>
      <c r="I125" s="31" t="s">
        <v>47</v>
      </c>
      <c r="J125" s="32" t="n">
        <v>10.0</v>
      </c>
      <c r="K125" s="33" t="n">
        <f>2701</f>
        <v>2701.0</v>
      </c>
      <c r="L125" s="34" t="s">
        <v>48</v>
      </c>
      <c r="M125" s="33" t="n">
        <f>2855</f>
        <v>2855.0</v>
      </c>
      <c r="N125" s="34" t="s">
        <v>50</v>
      </c>
      <c r="O125" s="33" t="n">
        <f>2639</f>
        <v>2639.0</v>
      </c>
      <c r="P125" s="34" t="s">
        <v>49</v>
      </c>
      <c r="Q125" s="33" t="n">
        <f>2701</f>
        <v>2701.0</v>
      </c>
      <c r="R125" s="34" t="s">
        <v>51</v>
      </c>
      <c r="S125" s="35" t="n">
        <f>2741.44</f>
        <v>2741.44</v>
      </c>
      <c r="T125" s="32" t="n">
        <f>1653770</f>
        <v>1653770.0</v>
      </c>
      <c r="U125" s="32" t="str">
        <f>"－"</f>
        <v>－</v>
      </c>
      <c r="V125" s="32" t="n">
        <f>4554887050</f>
        <v>4.55488705E9</v>
      </c>
      <c r="W125" s="32" t="str">
        <f>"－"</f>
        <v>－</v>
      </c>
      <c r="X125" s="36" t="n">
        <f>18</f>
        <v>18.0</v>
      </c>
    </row>
    <row r="126">
      <c r="A126" s="27" t="s">
        <v>42</v>
      </c>
      <c r="B126" s="27" t="s">
        <v>420</v>
      </c>
      <c r="C126" s="27" t="s">
        <v>421</v>
      </c>
      <c r="D126" s="27" t="s">
        <v>422</v>
      </c>
      <c r="E126" s="28" t="s">
        <v>46</v>
      </c>
      <c r="F126" s="29" t="s">
        <v>46</v>
      </c>
      <c r="G126" s="30" t="s">
        <v>46</v>
      </c>
      <c r="H126" s="31"/>
      <c r="I126" s="31" t="s">
        <v>47</v>
      </c>
      <c r="J126" s="32" t="n">
        <v>10.0</v>
      </c>
      <c r="K126" s="33" t="n">
        <f>974</f>
        <v>974.0</v>
      </c>
      <c r="L126" s="34" t="s">
        <v>48</v>
      </c>
      <c r="M126" s="33" t="n">
        <f>989</f>
        <v>989.0</v>
      </c>
      <c r="N126" s="34" t="s">
        <v>114</v>
      </c>
      <c r="O126" s="33" t="n">
        <f>941</f>
        <v>941.0</v>
      </c>
      <c r="P126" s="34" t="s">
        <v>287</v>
      </c>
      <c r="Q126" s="33" t="n">
        <f>970</f>
        <v>970.0</v>
      </c>
      <c r="R126" s="34" t="s">
        <v>84</v>
      </c>
      <c r="S126" s="35" t="n">
        <f>967</f>
        <v>967.0</v>
      </c>
      <c r="T126" s="32" t="n">
        <f>460</f>
        <v>460.0</v>
      </c>
      <c r="U126" s="32" t="str">
        <f>"－"</f>
        <v>－</v>
      </c>
      <c r="V126" s="32" t="n">
        <f>441000</f>
        <v>441000.0</v>
      </c>
      <c r="W126" s="32" t="str">
        <f>"－"</f>
        <v>－</v>
      </c>
      <c r="X126" s="36" t="n">
        <f>10</f>
        <v>10.0</v>
      </c>
    </row>
    <row r="127">
      <c r="A127" s="27" t="s">
        <v>42</v>
      </c>
      <c r="B127" s="27" t="s">
        <v>423</v>
      </c>
      <c r="C127" s="27" t="s">
        <v>424</v>
      </c>
      <c r="D127" s="27" t="s">
        <v>425</v>
      </c>
      <c r="E127" s="28" t="s">
        <v>46</v>
      </c>
      <c r="F127" s="29" t="s">
        <v>46</v>
      </c>
      <c r="G127" s="30" t="s">
        <v>46</v>
      </c>
      <c r="H127" s="31"/>
      <c r="I127" s="31" t="s">
        <v>47</v>
      </c>
      <c r="J127" s="32" t="n">
        <v>10.0</v>
      </c>
      <c r="K127" s="33" t="n">
        <f>1507</f>
        <v>1507.0</v>
      </c>
      <c r="L127" s="34" t="s">
        <v>48</v>
      </c>
      <c r="M127" s="33" t="n">
        <f>1543</f>
        <v>1543.0</v>
      </c>
      <c r="N127" s="34" t="s">
        <v>49</v>
      </c>
      <c r="O127" s="33" t="n">
        <f>1428</f>
        <v>1428.0</v>
      </c>
      <c r="P127" s="34" t="s">
        <v>50</v>
      </c>
      <c r="Q127" s="33" t="n">
        <f>1505</f>
        <v>1505.0</v>
      </c>
      <c r="R127" s="34" t="s">
        <v>51</v>
      </c>
      <c r="S127" s="35" t="n">
        <f>1496.46</f>
        <v>1496.46</v>
      </c>
      <c r="T127" s="32" t="n">
        <f>59480</f>
        <v>59480.0</v>
      </c>
      <c r="U127" s="32" t="n">
        <f>53410</f>
        <v>53410.0</v>
      </c>
      <c r="V127" s="32" t="n">
        <f>89319456</f>
        <v>8.9319456E7</v>
      </c>
      <c r="W127" s="32" t="n">
        <f>80234416</f>
        <v>8.0234416E7</v>
      </c>
      <c r="X127" s="36" t="n">
        <f>13</f>
        <v>13.0</v>
      </c>
    </row>
    <row r="128">
      <c r="A128" s="27" t="s">
        <v>42</v>
      </c>
      <c r="B128" s="27" t="s">
        <v>426</v>
      </c>
      <c r="C128" s="27" t="s">
        <v>427</v>
      </c>
      <c r="D128" s="27" t="s">
        <v>428</v>
      </c>
      <c r="E128" s="28" t="s">
        <v>46</v>
      </c>
      <c r="F128" s="29" t="s">
        <v>46</v>
      </c>
      <c r="G128" s="30" t="s">
        <v>46</v>
      </c>
      <c r="H128" s="31"/>
      <c r="I128" s="31" t="s">
        <v>47</v>
      </c>
      <c r="J128" s="32" t="n">
        <v>1.0</v>
      </c>
      <c r="K128" s="33" t="n">
        <f>1750</f>
        <v>1750.0</v>
      </c>
      <c r="L128" s="34" t="s">
        <v>48</v>
      </c>
      <c r="M128" s="33" t="n">
        <f>1750</f>
        <v>1750.0</v>
      </c>
      <c r="N128" s="34" t="s">
        <v>48</v>
      </c>
      <c r="O128" s="33" t="n">
        <f>1657</f>
        <v>1657.0</v>
      </c>
      <c r="P128" s="34" t="s">
        <v>71</v>
      </c>
      <c r="Q128" s="33" t="n">
        <f>1730</f>
        <v>1730.0</v>
      </c>
      <c r="R128" s="34" t="s">
        <v>84</v>
      </c>
      <c r="S128" s="35" t="n">
        <f>1702.5</f>
        <v>1702.5</v>
      </c>
      <c r="T128" s="32" t="n">
        <f>338774</f>
        <v>338774.0</v>
      </c>
      <c r="U128" s="32" t="n">
        <f>330000</f>
        <v>330000.0</v>
      </c>
      <c r="V128" s="32" t="n">
        <f>579531391</f>
        <v>5.79531391E8</v>
      </c>
      <c r="W128" s="32" t="n">
        <f>564577200</f>
        <v>5.645772E8</v>
      </c>
      <c r="X128" s="36" t="n">
        <f>12</f>
        <v>12.0</v>
      </c>
    </row>
    <row r="129">
      <c r="A129" s="27" t="s">
        <v>42</v>
      </c>
      <c r="B129" s="27" t="s">
        <v>429</v>
      </c>
      <c r="C129" s="27" t="s">
        <v>430</v>
      </c>
      <c r="D129" s="27" t="s">
        <v>431</v>
      </c>
      <c r="E129" s="28" t="s">
        <v>46</v>
      </c>
      <c r="F129" s="29" t="s">
        <v>46</v>
      </c>
      <c r="G129" s="30" t="s">
        <v>46</v>
      </c>
      <c r="H129" s="31"/>
      <c r="I129" s="31" t="s">
        <v>47</v>
      </c>
      <c r="J129" s="32" t="n">
        <v>1.0</v>
      </c>
      <c r="K129" s="33" t="n">
        <f>17360</f>
        <v>17360.0</v>
      </c>
      <c r="L129" s="34" t="s">
        <v>48</v>
      </c>
      <c r="M129" s="33" t="n">
        <f>17710</f>
        <v>17710.0</v>
      </c>
      <c r="N129" s="34" t="s">
        <v>84</v>
      </c>
      <c r="O129" s="33" t="n">
        <f>16710</f>
        <v>16710.0</v>
      </c>
      <c r="P129" s="34" t="s">
        <v>50</v>
      </c>
      <c r="Q129" s="33" t="n">
        <f>17430</f>
        <v>17430.0</v>
      </c>
      <c r="R129" s="34" t="s">
        <v>51</v>
      </c>
      <c r="S129" s="35" t="n">
        <f>17273.33</f>
        <v>17273.33</v>
      </c>
      <c r="T129" s="32" t="n">
        <f>84306</f>
        <v>84306.0</v>
      </c>
      <c r="U129" s="32" t="n">
        <f>42351</f>
        <v>42351.0</v>
      </c>
      <c r="V129" s="32" t="n">
        <f>1447510787</f>
        <v>1.447510787E9</v>
      </c>
      <c r="W129" s="32" t="n">
        <f>723940437</f>
        <v>7.23940437E8</v>
      </c>
      <c r="X129" s="36" t="n">
        <f>18</f>
        <v>18.0</v>
      </c>
    </row>
    <row r="130">
      <c r="A130" s="27" t="s">
        <v>42</v>
      </c>
      <c r="B130" s="27" t="s">
        <v>432</v>
      </c>
      <c r="C130" s="27" t="s">
        <v>433</v>
      </c>
      <c r="D130" s="27" t="s">
        <v>434</v>
      </c>
      <c r="E130" s="28" t="s">
        <v>46</v>
      </c>
      <c r="F130" s="29" t="s">
        <v>46</v>
      </c>
      <c r="G130" s="30" t="s">
        <v>46</v>
      </c>
      <c r="H130" s="31"/>
      <c r="I130" s="31" t="s">
        <v>47</v>
      </c>
      <c r="J130" s="32" t="n">
        <v>1.0</v>
      </c>
      <c r="K130" s="33" t="n">
        <f>1600</f>
        <v>1600.0</v>
      </c>
      <c r="L130" s="34" t="s">
        <v>48</v>
      </c>
      <c r="M130" s="33" t="n">
        <f>1631</f>
        <v>1631.0</v>
      </c>
      <c r="N130" s="34" t="s">
        <v>84</v>
      </c>
      <c r="O130" s="33" t="n">
        <f>1542</f>
        <v>1542.0</v>
      </c>
      <c r="P130" s="34" t="s">
        <v>50</v>
      </c>
      <c r="Q130" s="33" t="n">
        <f>1611</f>
        <v>1611.0</v>
      </c>
      <c r="R130" s="34" t="s">
        <v>51</v>
      </c>
      <c r="S130" s="35" t="n">
        <f>1592.56</f>
        <v>1592.56</v>
      </c>
      <c r="T130" s="32" t="n">
        <f>145346</f>
        <v>145346.0</v>
      </c>
      <c r="U130" s="32" t="n">
        <f>18</f>
        <v>18.0</v>
      </c>
      <c r="V130" s="32" t="n">
        <f>231021242</f>
        <v>2.31021242E8</v>
      </c>
      <c r="W130" s="32" t="n">
        <f>28686</f>
        <v>28686.0</v>
      </c>
      <c r="X130" s="36" t="n">
        <f>18</f>
        <v>18.0</v>
      </c>
    </row>
    <row r="131">
      <c r="A131" s="27" t="s">
        <v>42</v>
      </c>
      <c r="B131" s="27" t="s">
        <v>435</v>
      </c>
      <c r="C131" s="27" t="s">
        <v>436</v>
      </c>
      <c r="D131" s="27" t="s">
        <v>437</v>
      </c>
      <c r="E131" s="28" t="s">
        <v>46</v>
      </c>
      <c r="F131" s="29" t="s">
        <v>46</v>
      </c>
      <c r="G131" s="30" t="s">
        <v>46</v>
      </c>
      <c r="H131" s="31"/>
      <c r="I131" s="31" t="s">
        <v>47</v>
      </c>
      <c r="J131" s="32" t="n">
        <v>1.0</v>
      </c>
      <c r="K131" s="33" t="n">
        <f>17850</f>
        <v>17850.0</v>
      </c>
      <c r="L131" s="34" t="s">
        <v>48</v>
      </c>
      <c r="M131" s="33" t="n">
        <f>18210</f>
        <v>18210.0</v>
      </c>
      <c r="N131" s="34" t="s">
        <v>84</v>
      </c>
      <c r="O131" s="33" t="n">
        <f>17180</f>
        <v>17180.0</v>
      </c>
      <c r="P131" s="34" t="s">
        <v>50</v>
      </c>
      <c r="Q131" s="33" t="n">
        <f>17970</f>
        <v>17970.0</v>
      </c>
      <c r="R131" s="34" t="s">
        <v>51</v>
      </c>
      <c r="S131" s="35" t="n">
        <f>17772.78</f>
        <v>17772.78</v>
      </c>
      <c r="T131" s="32" t="n">
        <f>59874</f>
        <v>59874.0</v>
      </c>
      <c r="U131" s="32" t="n">
        <f>28204</f>
        <v>28204.0</v>
      </c>
      <c r="V131" s="32" t="n">
        <f>1058300090</f>
        <v>1.05830009E9</v>
      </c>
      <c r="W131" s="32" t="n">
        <f>500593340</f>
        <v>5.0059334E8</v>
      </c>
      <c r="X131" s="36" t="n">
        <f>18</f>
        <v>18.0</v>
      </c>
    </row>
    <row r="132">
      <c r="A132" s="27" t="s">
        <v>42</v>
      </c>
      <c r="B132" s="27" t="s">
        <v>438</v>
      </c>
      <c r="C132" s="27" t="s">
        <v>439</v>
      </c>
      <c r="D132" s="27" t="s">
        <v>440</v>
      </c>
      <c r="E132" s="28" t="s">
        <v>46</v>
      </c>
      <c r="F132" s="29" t="s">
        <v>46</v>
      </c>
      <c r="G132" s="30" t="s">
        <v>46</v>
      </c>
      <c r="H132" s="31"/>
      <c r="I132" s="31" t="s">
        <v>47</v>
      </c>
      <c r="J132" s="32" t="n">
        <v>10.0</v>
      </c>
      <c r="K132" s="33" t="n">
        <f>2121</f>
        <v>2121.0</v>
      </c>
      <c r="L132" s="34" t="s">
        <v>48</v>
      </c>
      <c r="M132" s="33" t="n">
        <f>2125</f>
        <v>2125.0</v>
      </c>
      <c r="N132" s="34" t="s">
        <v>48</v>
      </c>
      <c r="O132" s="33" t="n">
        <f>2045</f>
        <v>2045.0</v>
      </c>
      <c r="P132" s="34" t="s">
        <v>50</v>
      </c>
      <c r="Q132" s="33" t="n">
        <f>2108</f>
        <v>2108.0</v>
      </c>
      <c r="R132" s="34" t="s">
        <v>51</v>
      </c>
      <c r="S132" s="35" t="n">
        <f>2087.22</f>
        <v>2087.22</v>
      </c>
      <c r="T132" s="32" t="n">
        <f>1049600</f>
        <v>1049600.0</v>
      </c>
      <c r="U132" s="32" t="n">
        <f>210000</f>
        <v>210000.0</v>
      </c>
      <c r="V132" s="32" t="n">
        <f>2190153670</f>
        <v>2.19015367E9</v>
      </c>
      <c r="W132" s="32" t="n">
        <f>439653400</f>
        <v>4.396534E8</v>
      </c>
      <c r="X132" s="36" t="n">
        <f>18</f>
        <v>18.0</v>
      </c>
    </row>
    <row r="133">
      <c r="A133" s="27" t="s">
        <v>42</v>
      </c>
      <c r="B133" s="27" t="s">
        <v>441</v>
      </c>
      <c r="C133" s="27" t="s">
        <v>442</v>
      </c>
      <c r="D133" s="27" t="s">
        <v>443</v>
      </c>
      <c r="E133" s="28" t="s">
        <v>46</v>
      </c>
      <c r="F133" s="29" t="s">
        <v>46</v>
      </c>
      <c r="G133" s="30" t="s">
        <v>46</v>
      </c>
      <c r="H133" s="31"/>
      <c r="I133" s="31" t="s">
        <v>47</v>
      </c>
      <c r="J133" s="32" t="n">
        <v>10.0</v>
      </c>
      <c r="K133" s="33" t="n">
        <f>1735</f>
        <v>1735.0</v>
      </c>
      <c r="L133" s="34" t="s">
        <v>49</v>
      </c>
      <c r="M133" s="33" t="n">
        <f>1735</f>
        <v>1735.0</v>
      </c>
      <c r="N133" s="34" t="s">
        <v>49</v>
      </c>
      <c r="O133" s="33" t="n">
        <f>1654</f>
        <v>1654.0</v>
      </c>
      <c r="P133" s="34" t="s">
        <v>50</v>
      </c>
      <c r="Q133" s="33" t="n">
        <f>1730</f>
        <v>1730.0</v>
      </c>
      <c r="R133" s="34" t="s">
        <v>84</v>
      </c>
      <c r="S133" s="35" t="n">
        <f>1698.86</f>
        <v>1698.86</v>
      </c>
      <c r="T133" s="32" t="n">
        <f>170</f>
        <v>170.0</v>
      </c>
      <c r="U133" s="32" t="str">
        <f>"－"</f>
        <v>－</v>
      </c>
      <c r="V133" s="32" t="n">
        <f>288250</f>
        <v>288250.0</v>
      </c>
      <c r="W133" s="32" t="str">
        <f>"－"</f>
        <v>－</v>
      </c>
      <c r="X133" s="36" t="n">
        <f>7</f>
        <v>7.0</v>
      </c>
    </row>
    <row r="134">
      <c r="A134" s="27" t="s">
        <v>42</v>
      </c>
      <c r="B134" s="27" t="s">
        <v>444</v>
      </c>
      <c r="C134" s="27" t="s">
        <v>445</v>
      </c>
      <c r="D134" s="27" t="s">
        <v>446</v>
      </c>
      <c r="E134" s="28" t="s">
        <v>46</v>
      </c>
      <c r="F134" s="29" t="s">
        <v>46</v>
      </c>
      <c r="G134" s="30" t="s">
        <v>46</v>
      </c>
      <c r="H134" s="31"/>
      <c r="I134" s="31" t="s">
        <v>47</v>
      </c>
      <c r="J134" s="32" t="n">
        <v>10.0</v>
      </c>
      <c r="K134" s="33" t="n">
        <f>2139</f>
        <v>2139.0</v>
      </c>
      <c r="L134" s="34" t="s">
        <v>48</v>
      </c>
      <c r="M134" s="33" t="n">
        <f>2143</f>
        <v>2143.0</v>
      </c>
      <c r="N134" s="34" t="s">
        <v>48</v>
      </c>
      <c r="O134" s="33" t="n">
        <f>2060</f>
        <v>2060.0</v>
      </c>
      <c r="P134" s="34" t="s">
        <v>114</v>
      </c>
      <c r="Q134" s="33" t="n">
        <f>2123</f>
        <v>2123.0</v>
      </c>
      <c r="R134" s="34" t="s">
        <v>51</v>
      </c>
      <c r="S134" s="35" t="n">
        <f>2105.83</f>
        <v>2105.83</v>
      </c>
      <c r="T134" s="32" t="n">
        <f>374950</f>
        <v>374950.0</v>
      </c>
      <c r="U134" s="32" t="n">
        <f>78060</f>
        <v>78060.0</v>
      </c>
      <c r="V134" s="32" t="n">
        <f>788689350</f>
        <v>7.8868935E8</v>
      </c>
      <c r="W134" s="32" t="n">
        <f>165095870</f>
        <v>1.6509587E8</v>
      </c>
      <c r="X134" s="36" t="n">
        <f>18</f>
        <v>18.0</v>
      </c>
    </row>
    <row r="135">
      <c r="A135" s="27" t="s">
        <v>42</v>
      </c>
      <c r="B135" s="27" t="s">
        <v>447</v>
      </c>
      <c r="C135" s="27" t="s">
        <v>448</v>
      </c>
      <c r="D135" s="27" t="s">
        <v>449</v>
      </c>
      <c r="E135" s="28" t="s">
        <v>46</v>
      </c>
      <c r="F135" s="29" t="s">
        <v>46</v>
      </c>
      <c r="G135" s="30" t="s">
        <v>46</v>
      </c>
      <c r="H135" s="31"/>
      <c r="I135" s="31" t="s">
        <v>47</v>
      </c>
      <c r="J135" s="32" t="n">
        <v>1.0</v>
      </c>
      <c r="K135" s="33" t="str">
        <f>"－"</f>
        <v>－</v>
      </c>
      <c r="L135" s="34"/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5" t="str">
        <f>"－"</f>
        <v>－</v>
      </c>
      <c r="T135" s="32" t="str">
        <f>"－"</f>
        <v>－</v>
      </c>
      <c r="U135" s="32" t="str">
        <f>"－"</f>
        <v>－</v>
      </c>
      <c r="V135" s="32" t="str">
        <f>"－"</f>
        <v>－</v>
      </c>
      <c r="W135" s="32" t="str">
        <f>"－"</f>
        <v>－</v>
      </c>
      <c r="X135" s="36" t="str">
        <f>"－"</f>
        <v>－</v>
      </c>
    </row>
    <row r="136">
      <c r="A136" s="27" t="s">
        <v>42</v>
      </c>
      <c r="B136" s="27" t="s">
        <v>450</v>
      </c>
      <c r="C136" s="27" t="s">
        <v>451</v>
      </c>
      <c r="D136" s="27" t="s">
        <v>452</v>
      </c>
      <c r="E136" s="28" t="s">
        <v>46</v>
      </c>
      <c r="F136" s="29" t="s">
        <v>46</v>
      </c>
      <c r="G136" s="30" t="s">
        <v>46</v>
      </c>
      <c r="H136" s="31"/>
      <c r="I136" s="31" t="s">
        <v>47</v>
      </c>
      <c r="J136" s="32" t="n">
        <v>1.0</v>
      </c>
      <c r="K136" s="33" t="n">
        <f>17680</f>
        <v>17680.0</v>
      </c>
      <c r="L136" s="34" t="s">
        <v>48</v>
      </c>
      <c r="M136" s="33" t="n">
        <f>18030</f>
        <v>18030.0</v>
      </c>
      <c r="N136" s="34" t="s">
        <v>84</v>
      </c>
      <c r="O136" s="33" t="n">
        <f>17050</f>
        <v>17050.0</v>
      </c>
      <c r="P136" s="34" t="s">
        <v>50</v>
      </c>
      <c r="Q136" s="33" t="n">
        <f>17800</f>
        <v>17800.0</v>
      </c>
      <c r="R136" s="34" t="s">
        <v>51</v>
      </c>
      <c r="S136" s="35" t="n">
        <f>17613.57</f>
        <v>17613.57</v>
      </c>
      <c r="T136" s="32" t="n">
        <f>3822</f>
        <v>3822.0</v>
      </c>
      <c r="U136" s="32" t="str">
        <f>"－"</f>
        <v>－</v>
      </c>
      <c r="V136" s="32" t="n">
        <f>66510860</f>
        <v>6.651086E7</v>
      </c>
      <c r="W136" s="32" t="str">
        <f>"－"</f>
        <v>－</v>
      </c>
      <c r="X136" s="36" t="n">
        <f>14</f>
        <v>14.0</v>
      </c>
    </row>
    <row r="137">
      <c r="A137" s="27" t="s">
        <v>42</v>
      </c>
      <c r="B137" s="27" t="s">
        <v>453</v>
      </c>
      <c r="C137" s="27" t="s">
        <v>454</v>
      </c>
      <c r="D137" s="27" t="s">
        <v>455</v>
      </c>
      <c r="E137" s="28" t="s">
        <v>46</v>
      </c>
      <c r="F137" s="29" t="s">
        <v>46</v>
      </c>
      <c r="G137" s="30" t="s">
        <v>46</v>
      </c>
      <c r="H137" s="31"/>
      <c r="I137" s="31" t="s">
        <v>47</v>
      </c>
      <c r="J137" s="32" t="n">
        <v>100.0</v>
      </c>
      <c r="K137" s="33" t="n">
        <f>152</f>
        <v>152.0</v>
      </c>
      <c r="L137" s="34" t="s">
        <v>48</v>
      </c>
      <c r="M137" s="33" t="n">
        <f>160</f>
        <v>160.0</v>
      </c>
      <c r="N137" s="34" t="s">
        <v>71</v>
      </c>
      <c r="O137" s="33" t="n">
        <f>151</f>
        <v>151.0</v>
      </c>
      <c r="P137" s="34" t="s">
        <v>85</v>
      </c>
      <c r="Q137" s="33" t="n">
        <f>154</f>
        <v>154.0</v>
      </c>
      <c r="R137" s="34" t="s">
        <v>51</v>
      </c>
      <c r="S137" s="35" t="n">
        <f>155.33</f>
        <v>155.33</v>
      </c>
      <c r="T137" s="32" t="n">
        <f>57129700</f>
        <v>5.71297E7</v>
      </c>
      <c r="U137" s="32" t="n">
        <f>344200</f>
        <v>344200.0</v>
      </c>
      <c r="V137" s="32" t="n">
        <f>8873391250</f>
        <v>8.87339125E9</v>
      </c>
      <c r="W137" s="32" t="n">
        <f>53309450</f>
        <v>5.330945E7</v>
      </c>
      <c r="X137" s="36" t="n">
        <f>18</f>
        <v>18.0</v>
      </c>
    </row>
    <row r="138">
      <c r="A138" s="27" t="s">
        <v>42</v>
      </c>
      <c r="B138" s="27" t="s">
        <v>456</v>
      </c>
      <c r="C138" s="27" t="s">
        <v>457</v>
      </c>
      <c r="D138" s="27" t="s">
        <v>458</v>
      </c>
      <c r="E138" s="28" t="s">
        <v>46</v>
      </c>
      <c r="F138" s="29" t="s">
        <v>46</v>
      </c>
      <c r="G138" s="30" t="s">
        <v>46</v>
      </c>
      <c r="H138" s="31"/>
      <c r="I138" s="31" t="s">
        <v>47</v>
      </c>
      <c r="J138" s="32" t="n">
        <v>1.0</v>
      </c>
      <c r="K138" s="33" t="n">
        <f>27010</f>
        <v>27010.0</v>
      </c>
      <c r="L138" s="34" t="s">
        <v>48</v>
      </c>
      <c r="M138" s="33" t="n">
        <f>28270</f>
        <v>28270.0</v>
      </c>
      <c r="N138" s="34" t="s">
        <v>309</v>
      </c>
      <c r="O138" s="33" t="n">
        <f>26890</f>
        <v>26890.0</v>
      </c>
      <c r="P138" s="34" t="s">
        <v>85</v>
      </c>
      <c r="Q138" s="33" t="n">
        <f>27590</f>
        <v>27590.0</v>
      </c>
      <c r="R138" s="34" t="s">
        <v>51</v>
      </c>
      <c r="S138" s="35" t="n">
        <f>27540.56</f>
        <v>27540.56</v>
      </c>
      <c r="T138" s="32" t="n">
        <f>1840</f>
        <v>1840.0</v>
      </c>
      <c r="U138" s="32" t="str">
        <f>"－"</f>
        <v>－</v>
      </c>
      <c r="V138" s="32" t="n">
        <f>50541970</f>
        <v>5.054197E7</v>
      </c>
      <c r="W138" s="32" t="str">
        <f>"－"</f>
        <v>－</v>
      </c>
      <c r="X138" s="36" t="n">
        <f>18</f>
        <v>18.0</v>
      </c>
    </row>
    <row r="139">
      <c r="A139" s="27" t="s">
        <v>42</v>
      </c>
      <c r="B139" s="27" t="s">
        <v>459</v>
      </c>
      <c r="C139" s="27" t="s">
        <v>460</v>
      </c>
      <c r="D139" s="27" t="s">
        <v>461</v>
      </c>
      <c r="E139" s="28" t="s">
        <v>46</v>
      </c>
      <c r="F139" s="29" t="s">
        <v>46</v>
      </c>
      <c r="G139" s="30" t="s">
        <v>46</v>
      </c>
      <c r="H139" s="31"/>
      <c r="I139" s="31" t="s">
        <v>47</v>
      </c>
      <c r="J139" s="32" t="n">
        <v>1.0</v>
      </c>
      <c r="K139" s="33" t="n">
        <f>10100</f>
        <v>10100.0</v>
      </c>
      <c r="L139" s="34" t="s">
        <v>48</v>
      </c>
      <c r="M139" s="33" t="n">
        <f>10740</f>
        <v>10740.0</v>
      </c>
      <c r="N139" s="34" t="s">
        <v>49</v>
      </c>
      <c r="O139" s="33" t="n">
        <f>9590</f>
        <v>9590.0</v>
      </c>
      <c r="P139" s="34" t="s">
        <v>287</v>
      </c>
      <c r="Q139" s="33" t="n">
        <f>9740</f>
        <v>9740.0</v>
      </c>
      <c r="R139" s="34" t="s">
        <v>51</v>
      </c>
      <c r="S139" s="35" t="n">
        <f>10041.67</f>
        <v>10041.67</v>
      </c>
      <c r="T139" s="32" t="n">
        <f>9507</f>
        <v>9507.0</v>
      </c>
      <c r="U139" s="32" t="str">
        <f>"－"</f>
        <v>－</v>
      </c>
      <c r="V139" s="32" t="n">
        <f>95878370</f>
        <v>9.587837E7</v>
      </c>
      <c r="W139" s="32" t="str">
        <f>"－"</f>
        <v>－</v>
      </c>
      <c r="X139" s="36" t="n">
        <f>18</f>
        <v>18.0</v>
      </c>
    </row>
    <row r="140">
      <c r="A140" s="27" t="s">
        <v>42</v>
      </c>
      <c r="B140" s="27" t="s">
        <v>462</v>
      </c>
      <c r="C140" s="27" t="s">
        <v>463</v>
      </c>
      <c r="D140" s="27" t="s">
        <v>464</v>
      </c>
      <c r="E140" s="28" t="s">
        <v>46</v>
      </c>
      <c r="F140" s="29" t="s">
        <v>46</v>
      </c>
      <c r="G140" s="30" t="s">
        <v>46</v>
      </c>
      <c r="H140" s="31"/>
      <c r="I140" s="31" t="s">
        <v>47</v>
      </c>
      <c r="J140" s="32" t="n">
        <v>1.0</v>
      </c>
      <c r="K140" s="33" t="n">
        <f>22620</f>
        <v>22620.0</v>
      </c>
      <c r="L140" s="34" t="s">
        <v>48</v>
      </c>
      <c r="M140" s="33" t="n">
        <f>23380</f>
        <v>23380.0</v>
      </c>
      <c r="N140" s="34" t="s">
        <v>49</v>
      </c>
      <c r="O140" s="33" t="n">
        <f>21880</f>
        <v>21880.0</v>
      </c>
      <c r="P140" s="34" t="s">
        <v>50</v>
      </c>
      <c r="Q140" s="33" t="n">
        <f>22040</f>
        <v>22040.0</v>
      </c>
      <c r="R140" s="34" t="s">
        <v>51</v>
      </c>
      <c r="S140" s="35" t="n">
        <f>22372.22</f>
        <v>22372.22</v>
      </c>
      <c r="T140" s="32" t="n">
        <f>1556</f>
        <v>1556.0</v>
      </c>
      <c r="U140" s="32" t="str">
        <f>"－"</f>
        <v>－</v>
      </c>
      <c r="V140" s="32" t="n">
        <f>35087190</f>
        <v>3.508719E7</v>
      </c>
      <c r="W140" s="32" t="str">
        <f>"－"</f>
        <v>－</v>
      </c>
      <c r="X140" s="36" t="n">
        <f>18</f>
        <v>18.0</v>
      </c>
    </row>
    <row r="141">
      <c r="A141" s="27" t="s">
        <v>42</v>
      </c>
      <c r="B141" s="27" t="s">
        <v>465</v>
      </c>
      <c r="C141" s="27" t="s">
        <v>466</v>
      </c>
      <c r="D141" s="27" t="s">
        <v>467</v>
      </c>
      <c r="E141" s="28" t="s">
        <v>46</v>
      </c>
      <c r="F141" s="29" t="s">
        <v>46</v>
      </c>
      <c r="G141" s="30" t="s">
        <v>46</v>
      </c>
      <c r="H141" s="31"/>
      <c r="I141" s="31" t="s">
        <v>47</v>
      </c>
      <c r="J141" s="32" t="n">
        <v>1.0</v>
      </c>
      <c r="K141" s="33" t="n">
        <f>27750</f>
        <v>27750.0</v>
      </c>
      <c r="L141" s="34" t="s">
        <v>48</v>
      </c>
      <c r="M141" s="33" t="n">
        <f>28500</f>
        <v>28500.0</v>
      </c>
      <c r="N141" s="34" t="s">
        <v>61</v>
      </c>
      <c r="O141" s="33" t="n">
        <f>26460</f>
        <v>26460.0</v>
      </c>
      <c r="P141" s="34" t="s">
        <v>50</v>
      </c>
      <c r="Q141" s="33" t="n">
        <f>27620</f>
        <v>27620.0</v>
      </c>
      <c r="R141" s="34" t="s">
        <v>51</v>
      </c>
      <c r="S141" s="35" t="n">
        <f>27552.22</f>
        <v>27552.22</v>
      </c>
      <c r="T141" s="32" t="n">
        <f>2051</f>
        <v>2051.0</v>
      </c>
      <c r="U141" s="32" t="str">
        <f>"－"</f>
        <v>－</v>
      </c>
      <c r="V141" s="32" t="n">
        <f>56957670</f>
        <v>5.695767E7</v>
      </c>
      <c r="W141" s="32" t="str">
        <f>"－"</f>
        <v>－</v>
      </c>
      <c r="X141" s="36" t="n">
        <f>18</f>
        <v>18.0</v>
      </c>
    </row>
    <row r="142">
      <c r="A142" s="27" t="s">
        <v>42</v>
      </c>
      <c r="B142" s="27" t="s">
        <v>468</v>
      </c>
      <c r="C142" s="27" t="s">
        <v>469</v>
      </c>
      <c r="D142" s="27" t="s">
        <v>470</v>
      </c>
      <c r="E142" s="28" t="s">
        <v>46</v>
      </c>
      <c r="F142" s="29" t="s">
        <v>46</v>
      </c>
      <c r="G142" s="30" t="s">
        <v>46</v>
      </c>
      <c r="H142" s="31"/>
      <c r="I142" s="31" t="s">
        <v>47</v>
      </c>
      <c r="J142" s="32" t="n">
        <v>1.0</v>
      </c>
      <c r="K142" s="33" t="n">
        <f>23290</f>
        <v>23290.0</v>
      </c>
      <c r="L142" s="34" t="s">
        <v>48</v>
      </c>
      <c r="M142" s="33" t="n">
        <f>23800</f>
        <v>23800.0</v>
      </c>
      <c r="N142" s="34" t="s">
        <v>49</v>
      </c>
      <c r="O142" s="33" t="n">
        <f>22600</f>
        <v>22600.0</v>
      </c>
      <c r="P142" s="34" t="s">
        <v>50</v>
      </c>
      <c r="Q142" s="33" t="n">
        <f>23110</f>
        <v>23110.0</v>
      </c>
      <c r="R142" s="34" t="s">
        <v>51</v>
      </c>
      <c r="S142" s="35" t="n">
        <f>23123.33</f>
        <v>23123.33</v>
      </c>
      <c r="T142" s="32" t="n">
        <f>4636</f>
        <v>4636.0</v>
      </c>
      <c r="U142" s="32" t="str">
        <f>"－"</f>
        <v>－</v>
      </c>
      <c r="V142" s="32" t="n">
        <f>107429090</f>
        <v>1.0742909E8</v>
      </c>
      <c r="W142" s="32" t="str">
        <f>"－"</f>
        <v>－</v>
      </c>
      <c r="X142" s="36" t="n">
        <f>18</f>
        <v>18.0</v>
      </c>
    </row>
    <row r="143">
      <c r="A143" s="27" t="s">
        <v>42</v>
      </c>
      <c r="B143" s="27" t="s">
        <v>471</v>
      </c>
      <c r="C143" s="27" t="s">
        <v>472</v>
      </c>
      <c r="D143" s="27" t="s">
        <v>473</v>
      </c>
      <c r="E143" s="28" t="s">
        <v>46</v>
      </c>
      <c r="F143" s="29" t="s">
        <v>46</v>
      </c>
      <c r="G143" s="30" t="s">
        <v>46</v>
      </c>
      <c r="H143" s="31"/>
      <c r="I143" s="31" t="s">
        <v>47</v>
      </c>
      <c r="J143" s="32" t="n">
        <v>1.0</v>
      </c>
      <c r="K143" s="33" t="n">
        <f>21850</f>
        <v>21850.0</v>
      </c>
      <c r="L143" s="34" t="s">
        <v>48</v>
      </c>
      <c r="M143" s="33" t="n">
        <f>23560</f>
        <v>23560.0</v>
      </c>
      <c r="N143" s="34" t="s">
        <v>84</v>
      </c>
      <c r="O143" s="33" t="n">
        <f>21310</f>
        <v>21310.0</v>
      </c>
      <c r="P143" s="34" t="s">
        <v>85</v>
      </c>
      <c r="Q143" s="33" t="n">
        <f>23270</f>
        <v>23270.0</v>
      </c>
      <c r="R143" s="34" t="s">
        <v>51</v>
      </c>
      <c r="S143" s="35" t="n">
        <f>22432.22</f>
        <v>22432.22</v>
      </c>
      <c r="T143" s="32" t="n">
        <f>2252</f>
        <v>2252.0</v>
      </c>
      <c r="U143" s="32" t="str">
        <f>"－"</f>
        <v>－</v>
      </c>
      <c r="V143" s="32" t="n">
        <f>50795300</f>
        <v>5.07953E7</v>
      </c>
      <c r="W143" s="32" t="str">
        <f>"－"</f>
        <v>－</v>
      </c>
      <c r="X143" s="36" t="n">
        <f>18</f>
        <v>18.0</v>
      </c>
    </row>
    <row r="144">
      <c r="A144" s="27" t="s">
        <v>42</v>
      </c>
      <c r="B144" s="27" t="s">
        <v>474</v>
      </c>
      <c r="C144" s="27" t="s">
        <v>475</v>
      </c>
      <c r="D144" s="27" t="s">
        <v>476</v>
      </c>
      <c r="E144" s="28" t="s">
        <v>46</v>
      </c>
      <c r="F144" s="29" t="s">
        <v>46</v>
      </c>
      <c r="G144" s="30" t="s">
        <v>46</v>
      </c>
      <c r="H144" s="31"/>
      <c r="I144" s="31" t="s">
        <v>47</v>
      </c>
      <c r="J144" s="32" t="n">
        <v>1.0</v>
      </c>
      <c r="K144" s="33" t="n">
        <f>16660</f>
        <v>16660.0</v>
      </c>
      <c r="L144" s="34" t="s">
        <v>48</v>
      </c>
      <c r="M144" s="33" t="n">
        <f>18350</f>
        <v>18350.0</v>
      </c>
      <c r="N144" s="34" t="s">
        <v>49</v>
      </c>
      <c r="O144" s="33" t="n">
        <f>16210</f>
        <v>16210.0</v>
      </c>
      <c r="P144" s="34" t="s">
        <v>287</v>
      </c>
      <c r="Q144" s="33" t="n">
        <f>16620</f>
        <v>16620.0</v>
      </c>
      <c r="R144" s="34" t="s">
        <v>51</v>
      </c>
      <c r="S144" s="35" t="n">
        <f>17027.78</f>
        <v>17027.78</v>
      </c>
      <c r="T144" s="32" t="n">
        <f>13586</f>
        <v>13586.0</v>
      </c>
      <c r="U144" s="32" t="str">
        <f>"－"</f>
        <v>－</v>
      </c>
      <c r="V144" s="32" t="n">
        <f>234855660</f>
        <v>2.3485566E8</v>
      </c>
      <c r="W144" s="32" t="str">
        <f>"－"</f>
        <v>－</v>
      </c>
      <c r="X144" s="36" t="n">
        <f>18</f>
        <v>18.0</v>
      </c>
    </row>
    <row r="145">
      <c r="A145" s="27" t="s">
        <v>42</v>
      </c>
      <c r="B145" s="27" t="s">
        <v>477</v>
      </c>
      <c r="C145" s="27" t="s">
        <v>478</v>
      </c>
      <c r="D145" s="27" t="s">
        <v>479</v>
      </c>
      <c r="E145" s="28" t="s">
        <v>46</v>
      </c>
      <c r="F145" s="29" t="s">
        <v>46</v>
      </c>
      <c r="G145" s="30" t="s">
        <v>46</v>
      </c>
      <c r="H145" s="31"/>
      <c r="I145" s="31" t="s">
        <v>47</v>
      </c>
      <c r="J145" s="32" t="n">
        <v>1.0</v>
      </c>
      <c r="K145" s="33" t="n">
        <f>41650</f>
        <v>41650.0</v>
      </c>
      <c r="L145" s="34" t="s">
        <v>48</v>
      </c>
      <c r="M145" s="33" t="n">
        <f>42500</f>
        <v>42500.0</v>
      </c>
      <c r="N145" s="34" t="s">
        <v>49</v>
      </c>
      <c r="O145" s="33" t="n">
        <f>39150</f>
        <v>39150.0</v>
      </c>
      <c r="P145" s="34" t="s">
        <v>480</v>
      </c>
      <c r="Q145" s="33" t="n">
        <f>40400</f>
        <v>40400.0</v>
      </c>
      <c r="R145" s="34" t="s">
        <v>51</v>
      </c>
      <c r="S145" s="35" t="n">
        <f>40444.44</f>
        <v>40444.44</v>
      </c>
      <c r="T145" s="32" t="n">
        <f>1908</f>
        <v>1908.0</v>
      </c>
      <c r="U145" s="32" t="str">
        <f>"－"</f>
        <v>－</v>
      </c>
      <c r="V145" s="32" t="n">
        <f>77079150</f>
        <v>7.707915E7</v>
      </c>
      <c r="W145" s="32" t="str">
        <f>"－"</f>
        <v>－</v>
      </c>
      <c r="X145" s="36" t="n">
        <f>18</f>
        <v>18.0</v>
      </c>
    </row>
    <row r="146">
      <c r="A146" s="27" t="s">
        <v>42</v>
      </c>
      <c r="B146" s="27" t="s">
        <v>481</v>
      </c>
      <c r="C146" s="27" t="s">
        <v>482</v>
      </c>
      <c r="D146" s="27" t="s">
        <v>483</v>
      </c>
      <c r="E146" s="28" t="s">
        <v>46</v>
      </c>
      <c r="F146" s="29" t="s">
        <v>46</v>
      </c>
      <c r="G146" s="30" t="s">
        <v>46</v>
      </c>
      <c r="H146" s="31"/>
      <c r="I146" s="31" t="s">
        <v>47</v>
      </c>
      <c r="J146" s="32" t="n">
        <v>1.0</v>
      </c>
      <c r="K146" s="33" t="n">
        <f>27900</f>
        <v>27900.0</v>
      </c>
      <c r="L146" s="34" t="s">
        <v>48</v>
      </c>
      <c r="M146" s="33" t="n">
        <f>28300</f>
        <v>28300.0</v>
      </c>
      <c r="N146" s="34" t="s">
        <v>130</v>
      </c>
      <c r="O146" s="33" t="n">
        <f>26010</f>
        <v>26010.0</v>
      </c>
      <c r="P146" s="34" t="s">
        <v>50</v>
      </c>
      <c r="Q146" s="33" t="n">
        <f>27990</f>
        <v>27990.0</v>
      </c>
      <c r="R146" s="34" t="s">
        <v>51</v>
      </c>
      <c r="S146" s="35" t="n">
        <f>27311.11</f>
        <v>27311.11</v>
      </c>
      <c r="T146" s="32" t="n">
        <f>4855</f>
        <v>4855.0</v>
      </c>
      <c r="U146" s="32" t="str">
        <f>"－"</f>
        <v>－</v>
      </c>
      <c r="V146" s="32" t="n">
        <f>131632380</f>
        <v>1.3163238E8</v>
      </c>
      <c r="W146" s="32" t="str">
        <f>"－"</f>
        <v>－</v>
      </c>
      <c r="X146" s="36" t="n">
        <f>18</f>
        <v>18.0</v>
      </c>
    </row>
    <row r="147">
      <c r="A147" s="27" t="s">
        <v>42</v>
      </c>
      <c r="B147" s="27" t="s">
        <v>484</v>
      </c>
      <c r="C147" s="27" t="s">
        <v>485</v>
      </c>
      <c r="D147" s="27" t="s">
        <v>486</v>
      </c>
      <c r="E147" s="28" t="s">
        <v>46</v>
      </c>
      <c r="F147" s="29" t="s">
        <v>46</v>
      </c>
      <c r="G147" s="30" t="s">
        <v>46</v>
      </c>
      <c r="H147" s="31"/>
      <c r="I147" s="31" t="s">
        <v>47</v>
      </c>
      <c r="J147" s="32" t="n">
        <v>1.0</v>
      </c>
      <c r="K147" s="33" t="n">
        <f>30500</f>
        <v>30500.0</v>
      </c>
      <c r="L147" s="34" t="s">
        <v>48</v>
      </c>
      <c r="M147" s="33" t="n">
        <f>31000</f>
        <v>31000.0</v>
      </c>
      <c r="N147" s="34" t="s">
        <v>49</v>
      </c>
      <c r="O147" s="33" t="n">
        <f>28660</f>
        <v>28660.0</v>
      </c>
      <c r="P147" s="34" t="s">
        <v>50</v>
      </c>
      <c r="Q147" s="33" t="n">
        <f>30200</f>
        <v>30200.0</v>
      </c>
      <c r="R147" s="34" t="s">
        <v>51</v>
      </c>
      <c r="S147" s="35" t="n">
        <f>29961.11</f>
        <v>29961.11</v>
      </c>
      <c r="T147" s="32" t="n">
        <f>3965</f>
        <v>3965.0</v>
      </c>
      <c r="U147" s="32" t="str">
        <f>"－"</f>
        <v>－</v>
      </c>
      <c r="V147" s="32" t="n">
        <f>118885840</f>
        <v>1.1888584E8</v>
      </c>
      <c r="W147" s="32" t="str">
        <f>"－"</f>
        <v>－</v>
      </c>
      <c r="X147" s="36" t="n">
        <f>18</f>
        <v>18.0</v>
      </c>
    </row>
    <row r="148">
      <c r="A148" s="27" t="s">
        <v>42</v>
      </c>
      <c r="B148" s="27" t="s">
        <v>487</v>
      </c>
      <c r="C148" s="27" t="s">
        <v>488</v>
      </c>
      <c r="D148" s="27" t="s">
        <v>489</v>
      </c>
      <c r="E148" s="28" t="s">
        <v>46</v>
      </c>
      <c r="F148" s="29" t="s">
        <v>46</v>
      </c>
      <c r="G148" s="30" t="s">
        <v>46</v>
      </c>
      <c r="H148" s="31"/>
      <c r="I148" s="31" t="s">
        <v>47</v>
      </c>
      <c r="J148" s="32" t="n">
        <v>1.0</v>
      </c>
      <c r="K148" s="33" t="n">
        <f>6400</f>
        <v>6400.0</v>
      </c>
      <c r="L148" s="34" t="s">
        <v>48</v>
      </c>
      <c r="M148" s="33" t="n">
        <f>6590</f>
        <v>6590.0</v>
      </c>
      <c r="N148" s="34" t="s">
        <v>61</v>
      </c>
      <c r="O148" s="33" t="n">
        <f>6090</f>
        <v>6090.0</v>
      </c>
      <c r="P148" s="34" t="s">
        <v>287</v>
      </c>
      <c r="Q148" s="33" t="n">
        <f>6120</f>
        <v>6120.0</v>
      </c>
      <c r="R148" s="34" t="s">
        <v>51</v>
      </c>
      <c r="S148" s="35" t="n">
        <f>6333.33</f>
        <v>6333.33</v>
      </c>
      <c r="T148" s="32" t="n">
        <f>15578</f>
        <v>15578.0</v>
      </c>
      <c r="U148" s="32" t="str">
        <f>"－"</f>
        <v>－</v>
      </c>
      <c r="V148" s="32" t="n">
        <f>98892770</f>
        <v>9.889277E7</v>
      </c>
      <c r="W148" s="32" t="str">
        <f>"－"</f>
        <v>－</v>
      </c>
      <c r="X148" s="36" t="n">
        <f>18</f>
        <v>18.0</v>
      </c>
    </row>
    <row r="149">
      <c r="A149" s="27" t="s">
        <v>42</v>
      </c>
      <c r="B149" s="27" t="s">
        <v>490</v>
      </c>
      <c r="C149" s="27" t="s">
        <v>491</v>
      </c>
      <c r="D149" s="27" t="s">
        <v>492</v>
      </c>
      <c r="E149" s="28" t="s">
        <v>46</v>
      </c>
      <c r="F149" s="29" t="s">
        <v>46</v>
      </c>
      <c r="G149" s="30" t="s">
        <v>46</v>
      </c>
      <c r="H149" s="31"/>
      <c r="I149" s="31" t="s">
        <v>47</v>
      </c>
      <c r="J149" s="32" t="n">
        <v>1.0</v>
      </c>
      <c r="K149" s="33" t="n">
        <f>15030</f>
        <v>15030.0</v>
      </c>
      <c r="L149" s="34" t="s">
        <v>48</v>
      </c>
      <c r="M149" s="33" t="n">
        <f>15330</f>
        <v>15330.0</v>
      </c>
      <c r="N149" s="34" t="s">
        <v>49</v>
      </c>
      <c r="O149" s="33" t="n">
        <f>14370</f>
        <v>14370.0</v>
      </c>
      <c r="P149" s="34" t="s">
        <v>50</v>
      </c>
      <c r="Q149" s="33" t="n">
        <f>14990</f>
        <v>14990.0</v>
      </c>
      <c r="R149" s="34" t="s">
        <v>51</v>
      </c>
      <c r="S149" s="35" t="n">
        <f>14850</f>
        <v>14850.0</v>
      </c>
      <c r="T149" s="32" t="n">
        <f>31378</f>
        <v>31378.0</v>
      </c>
      <c r="U149" s="32" t="n">
        <f>48</f>
        <v>48.0</v>
      </c>
      <c r="V149" s="32" t="n">
        <f>466383260</f>
        <v>4.6638326E8</v>
      </c>
      <c r="W149" s="32" t="n">
        <f>698400</f>
        <v>698400.0</v>
      </c>
      <c r="X149" s="36" t="n">
        <f>18</f>
        <v>18.0</v>
      </c>
    </row>
    <row r="150">
      <c r="A150" s="27" t="s">
        <v>42</v>
      </c>
      <c r="B150" s="27" t="s">
        <v>493</v>
      </c>
      <c r="C150" s="27" t="s">
        <v>494</v>
      </c>
      <c r="D150" s="27" t="s">
        <v>495</v>
      </c>
      <c r="E150" s="28" t="s">
        <v>46</v>
      </c>
      <c r="F150" s="29" t="s">
        <v>46</v>
      </c>
      <c r="G150" s="30" t="s">
        <v>46</v>
      </c>
      <c r="H150" s="31"/>
      <c r="I150" s="31" t="s">
        <v>47</v>
      </c>
      <c r="J150" s="32" t="n">
        <v>1.0</v>
      </c>
      <c r="K150" s="33" t="n">
        <f>39750</f>
        <v>39750.0</v>
      </c>
      <c r="L150" s="34" t="s">
        <v>48</v>
      </c>
      <c r="M150" s="33" t="n">
        <f>41100</f>
        <v>41100.0</v>
      </c>
      <c r="N150" s="34" t="s">
        <v>61</v>
      </c>
      <c r="O150" s="33" t="n">
        <f>38400</f>
        <v>38400.0</v>
      </c>
      <c r="P150" s="34" t="s">
        <v>50</v>
      </c>
      <c r="Q150" s="33" t="n">
        <f>39100</f>
        <v>39100.0</v>
      </c>
      <c r="R150" s="34" t="s">
        <v>51</v>
      </c>
      <c r="S150" s="35" t="n">
        <f>39294.44</f>
        <v>39294.44</v>
      </c>
      <c r="T150" s="32" t="n">
        <f>5388</f>
        <v>5388.0</v>
      </c>
      <c r="U150" s="32" t="str">
        <f>"－"</f>
        <v>－</v>
      </c>
      <c r="V150" s="32" t="n">
        <f>213194150</f>
        <v>2.1319415E8</v>
      </c>
      <c r="W150" s="32" t="str">
        <f>"－"</f>
        <v>－</v>
      </c>
      <c r="X150" s="36" t="n">
        <f>18</f>
        <v>18.0</v>
      </c>
    </row>
    <row r="151">
      <c r="A151" s="27" t="s">
        <v>42</v>
      </c>
      <c r="B151" s="27" t="s">
        <v>496</v>
      </c>
      <c r="C151" s="27" t="s">
        <v>497</v>
      </c>
      <c r="D151" s="27" t="s">
        <v>498</v>
      </c>
      <c r="E151" s="28" t="s">
        <v>46</v>
      </c>
      <c r="F151" s="29" t="s">
        <v>46</v>
      </c>
      <c r="G151" s="30" t="s">
        <v>46</v>
      </c>
      <c r="H151" s="31"/>
      <c r="I151" s="31" t="s">
        <v>47</v>
      </c>
      <c r="J151" s="32" t="n">
        <v>1.0</v>
      </c>
      <c r="K151" s="33" t="n">
        <f>23720</f>
        <v>23720.0</v>
      </c>
      <c r="L151" s="34" t="s">
        <v>130</v>
      </c>
      <c r="M151" s="33" t="n">
        <f>23760</f>
        <v>23760.0</v>
      </c>
      <c r="N151" s="34" t="s">
        <v>49</v>
      </c>
      <c r="O151" s="33" t="n">
        <f>22830</f>
        <v>22830.0</v>
      </c>
      <c r="P151" s="34" t="s">
        <v>85</v>
      </c>
      <c r="Q151" s="33" t="n">
        <f>23330</f>
        <v>23330.0</v>
      </c>
      <c r="R151" s="34" t="s">
        <v>84</v>
      </c>
      <c r="S151" s="35" t="n">
        <f>23305</f>
        <v>23305.0</v>
      </c>
      <c r="T151" s="32" t="n">
        <f>247</f>
        <v>247.0</v>
      </c>
      <c r="U151" s="32" t="str">
        <f>"－"</f>
        <v>－</v>
      </c>
      <c r="V151" s="32" t="n">
        <f>5733940</f>
        <v>5733940.0</v>
      </c>
      <c r="W151" s="32" t="str">
        <f>"－"</f>
        <v>－</v>
      </c>
      <c r="X151" s="36" t="n">
        <f>12</f>
        <v>12.0</v>
      </c>
    </row>
    <row r="152">
      <c r="A152" s="27" t="s">
        <v>42</v>
      </c>
      <c r="B152" s="27" t="s">
        <v>499</v>
      </c>
      <c r="C152" s="27" t="s">
        <v>500</v>
      </c>
      <c r="D152" s="27" t="s">
        <v>501</v>
      </c>
      <c r="E152" s="28" t="s">
        <v>46</v>
      </c>
      <c r="F152" s="29" t="s">
        <v>46</v>
      </c>
      <c r="G152" s="30" t="s">
        <v>46</v>
      </c>
      <c r="H152" s="31"/>
      <c r="I152" s="31" t="s">
        <v>47</v>
      </c>
      <c r="J152" s="32" t="n">
        <v>1.0</v>
      </c>
      <c r="K152" s="33" t="n">
        <f>7900</f>
        <v>7900.0</v>
      </c>
      <c r="L152" s="34" t="s">
        <v>48</v>
      </c>
      <c r="M152" s="33" t="n">
        <f>8310</f>
        <v>8310.0</v>
      </c>
      <c r="N152" s="34" t="s">
        <v>71</v>
      </c>
      <c r="O152" s="33" t="n">
        <f>7830</f>
        <v>7830.0</v>
      </c>
      <c r="P152" s="34" t="s">
        <v>85</v>
      </c>
      <c r="Q152" s="33" t="n">
        <f>8040</f>
        <v>8040.0</v>
      </c>
      <c r="R152" s="34" t="s">
        <v>51</v>
      </c>
      <c r="S152" s="35" t="n">
        <f>8097.22</f>
        <v>8097.22</v>
      </c>
      <c r="T152" s="32" t="n">
        <f>48452</f>
        <v>48452.0</v>
      </c>
      <c r="U152" s="32" t="str">
        <f>"－"</f>
        <v>－</v>
      </c>
      <c r="V152" s="32" t="n">
        <f>391317920</f>
        <v>3.9131792E8</v>
      </c>
      <c r="W152" s="32" t="str">
        <f>"－"</f>
        <v>－</v>
      </c>
      <c r="X152" s="36" t="n">
        <f>18</f>
        <v>18.0</v>
      </c>
    </row>
    <row r="153">
      <c r="A153" s="27" t="s">
        <v>42</v>
      </c>
      <c r="B153" s="27" t="s">
        <v>502</v>
      </c>
      <c r="C153" s="27" t="s">
        <v>503</v>
      </c>
      <c r="D153" s="27" t="s">
        <v>504</v>
      </c>
      <c r="E153" s="28" t="s">
        <v>46</v>
      </c>
      <c r="F153" s="29" t="s">
        <v>46</v>
      </c>
      <c r="G153" s="30" t="s">
        <v>46</v>
      </c>
      <c r="H153" s="31"/>
      <c r="I153" s="31" t="s">
        <v>47</v>
      </c>
      <c r="J153" s="32" t="n">
        <v>1.0</v>
      </c>
      <c r="K153" s="33" t="n">
        <f>13290</f>
        <v>13290.0</v>
      </c>
      <c r="L153" s="34" t="s">
        <v>48</v>
      </c>
      <c r="M153" s="33" t="n">
        <f>13690</f>
        <v>13690.0</v>
      </c>
      <c r="N153" s="34" t="s">
        <v>84</v>
      </c>
      <c r="O153" s="33" t="n">
        <f>12890</f>
        <v>12890.0</v>
      </c>
      <c r="P153" s="34" t="s">
        <v>85</v>
      </c>
      <c r="Q153" s="33" t="n">
        <f>13470</f>
        <v>13470.0</v>
      </c>
      <c r="R153" s="34" t="s">
        <v>51</v>
      </c>
      <c r="S153" s="35" t="n">
        <f>13435</f>
        <v>13435.0</v>
      </c>
      <c r="T153" s="32" t="n">
        <f>2771</f>
        <v>2771.0</v>
      </c>
      <c r="U153" s="32" t="str">
        <f>"－"</f>
        <v>－</v>
      </c>
      <c r="V153" s="32" t="n">
        <f>37014630</f>
        <v>3.701463E7</v>
      </c>
      <c r="W153" s="32" t="str">
        <f>"－"</f>
        <v>－</v>
      </c>
      <c r="X153" s="36" t="n">
        <f>18</f>
        <v>18.0</v>
      </c>
    </row>
    <row r="154">
      <c r="A154" s="27" t="s">
        <v>42</v>
      </c>
      <c r="B154" s="27" t="s">
        <v>505</v>
      </c>
      <c r="C154" s="27" t="s">
        <v>506</v>
      </c>
      <c r="D154" s="27" t="s">
        <v>507</v>
      </c>
      <c r="E154" s="28" t="s">
        <v>46</v>
      </c>
      <c r="F154" s="29" t="s">
        <v>46</v>
      </c>
      <c r="G154" s="30" t="s">
        <v>46</v>
      </c>
      <c r="H154" s="31"/>
      <c r="I154" s="31" t="s">
        <v>47</v>
      </c>
      <c r="J154" s="32" t="n">
        <v>1.0</v>
      </c>
      <c r="K154" s="33" t="n">
        <f>29100</f>
        <v>29100.0</v>
      </c>
      <c r="L154" s="34" t="s">
        <v>48</v>
      </c>
      <c r="M154" s="33" t="n">
        <f>30150</f>
        <v>30150.0</v>
      </c>
      <c r="N154" s="34" t="s">
        <v>61</v>
      </c>
      <c r="O154" s="33" t="n">
        <f>28020</f>
        <v>28020.0</v>
      </c>
      <c r="P154" s="34" t="s">
        <v>50</v>
      </c>
      <c r="Q154" s="33" t="n">
        <f>29350</f>
        <v>29350.0</v>
      </c>
      <c r="R154" s="34" t="s">
        <v>51</v>
      </c>
      <c r="S154" s="35" t="n">
        <f>29336.67</f>
        <v>29336.67</v>
      </c>
      <c r="T154" s="32" t="n">
        <f>2315</f>
        <v>2315.0</v>
      </c>
      <c r="U154" s="32" t="str">
        <f>"－"</f>
        <v>－</v>
      </c>
      <c r="V154" s="32" t="n">
        <f>68102890</f>
        <v>6.810289E7</v>
      </c>
      <c r="W154" s="32" t="str">
        <f>"－"</f>
        <v>－</v>
      </c>
      <c r="X154" s="36" t="n">
        <f>18</f>
        <v>18.0</v>
      </c>
    </row>
    <row r="155">
      <c r="A155" s="27" t="s">
        <v>42</v>
      </c>
      <c r="B155" s="27" t="s">
        <v>508</v>
      </c>
      <c r="C155" s="27" t="s">
        <v>509</v>
      </c>
      <c r="D155" s="27" t="s">
        <v>510</v>
      </c>
      <c r="E155" s="28" t="s">
        <v>46</v>
      </c>
      <c r="F155" s="29" t="s">
        <v>46</v>
      </c>
      <c r="G155" s="30" t="s">
        <v>46</v>
      </c>
      <c r="H155" s="31"/>
      <c r="I155" s="31" t="s">
        <v>47</v>
      </c>
      <c r="J155" s="32" t="n">
        <v>10.0</v>
      </c>
      <c r="K155" s="33" t="n">
        <f>1071</f>
        <v>1071.0</v>
      </c>
      <c r="L155" s="34" t="s">
        <v>48</v>
      </c>
      <c r="M155" s="33" t="n">
        <f>1099</f>
        <v>1099.0</v>
      </c>
      <c r="N155" s="34" t="s">
        <v>84</v>
      </c>
      <c r="O155" s="33" t="n">
        <f>1041</f>
        <v>1041.0</v>
      </c>
      <c r="P155" s="34" t="s">
        <v>85</v>
      </c>
      <c r="Q155" s="33" t="n">
        <f>1083</f>
        <v>1083.0</v>
      </c>
      <c r="R155" s="34" t="s">
        <v>51</v>
      </c>
      <c r="S155" s="35" t="n">
        <f>1075.11</f>
        <v>1075.11</v>
      </c>
      <c r="T155" s="32" t="n">
        <f>396330</f>
        <v>396330.0</v>
      </c>
      <c r="U155" s="32" t="n">
        <f>130</f>
        <v>130.0</v>
      </c>
      <c r="V155" s="32" t="n">
        <f>425776100</f>
        <v>4.257761E8</v>
      </c>
      <c r="W155" s="32" t="n">
        <f>139530</f>
        <v>139530.0</v>
      </c>
      <c r="X155" s="36" t="n">
        <f>18</f>
        <v>18.0</v>
      </c>
    </row>
    <row r="156">
      <c r="A156" s="27" t="s">
        <v>42</v>
      </c>
      <c r="B156" s="27" t="s">
        <v>511</v>
      </c>
      <c r="C156" s="27" t="s">
        <v>512</v>
      </c>
      <c r="D156" s="27" t="s">
        <v>513</v>
      </c>
      <c r="E156" s="28" t="s">
        <v>46</v>
      </c>
      <c r="F156" s="29" t="s">
        <v>46</v>
      </c>
      <c r="G156" s="30" t="s">
        <v>46</v>
      </c>
      <c r="H156" s="31"/>
      <c r="I156" s="31" t="s">
        <v>47</v>
      </c>
      <c r="J156" s="32" t="n">
        <v>10.0</v>
      </c>
      <c r="K156" s="33" t="n">
        <f>2373</f>
        <v>2373.0</v>
      </c>
      <c r="L156" s="34" t="s">
        <v>48</v>
      </c>
      <c r="M156" s="33" t="n">
        <f>2380</f>
        <v>2380.0</v>
      </c>
      <c r="N156" s="34" t="s">
        <v>51</v>
      </c>
      <c r="O156" s="33" t="n">
        <f>2280</f>
        <v>2280.0</v>
      </c>
      <c r="P156" s="34" t="s">
        <v>50</v>
      </c>
      <c r="Q156" s="33" t="n">
        <f>2380</f>
        <v>2380.0</v>
      </c>
      <c r="R156" s="34" t="s">
        <v>51</v>
      </c>
      <c r="S156" s="35" t="n">
        <f>2336.86</f>
        <v>2336.86</v>
      </c>
      <c r="T156" s="32" t="n">
        <f>580</f>
        <v>580.0</v>
      </c>
      <c r="U156" s="32" t="str">
        <f>"－"</f>
        <v>－</v>
      </c>
      <c r="V156" s="32" t="n">
        <f>1344320</f>
        <v>1344320.0</v>
      </c>
      <c r="W156" s="32" t="str">
        <f>"－"</f>
        <v>－</v>
      </c>
      <c r="X156" s="36" t="n">
        <f>7</f>
        <v>7.0</v>
      </c>
    </row>
    <row r="157">
      <c r="A157" s="27" t="s">
        <v>42</v>
      </c>
      <c r="B157" s="27" t="s">
        <v>514</v>
      </c>
      <c r="C157" s="27" t="s">
        <v>515</v>
      </c>
      <c r="D157" s="27" t="s">
        <v>516</v>
      </c>
      <c r="E157" s="28" t="s">
        <v>46</v>
      </c>
      <c r="F157" s="29" t="s">
        <v>46</v>
      </c>
      <c r="G157" s="30" t="s">
        <v>46</v>
      </c>
      <c r="H157" s="31"/>
      <c r="I157" s="31" t="s">
        <v>47</v>
      </c>
      <c r="J157" s="32" t="n">
        <v>10.0</v>
      </c>
      <c r="K157" s="33" t="n">
        <f>2442</f>
        <v>2442.0</v>
      </c>
      <c r="L157" s="34" t="s">
        <v>48</v>
      </c>
      <c r="M157" s="33" t="n">
        <f>2481</f>
        <v>2481.0</v>
      </c>
      <c r="N157" s="34" t="s">
        <v>84</v>
      </c>
      <c r="O157" s="33" t="n">
        <f>2350</f>
        <v>2350.0</v>
      </c>
      <c r="P157" s="34" t="s">
        <v>50</v>
      </c>
      <c r="Q157" s="33" t="n">
        <f>2454</f>
        <v>2454.0</v>
      </c>
      <c r="R157" s="34" t="s">
        <v>51</v>
      </c>
      <c r="S157" s="35" t="n">
        <f>2422.72</f>
        <v>2422.72</v>
      </c>
      <c r="T157" s="32" t="n">
        <f>28430</f>
        <v>28430.0</v>
      </c>
      <c r="U157" s="32" t="n">
        <f>13000</f>
        <v>13000.0</v>
      </c>
      <c r="V157" s="32" t="n">
        <f>68310770</f>
        <v>6.831077E7</v>
      </c>
      <c r="W157" s="32" t="n">
        <f>30979520</f>
        <v>3.097952E7</v>
      </c>
      <c r="X157" s="36" t="n">
        <f>18</f>
        <v>18.0</v>
      </c>
    </row>
    <row r="158">
      <c r="A158" s="27" t="s">
        <v>42</v>
      </c>
      <c r="B158" s="27" t="s">
        <v>517</v>
      </c>
      <c r="C158" s="27" t="s">
        <v>518</v>
      </c>
      <c r="D158" s="27" t="s">
        <v>519</v>
      </c>
      <c r="E158" s="28" t="s">
        <v>46</v>
      </c>
      <c r="F158" s="29" t="s">
        <v>46</v>
      </c>
      <c r="G158" s="30" t="s">
        <v>46</v>
      </c>
      <c r="H158" s="31"/>
      <c r="I158" s="31" t="s">
        <v>47</v>
      </c>
      <c r="J158" s="32" t="n">
        <v>10.0</v>
      </c>
      <c r="K158" s="33" t="n">
        <f>1477</f>
        <v>1477.0</v>
      </c>
      <c r="L158" s="34" t="s">
        <v>48</v>
      </c>
      <c r="M158" s="33" t="n">
        <f>1515</f>
        <v>1515.0</v>
      </c>
      <c r="N158" s="34" t="s">
        <v>84</v>
      </c>
      <c r="O158" s="33" t="n">
        <f>1441</f>
        <v>1441.0</v>
      </c>
      <c r="P158" s="34" t="s">
        <v>85</v>
      </c>
      <c r="Q158" s="33" t="n">
        <f>1504</f>
        <v>1504.0</v>
      </c>
      <c r="R158" s="34" t="s">
        <v>51</v>
      </c>
      <c r="S158" s="35" t="n">
        <f>1473</f>
        <v>1473.0</v>
      </c>
      <c r="T158" s="32" t="n">
        <f>910</f>
        <v>910.0</v>
      </c>
      <c r="U158" s="32" t="str">
        <f>"－"</f>
        <v>－</v>
      </c>
      <c r="V158" s="32" t="n">
        <f>1339160</f>
        <v>1339160.0</v>
      </c>
      <c r="W158" s="32" t="str">
        <f>"－"</f>
        <v>－</v>
      </c>
      <c r="X158" s="36" t="n">
        <f>11</f>
        <v>11.0</v>
      </c>
    </row>
    <row r="159">
      <c r="A159" s="27" t="s">
        <v>42</v>
      </c>
      <c r="B159" s="27" t="s">
        <v>520</v>
      </c>
      <c r="C159" s="27" t="s">
        <v>521</v>
      </c>
      <c r="D159" s="27" t="s">
        <v>522</v>
      </c>
      <c r="E159" s="28" t="s">
        <v>46</v>
      </c>
      <c r="F159" s="29" t="s">
        <v>46</v>
      </c>
      <c r="G159" s="30" t="s">
        <v>46</v>
      </c>
      <c r="H159" s="31"/>
      <c r="I159" s="31" t="s">
        <v>47</v>
      </c>
      <c r="J159" s="32" t="n">
        <v>1.0</v>
      </c>
      <c r="K159" s="33" t="n">
        <f>3260</f>
        <v>3260.0</v>
      </c>
      <c r="L159" s="34" t="s">
        <v>48</v>
      </c>
      <c r="M159" s="33" t="n">
        <f>3325</f>
        <v>3325.0</v>
      </c>
      <c r="N159" s="34" t="s">
        <v>84</v>
      </c>
      <c r="O159" s="33" t="n">
        <f>3190</f>
        <v>3190.0</v>
      </c>
      <c r="P159" s="34" t="s">
        <v>50</v>
      </c>
      <c r="Q159" s="33" t="n">
        <f>3305</f>
        <v>3305.0</v>
      </c>
      <c r="R159" s="34" t="s">
        <v>51</v>
      </c>
      <c r="S159" s="35" t="n">
        <f>3260.28</f>
        <v>3260.28</v>
      </c>
      <c r="T159" s="32" t="n">
        <f>2943553</f>
        <v>2943553.0</v>
      </c>
      <c r="U159" s="32" t="n">
        <f>137391</f>
        <v>137391.0</v>
      </c>
      <c r="V159" s="32" t="n">
        <f>9578932560</f>
        <v>9.57893256E9</v>
      </c>
      <c r="W159" s="32" t="n">
        <f>451176155</f>
        <v>4.51176155E8</v>
      </c>
      <c r="X159" s="36" t="n">
        <f>18</f>
        <v>18.0</v>
      </c>
    </row>
    <row r="160">
      <c r="A160" s="27" t="s">
        <v>42</v>
      </c>
      <c r="B160" s="27" t="s">
        <v>523</v>
      </c>
      <c r="C160" s="27" t="s">
        <v>524</v>
      </c>
      <c r="D160" s="27" t="s">
        <v>525</v>
      </c>
      <c r="E160" s="28" t="s">
        <v>46</v>
      </c>
      <c r="F160" s="29" t="s">
        <v>46</v>
      </c>
      <c r="G160" s="30" t="s">
        <v>46</v>
      </c>
      <c r="H160" s="31"/>
      <c r="I160" s="31" t="s">
        <v>47</v>
      </c>
      <c r="J160" s="32" t="n">
        <v>1.0</v>
      </c>
      <c r="K160" s="33" t="n">
        <f>2578</f>
        <v>2578.0</v>
      </c>
      <c r="L160" s="34" t="s">
        <v>48</v>
      </c>
      <c r="M160" s="33" t="n">
        <f>2605</f>
        <v>2605.0</v>
      </c>
      <c r="N160" s="34" t="s">
        <v>51</v>
      </c>
      <c r="O160" s="33" t="n">
        <f>2559</f>
        <v>2559.0</v>
      </c>
      <c r="P160" s="34" t="s">
        <v>85</v>
      </c>
      <c r="Q160" s="33" t="n">
        <f>2591</f>
        <v>2591.0</v>
      </c>
      <c r="R160" s="34" t="s">
        <v>51</v>
      </c>
      <c r="S160" s="35" t="n">
        <f>2573.5</f>
        <v>2573.5</v>
      </c>
      <c r="T160" s="32" t="n">
        <f>558021</f>
        <v>558021.0</v>
      </c>
      <c r="U160" s="32" t="n">
        <f>144918</f>
        <v>144918.0</v>
      </c>
      <c r="V160" s="32" t="n">
        <f>1435990867</f>
        <v>1.435990867E9</v>
      </c>
      <c r="W160" s="32" t="n">
        <f>371772769</f>
        <v>3.71772769E8</v>
      </c>
      <c r="X160" s="36" t="n">
        <f>18</f>
        <v>18.0</v>
      </c>
    </row>
    <row r="161">
      <c r="A161" s="27" t="s">
        <v>42</v>
      </c>
      <c r="B161" s="27" t="s">
        <v>526</v>
      </c>
      <c r="C161" s="27" t="s">
        <v>527</v>
      </c>
      <c r="D161" s="27" t="s">
        <v>528</v>
      </c>
      <c r="E161" s="28" t="s">
        <v>46</v>
      </c>
      <c r="F161" s="29" t="s">
        <v>46</v>
      </c>
      <c r="G161" s="30" t="s">
        <v>46</v>
      </c>
      <c r="H161" s="31"/>
      <c r="I161" s="31" t="s">
        <v>47</v>
      </c>
      <c r="J161" s="32" t="n">
        <v>1.0</v>
      </c>
      <c r="K161" s="33" t="n">
        <f>2926</f>
        <v>2926.0</v>
      </c>
      <c r="L161" s="34" t="s">
        <v>48</v>
      </c>
      <c r="M161" s="33" t="n">
        <f>3010</f>
        <v>3010.0</v>
      </c>
      <c r="N161" s="34" t="s">
        <v>84</v>
      </c>
      <c r="O161" s="33" t="n">
        <f>2881</f>
        <v>2881.0</v>
      </c>
      <c r="P161" s="34" t="s">
        <v>50</v>
      </c>
      <c r="Q161" s="33" t="n">
        <f>2997</f>
        <v>2997.0</v>
      </c>
      <c r="R161" s="34" t="s">
        <v>51</v>
      </c>
      <c r="S161" s="35" t="n">
        <f>2945.44</f>
        <v>2945.44</v>
      </c>
      <c r="T161" s="32" t="n">
        <f>89679</f>
        <v>89679.0</v>
      </c>
      <c r="U161" s="32" t="n">
        <f>3429</f>
        <v>3429.0</v>
      </c>
      <c r="V161" s="32" t="n">
        <f>264479549</f>
        <v>2.64479549E8</v>
      </c>
      <c r="W161" s="32" t="n">
        <f>9941591</f>
        <v>9941591.0</v>
      </c>
      <c r="X161" s="36" t="n">
        <f>18</f>
        <v>18.0</v>
      </c>
    </row>
    <row r="162">
      <c r="A162" s="27" t="s">
        <v>42</v>
      </c>
      <c r="B162" s="27" t="s">
        <v>529</v>
      </c>
      <c r="C162" s="27" t="s">
        <v>530</v>
      </c>
      <c r="D162" s="27" t="s">
        <v>531</v>
      </c>
      <c r="E162" s="28" t="s">
        <v>46</v>
      </c>
      <c r="F162" s="29" t="s">
        <v>46</v>
      </c>
      <c r="G162" s="30" t="s">
        <v>46</v>
      </c>
      <c r="H162" s="31"/>
      <c r="I162" s="31" t="s">
        <v>47</v>
      </c>
      <c r="J162" s="32" t="n">
        <v>1.0</v>
      </c>
      <c r="K162" s="33" t="n">
        <f>2371</f>
        <v>2371.0</v>
      </c>
      <c r="L162" s="34" t="s">
        <v>48</v>
      </c>
      <c r="M162" s="33" t="n">
        <f>2460</f>
        <v>2460.0</v>
      </c>
      <c r="N162" s="34" t="s">
        <v>51</v>
      </c>
      <c r="O162" s="33" t="n">
        <f>2295</f>
        <v>2295.0</v>
      </c>
      <c r="P162" s="34" t="s">
        <v>114</v>
      </c>
      <c r="Q162" s="33" t="n">
        <f>2460</f>
        <v>2460.0</v>
      </c>
      <c r="R162" s="34" t="s">
        <v>51</v>
      </c>
      <c r="S162" s="35" t="n">
        <f>2372.5</f>
        <v>2372.5</v>
      </c>
      <c r="T162" s="32" t="n">
        <f>81194</f>
        <v>81194.0</v>
      </c>
      <c r="U162" s="32" t="n">
        <f>3</f>
        <v>3.0</v>
      </c>
      <c r="V162" s="32" t="n">
        <f>192922401</f>
        <v>1.92922401E8</v>
      </c>
      <c r="W162" s="32" t="n">
        <f>7098</f>
        <v>7098.0</v>
      </c>
      <c r="X162" s="36" t="n">
        <f>18</f>
        <v>18.0</v>
      </c>
    </row>
    <row r="163">
      <c r="A163" s="27" t="s">
        <v>42</v>
      </c>
      <c r="B163" s="27" t="s">
        <v>532</v>
      </c>
      <c r="C163" s="27" t="s">
        <v>533</v>
      </c>
      <c r="D163" s="27" t="s">
        <v>534</v>
      </c>
      <c r="E163" s="28" t="s">
        <v>46</v>
      </c>
      <c r="F163" s="29" t="s">
        <v>46</v>
      </c>
      <c r="G163" s="30" t="s">
        <v>46</v>
      </c>
      <c r="H163" s="31"/>
      <c r="I163" s="31" t="s">
        <v>47</v>
      </c>
      <c r="J163" s="32" t="n">
        <v>1.0</v>
      </c>
      <c r="K163" s="33" t="n">
        <f>2247</f>
        <v>2247.0</v>
      </c>
      <c r="L163" s="34" t="s">
        <v>48</v>
      </c>
      <c r="M163" s="33" t="n">
        <f>2343</f>
        <v>2343.0</v>
      </c>
      <c r="N163" s="34" t="s">
        <v>51</v>
      </c>
      <c r="O163" s="33" t="n">
        <f>2209</f>
        <v>2209.0</v>
      </c>
      <c r="P163" s="34" t="s">
        <v>50</v>
      </c>
      <c r="Q163" s="33" t="n">
        <f>2337</f>
        <v>2337.0</v>
      </c>
      <c r="R163" s="34" t="s">
        <v>51</v>
      </c>
      <c r="S163" s="35" t="n">
        <f>2275.11</f>
        <v>2275.11</v>
      </c>
      <c r="T163" s="32" t="n">
        <f>196378</f>
        <v>196378.0</v>
      </c>
      <c r="U163" s="32" t="n">
        <f>9</f>
        <v>9.0</v>
      </c>
      <c r="V163" s="32" t="n">
        <f>445616524</f>
        <v>4.45616524E8</v>
      </c>
      <c r="W163" s="32" t="n">
        <f>20444</f>
        <v>20444.0</v>
      </c>
      <c r="X163" s="36" t="n">
        <f>18</f>
        <v>18.0</v>
      </c>
    </row>
    <row r="164">
      <c r="A164" s="27" t="s">
        <v>42</v>
      </c>
      <c r="B164" s="27" t="s">
        <v>535</v>
      </c>
      <c r="C164" s="27" t="s">
        <v>536</v>
      </c>
      <c r="D164" s="27" t="s">
        <v>537</v>
      </c>
      <c r="E164" s="28" t="s">
        <v>46</v>
      </c>
      <c r="F164" s="29" t="s">
        <v>46</v>
      </c>
      <c r="G164" s="30" t="s">
        <v>46</v>
      </c>
      <c r="H164" s="31"/>
      <c r="I164" s="31" t="s">
        <v>47</v>
      </c>
      <c r="J164" s="32" t="n">
        <v>1.0</v>
      </c>
      <c r="K164" s="33" t="n">
        <f>11880</f>
        <v>11880.0</v>
      </c>
      <c r="L164" s="34" t="s">
        <v>48</v>
      </c>
      <c r="M164" s="33" t="n">
        <f>11950</f>
        <v>11950.0</v>
      </c>
      <c r="N164" s="34" t="s">
        <v>84</v>
      </c>
      <c r="O164" s="33" t="n">
        <f>11510</f>
        <v>11510.0</v>
      </c>
      <c r="P164" s="34" t="s">
        <v>50</v>
      </c>
      <c r="Q164" s="33" t="n">
        <f>11930</f>
        <v>11930.0</v>
      </c>
      <c r="R164" s="34" t="s">
        <v>51</v>
      </c>
      <c r="S164" s="35" t="n">
        <f>11778.33</f>
        <v>11778.33</v>
      </c>
      <c r="T164" s="32" t="n">
        <f>16073</f>
        <v>16073.0</v>
      </c>
      <c r="U164" s="32" t="n">
        <f>4</f>
        <v>4.0</v>
      </c>
      <c r="V164" s="32" t="n">
        <f>189726890</f>
        <v>1.8972689E8</v>
      </c>
      <c r="W164" s="32" t="n">
        <f>47090</f>
        <v>47090.0</v>
      </c>
      <c r="X164" s="36" t="n">
        <f>18</f>
        <v>18.0</v>
      </c>
    </row>
    <row r="165">
      <c r="A165" s="27" t="s">
        <v>42</v>
      </c>
      <c r="B165" s="27" t="s">
        <v>538</v>
      </c>
      <c r="C165" s="27" t="s">
        <v>539</v>
      </c>
      <c r="D165" s="27" t="s">
        <v>540</v>
      </c>
      <c r="E165" s="28" t="s">
        <v>46</v>
      </c>
      <c r="F165" s="29" t="s">
        <v>46</v>
      </c>
      <c r="G165" s="30" t="s">
        <v>46</v>
      </c>
      <c r="H165" s="31"/>
      <c r="I165" s="31" t="s">
        <v>47</v>
      </c>
      <c r="J165" s="32" t="n">
        <v>1.0</v>
      </c>
      <c r="K165" s="33" t="n">
        <f>1363</f>
        <v>1363.0</v>
      </c>
      <c r="L165" s="34" t="s">
        <v>48</v>
      </c>
      <c r="M165" s="33" t="n">
        <f>1417</f>
        <v>1417.0</v>
      </c>
      <c r="N165" s="34" t="s">
        <v>84</v>
      </c>
      <c r="O165" s="33" t="n">
        <f>1292</f>
        <v>1292.0</v>
      </c>
      <c r="P165" s="34" t="s">
        <v>309</v>
      </c>
      <c r="Q165" s="33" t="n">
        <f>1404</f>
        <v>1404.0</v>
      </c>
      <c r="R165" s="34" t="s">
        <v>51</v>
      </c>
      <c r="S165" s="35" t="n">
        <f>1364.5</f>
        <v>1364.5</v>
      </c>
      <c r="T165" s="32" t="n">
        <f>35763817</f>
        <v>3.5763817E7</v>
      </c>
      <c r="U165" s="32" t="n">
        <f>50783</f>
        <v>50783.0</v>
      </c>
      <c r="V165" s="32" t="n">
        <f>48792496540</f>
        <v>4.879249654E10</v>
      </c>
      <c r="W165" s="32" t="n">
        <f>69418739</f>
        <v>6.9418739E7</v>
      </c>
      <c r="X165" s="36" t="n">
        <f>18</f>
        <v>18.0</v>
      </c>
    </row>
    <row r="166">
      <c r="A166" s="27" t="s">
        <v>42</v>
      </c>
      <c r="B166" s="27" t="s">
        <v>541</v>
      </c>
      <c r="C166" s="27" t="s">
        <v>542</v>
      </c>
      <c r="D166" s="27" t="s">
        <v>543</v>
      </c>
      <c r="E166" s="28" t="s">
        <v>46</v>
      </c>
      <c r="F166" s="29" t="s">
        <v>46</v>
      </c>
      <c r="G166" s="30" t="s">
        <v>46</v>
      </c>
      <c r="H166" s="31"/>
      <c r="I166" s="31" t="s">
        <v>47</v>
      </c>
      <c r="J166" s="32" t="n">
        <v>1.0</v>
      </c>
      <c r="K166" s="33" t="n">
        <f>18110</f>
        <v>18110.0</v>
      </c>
      <c r="L166" s="34" t="s">
        <v>48</v>
      </c>
      <c r="M166" s="33" t="n">
        <f>19800</f>
        <v>19800.0</v>
      </c>
      <c r="N166" s="34" t="s">
        <v>51</v>
      </c>
      <c r="O166" s="33" t="n">
        <f>18110</f>
        <v>18110.0</v>
      </c>
      <c r="P166" s="34" t="s">
        <v>48</v>
      </c>
      <c r="Q166" s="33" t="n">
        <f>19790</f>
        <v>19790.0</v>
      </c>
      <c r="R166" s="34" t="s">
        <v>51</v>
      </c>
      <c r="S166" s="35" t="n">
        <f>19187.22</f>
        <v>19187.22</v>
      </c>
      <c r="T166" s="32" t="n">
        <f>7767</f>
        <v>7767.0</v>
      </c>
      <c r="U166" s="32" t="str">
        <f>"－"</f>
        <v>－</v>
      </c>
      <c r="V166" s="32" t="n">
        <f>147524580</f>
        <v>1.4752458E8</v>
      </c>
      <c r="W166" s="32" t="str">
        <f>"－"</f>
        <v>－</v>
      </c>
      <c r="X166" s="36" t="n">
        <f>18</f>
        <v>18.0</v>
      </c>
    </row>
    <row r="167">
      <c r="A167" s="27" t="s">
        <v>42</v>
      </c>
      <c r="B167" s="27" t="s">
        <v>544</v>
      </c>
      <c r="C167" s="27" t="s">
        <v>545</v>
      </c>
      <c r="D167" s="27" t="s">
        <v>546</v>
      </c>
      <c r="E167" s="28" t="s">
        <v>46</v>
      </c>
      <c r="F167" s="29" t="s">
        <v>46</v>
      </c>
      <c r="G167" s="30" t="s">
        <v>46</v>
      </c>
      <c r="H167" s="31"/>
      <c r="I167" s="31" t="s">
        <v>47</v>
      </c>
      <c r="J167" s="32" t="n">
        <v>10.0</v>
      </c>
      <c r="K167" s="33" t="n">
        <f>2665</f>
        <v>2665.0</v>
      </c>
      <c r="L167" s="34" t="s">
        <v>48</v>
      </c>
      <c r="M167" s="33" t="n">
        <f>2925</f>
        <v>2925.0</v>
      </c>
      <c r="N167" s="34" t="s">
        <v>335</v>
      </c>
      <c r="O167" s="33" t="n">
        <f>2648</f>
        <v>2648.0</v>
      </c>
      <c r="P167" s="34" t="s">
        <v>48</v>
      </c>
      <c r="Q167" s="33" t="n">
        <f>2865</f>
        <v>2865.0</v>
      </c>
      <c r="R167" s="34" t="s">
        <v>51</v>
      </c>
      <c r="S167" s="35" t="n">
        <f>2809.56</f>
        <v>2809.56</v>
      </c>
      <c r="T167" s="32" t="n">
        <f>53940</f>
        <v>53940.0</v>
      </c>
      <c r="U167" s="32" t="str">
        <f>"－"</f>
        <v>－</v>
      </c>
      <c r="V167" s="32" t="n">
        <f>150385030</f>
        <v>1.5038503E8</v>
      </c>
      <c r="W167" s="32" t="str">
        <f>"－"</f>
        <v>－</v>
      </c>
      <c r="X167" s="36" t="n">
        <f>18</f>
        <v>18.0</v>
      </c>
    </row>
    <row r="168">
      <c r="A168" s="27" t="s">
        <v>42</v>
      </c>
      <c r="B168" s="27" t="s">
        <v>547</v>
      </c>
      <c r="C168" s="27" t="s">
        <v>548</v>
      </c>
      <c r="D168" s="27" t="s">
        <v>549</v>
      </c>
      <c r="E168" s="28" t="s">
        <v>46</v>
      </c>
      <c r="F168" s="29" t="s">
        <v>46</v>
      </c>
      <c r="G168" s="30" t="s">
        <v>46</v>
      </c>
      <c r="H168" s="31"/>
      <c r="I168" s="31" t="s">
        <v>47</v>
      </c>
      <c r="J168" s="32" t="n">
        <v>1.0</v>
      </c>
      <c r="K168" s="33" t="n">
        <f>12380</f>
        <v>12380.0</v>
      </c>
      <c r="L168" s="34" t="s">
        <v>48</v>
      </c>
      <c r="M168" s="33" t="n">
        <f>12840</f>
        <v>12840.0</v>
      </c>
      <c r="N168" s="34" t="s">
        <v>49</v>
      </c>
      <c r="O168" s="33" t="n">
        <f>11770</f>
        <v>11770.0</v>
      </c>
      <c r="P168" s="34" t="s">
        <v>173</v>
      </c>
      <c r="Q168" s="33" t="n">
        <f>12100</f>
        <v>12100.0</v>
      </c>
      <c r="R168" s="34" t="s">
        <v>51</v>
      </c>
      <c r="S168" s="35" t="n">
        <f>12373.89</f>
        <v>12373.89</v>
      </c>
      <c r="T168" s="32" t="n">
        <f>4368</f>
        <v>4368.0</v>
      </c>
      <c r="U168" s="32" t="str">
        <f>"－"</f>
        <v>－</v>
      </c>
      <c r="V168" s="32" t="n">
        <f>54057310</f>
        <v>5.405731E7</v>
      </c>
      <c r="W168" s="32" t="str">
        <f>"－"</f>
        <v>－</v>
      </c>
      <c r="X168" s="36" t="n">
        <f>18</f>
        <v>18.0</v>
      </c>
    </row>
    <row r="169">
      <c r="A169" s="27" t="s">
        <v>42</v>
      </c>
      <c r="B169" s="27" t="s">
        <v>550</v>
      </c>
      <c r="C169" s="27" t="s">
        <v>551</v>
      </c>
      <c r="D169" s="27" t="s">
        <v>552</v>
      </c>
      <c r="E169" s="28" t="s">
        <v>46</v>
      </c>
      <c r="F169" s="29" t="s">
        <v>46</v>
      </c>
      <c r="G169" s="30" t="s">
        <v>46</v>
      </c>
      <c r="H169" s="31"/>
      <c r="I169" s="31" t="s">
        <v>47</v>
      </c>
      <c r="J169" s="32" t="n">
        <v>1.0</v>
      </c>
      <c r="K169" s="33" t="n">
        <f>30150</f>
        <v>30150.0</v>
      </c>
      <c r="L169" s="34" t="s">
        <v>48</v>
      </c>
      <c r="M169" s="33" t="n">
        <f>30900</f>
        <v>30900.0</v>
      </c>
      <c r="N169" s="34" t="s">
        <v>130</v>
      </c>
      <c r="O169" s="33" t="n">
        <f>27620</f>
        <v>27620.0</v>
      </c>
      <c r="P169" s="34" t="s">
        <v>173</v>
      </c>
      <c r="Q169" s="33" t="n">
        <f>28910</f>
        <v>28910.0</v>
      </c>
      <c r="R169" s="34" t="s">
        <v>51</v>
      </c>
      <c r="S169" s="35" t="n">
        <f>29264.44</f>
        <v>29264.44</v>
      </c>
      <c r="T169" s="32" t="n">
        <f>1413</f>
        <v>1413.0</v>
      </c>
      <c r="U169" s="32" t="str">
        <f>"－"</f>
        <v>－</v>
      </c>
      <c r="V169" s="32" t="n">
        <f>41660560</f>
        <v>4.166056E7</v>
      </c>
      <c r="W169" s="32" t="str">
        <f>"－"</f>
        <v>－</v>
      </c>
      <c r="X169" s="36" t="n">
        <f>18</f>
        <v>18.0</v>
      </c>
    </row>
    <row r="170">
      <c r="A170" s="27" t="s">
        <v>42</v>
      </c>
      <c r="B170" s="27" t="s">
        <v>553</v>
      </c>
      <c r="C170" s="27" t="s">
        <v>554</v>
      </c>
      <c r="D170" s="27" t="s">
        <v>555</v>
      </c>
      <c r="E170" s="28" t="s">
        <v>46</v>
      </c>
      <c r="F170" s="29" t="s">
        <v>46</v>
      </c>
      <c r="G170" s="30" t="s">
        <v>46</v>
      </c>
      <c r="H170" s="31"/>
      <c r="I170" s="31" t="s">
        <v>47</v>
      </c>
      <c r="J170" s="32" t="n">
        <v>1.0</v>
      </c>
      <c r="K170" s="33" t="n">
        <f>18540</f>
        <v>18540.0</v>
      </c>
      <c r="L170" s="34" t="s">
        <v>48</v>
      </c>
      <c r="M170" s="33" t="n">
        <f>19110</f>
        <v>19110.0</v>
      </c>
      <c r="N170" s="34" t="s">
        <v>335</v>
      </c>
      <c r="O170" s="33" t="n">
        <f>17470</f>
        <v>17470.0</v>
      </c>
      <c r="P170" s="34" t="s">
        <v>114</v>
      </c>
      <c r="Q170" s="33" t="n">
        <f>17990</f>
        <v>17990.0</v>
      </c>
      <c r="R170" s="34" t="s">
        <v>287</v>
      </c>
      <c r="S170" s="35" t="n">
        <f>18445</f>
        <v>18445.0</v>
      </c>
      <c r="T170" s="32" t="n">
        <f>61</f>
        <v>61.0</v>
      </c>
      <c r="U170" s="32" t="str">
        <f>"－"</f>
        <v>－</v>
      </c>
      <c r="V170" s="32" t="n">
        <f>1128040</f>
        <v>1128040.0</v>
      </c>
      <c r="W170" s="32" t="str">
        <f>"－"</f>
        <v>－</v>
      </c>
      <c r="X170" s="36" t="n">
        <f>10</f>
        <v>10.0</v>
      </c>
    </row>
    <row r="171">
      <c r="A171" s="27" t="s">
        <v>42</v>
      </c>
      <c r="B171" s="27" t="s">
        <v>556</v>
      </c>
      <c r="C171" s="27" t="s">
        <v>557</v>
      </c>
      <c r="D171" s="27" t="s">
        <v>558</v>
      </c>
      <c r="E171" s="28" t="s">
        <v>46</v>
      </c>
      <c r="F171" s="29" t="s">
        <v>46</v>
      </c>
      <c r="G171" s="30" t="s">
        <v>46</v>
      </c>
      <c r="H171" s="31"/>
      <c r="I171" s="31" t="s">
        <v>47</v>
      </c>
      <c r="J171" s="32" t="n">
        <v>10.0</v>
      </c>
      <c r="K171" s="33" t="n">
        <f>51500</f>
        <v>51500.0</v>
      </c>
      <c r="L171" s="34" t="s">
        <v>48</v>
      </c>
      <c r="M171" s="33" t="n">
        <f>52100</f>
        <v>52100.0</v>
      </c>
      <c r="N171" s="34" t="s">
        <v>51</v>
      </c>
      <c r="O171" s="33" t="n">
        <f>51300</f>
        <v>51300.0</v>
      </c>
      <c r="P171" s="34" t="s">
        <v>85</v>
      </c>
      <c r="Q171" s="33" t="n">
        <f>52000</f>
        <v>52000.0</v>
      </c>
      <c r="R171" s="34" t="s">
        <v>51</v>
      </c>
      <c r="S171" s="35" t="n">
        <f>51550</f>
        <v>51550.0</v>
      </c>
      <c r="T171" s="32" t="n">
        <f>20100</f>
        <v>20100.0</v>
      </c>
      <c r="U171" s="32" t="n">
        <f>15600</f>
        <v>15600.0</v>
      </c>
      <c r="V171" s="32" t="n">
        <f>1035655120</f>
        <v>1.03565512E9</v>
      </c>
      <c r="W171" s="32" t="n">
        <f>803518120</f>
        <v>8.0351812E8</v>
      </c>
      <c r="X171" s="36" t="n">
        <f>18</f>
        <v>18.0</v>
      </c>
    </row>
    <row r="172">
      <c r="A172" s="27" t="s">
        <v>42</v>
      </c>
      <c r="B172" s="27" t="s">
        <v>559</v>
      </c>
      <c r="C172" s="27" t="s">
        <v>560</v>
      </c>
      <c r="D172" s="27" t="s">
        <v>561</v>
      </c>
      <c r="E172" s="28" t="s">
        <v>46</v>
      </c>
      <c r="F172" s="29" t="s">
        <v>46</v>
      </c>
      <c r="G172" s="30" t="s">
        <v>46</v>
      </c>
      <c r="H172" s="31"/>
      <c r="I172" s="31" t="s">
        <v>47</v>
      </c>
      <c r="J172" s="32" t="n">
        <v>100.0</v>
      </c>
      <c r="K172" s="33" t="n">
        <f>193</f>
        <v>193.0</v>
      </c>
      <c r="L172" s="34" t="s">
        <v>48</v>
      </c>
      <c r="M172" s="33" t="n">
        <f>209</f>
        <v>209.0</v>
      </c>
      <c r="N172" s="34" t="s">
        <v>51</v>
      </c>
      <c r="O172" s="33" t="n">
        <f>191</f>
        <v>191.0</v>
      </c>
      <c r="P172" s="34" t="s">
        <v>50</v>
      </c>
      <c r="Q172" s="33" t="n">
        <f>209</f>
        <v>209.0</v>
      </c>
      <c r="R172" s="34" t="s">
        <v>51</v>
      </c>
      <c r="S172" s="35" t="n">
        <f>199.33</f>
        <v>199.33</v>
      </c>
      <c r="T172" s="32" t="n">
        <f>8527000</f>
        <v>8527000.0</v>
      </c>
      <c r="U172" s="32" t="n">
        <f>25900</f>
        <v>25900.0</v>
      </c>
      <c r="V172" s="32" t="n">
        <f>1706273500</f>
        <v>1.7062735E9</v>
      </c>
      <c r="W172" s="32" t="n">
        <f>5154000</f>
        <v>5154000.0</v>
      </c>
      <c r="X172" s="36" t="n">
        <f>18</f>
        <v>18.0</v>
      </c>
    </row>
    <row r="173">
      <c r="A173" s="27" t="s">
        <v>42</v>
      </c>
      <c r="B173" s="27" t="s">
        <v>562</v>
      </c>
      <c r="C173" s="27" t="s">
        <v>563</v>
      </c>
      <c r="D173" s="27" t="s">
        <v>564</v>
      </c>
      <c r="E173" s="28" t="s">
        <v>46</v>
      </c>
      <c r="F173" s="29" t="s">
        <v>46</v>
      </c>
      <c r="G173" s="30" t="s">
        <v>46</v>
      </c>
      <c r="H173" s="31"/>
      <c r="I173" s="31" t="s">
        <v>47</v>
      </c>
      <c r="J173" s="32" t="n">
        <v>10.0</v>
      </c>
      <c r="K173" s="33" t="n">
        <f>32850</f>
        <v>32850.0</v>
      </c>
      <c r="L173" s="34" t="s">
        <v>48</v>
      </c>
      <c r="M173" s="33" t="n">
        <f>33550</f>
        <v>33550.0</v>
      </c>
      <c r="N173" s="34" t="s">
        <v>84</v>
      </c>
      <c r="O173" s="33" t="n">
        <f>32350</f>
        <v>32350.0</v>
      </c>
      <c r="P173" s="34" t="s">
        <v>50</v>
      </c>
      <c r="Q173" s="33" t="n">
        <f>33450</f>
        <v>33450.0</v>
      </c>
      <c r="R173" s="34" t="s">
        <v>51</v>
      </c>
      <c r="S173" s="35" t="n">
        <f>32969.44</f>
        <v>32969.44</v>
      </c>
      <c r="T173" s="32" t="n">
        <f>10820</f>
        <v>10820.0</v>
      </c>
      <c r="U173" s="32" t="n">
        <f>40</f>
        <v>40.0</v>
      </c>
      <c r="V173" s="32" t="n">
        <f>356444500</f>
        <v>3.564445E8</v>
      </c>
      <c r="W173" s="32" t="n">
        <f>1314000</f>
        <v>1314000.0</v>
      </c>
      <c r="X173" s="36" t="n">
        <f>18</f>
        <v>18.0</v>
      </c>
    </row>
    <row r="174">
      <c r="A174" s="27" t="s">
        <v>42</v>
      </c>
      <c r="B174" s="27" t="s">
        <v>565</v>
      </c>
      <c r="C174" s="27" t="s">
        <v>566</v>
      </c>
      <c r="D174" s="27" t="s">
        <v>567</v>
      </c>
      <c r="E174" s="28" t="s">
        <v>46</v>
      </c>
      <c r="F174" s="29" t="s">
        <v>46</v>
      </c>
      <c r="G174" s="30" t="s">
        <v>46</v>
      </c>
      <c r="H174" s="31"/>
      <c r="I174" s="31" t="s">
        <v>47</v>
      </c>
      <c r="J174" s="32" t="n">
        <v>10.0</v>
      </c>
      <c r="K174" s="33" t="n">
        <f>3355</f>
        <v>3355.0</v>
      </c>
      <c r="L174" s="34" t="s">
        <v>48</v>
      </c>
      <c r="M174" s="33" t="n">
        <f>3445</f>
        <v>3445.0</v>
      </c>
      <c r="N174" s="34" t="s">
        <v>84</v>
      </c>
      <c r="O174" s="33" t="n">
        <f>3295</f>
        <v>3295.0</v>
      </c>
      <c r="P174" s="34" t="s">
        <v>50</v>
      </c>
      <c r="Q174" s="33" t="n">
        <f>3430</f>
        <v>3430.0</v>
      </c>
      <c r="R174" s="34" t="s">
        <v>51</v>
      </c>
      <c r="S174" s="35" t="n">
        <f>3369.44</f>
        <v>3369.44</v>
      </c>
      <c r="T174" s="32" t="n">
        <f>63410</f>
        <v>63410.0</v>
      </c>
      <c r="U174" s="32" t="n">
        <f>40</f>
        <v>40.0</v>
      </c>
      <c r="V174" s="32" t="n">
        <f>213383300</f>
        <v>2.133833E8</v>
      </c>
      <c r="W174" s="32" t="n">
        <f>135850</f>
        <v>135850.0</v>
      </c>
      <c r="X174" s="36" t="n">
        <f>18</f>
        <v>18.0</v>
      </c>
    </row>
    <row r="175">
      <c r="A175" s="27" t="s">
        <v>42</v>
      </c>
      <c r="B175" s="27" t="s">
        <v>568</v>
      </c>
      <c r="C175" s="27" t="s">
        <v>569</v>
      </c>
      <c r="D175" s="27" t="s">
        <v>570</v>
      </c>
      <c r="E175" s="28" t="s">
        <v>46</v>
      </c>
      <c r="F175" s="29" t="s">
        <v>46</v>
      </c>
      <c r="G175" s="30" t="s">
        <v>46</v>
      </c>
      <c r="H175" s="31"/>
      <c r="I175" s="31" t="s">
        <v>47</v>
      </c>
      <c r="J175" s="32" t="n">
        <v>10.0</v>
      </c>
      <c r="K175" s="33" t="n">
        <f>1826</f>
        <v>1826.0</v>
      </c>
      <c r="L175" s="34" t="s">
        <v>48</v>
      </c>
      <c r="M175" s="33" t="n">
        <f>1884</f>
        <v>1884.0</v>
      </c>
      <c r="N175" s="34" t="s">
        <v>51</v>
      </c>
      <c r="O175" s="33" t="n">
        <f>1779</f>
        <v>1779.0</v>
      </c>
      <c r="P175" s="34" t="s">
        <v>114</v>
      </c>
      <c r="Q175" s="33" t="n">
        <f>1881</f>
        <v>1881.0</v>
      </c>
      <c r="R175" s="34" t="s">
        <v>51</v>
      </c>
      <c r="S175" s="35" t="n">
        <f>1827.06</f>
        <v>1827.06</v>
      </c>
      <c r="T175" s="32" t="n">
        <f>190120</f>
        <v>190120.0</v>
      </c>
      <c r="U175" s="32" t="n">
        <f>100</f>
        <v>100.0</v>
      </c>
      <c r="V175" s="32" t="n">
        <f>350604100</f>
        <v>3.506041E8</v>
      </c>
      <c r="W175" s="32" t="n">
        <f>182740</f>
        <v>182740.0</v>
      </c>
      <c r="X175" s="36" t="n">
        <f>18</f>
        <v>18.0</v>
      </c>
    </row>
    <row r="176">
      <c r="A176" s="27" t="s">
        <v>42</v>
      </c>
      <c r="B176" s="27" t="s">
        <v>571</v>
      </c>
      <c r="C176" s="27" t="s">
        <v>572</v>
      </c>
      <c r="D176" s="27" t="s">
        <v>573</v>
      </c>
      <c r="E176" s="28" t="s">
        <v>46</v>
      </c>
      <c r="F176" s="29" t="s">
        <v>46</v>
      </c>
      <c r="G176" s="30" t="s">
        <v>46</v>
      </c>
      <c r="H176" s="31"/>
      <c r="I176" s="31" t="s">
        <v>47</v>
      </c>
      <c r="J176" s="32" t="n">
        <v>100.0</v>
      </c>
      <c r="K176" s="33" t="n">
        <f>227</f>
        <v>227.0</v>
      </c>
      <c r="L176" s="34" t="s">
        <v>48</v>
      </c>
      <c r="M176" s="33" t="n">
        <f>237</f>
        <v>237.0</v>
      </c>
      <c r="N176" s="34" t="s">
        <v>49</v>
      </c>
      <c r="O176" s="33" t="n">
        <f>216</f>
        <v>216.0</v>
      </c>
      <c r="P176" s="34" t="s">
        <v>173</v>
      </c>
      <c r="Q176" s="33" t="n">
        <f>222</f>
        <v>222.0</v>
      </c>
      <c r="R176" s="34" t="s">
        <v>51</v>
      </c>
      <c r="S176" s="35" t="n">
        <f>227.33</f>
        <v>227.33</v>
      </c>
      <c r="T176" s="32" t="n">
        <f>482500</f>
        <v>482500.0</v>
      </c>
      <c r="U176" s="32" t="str">
        <f>"－"</f>
        <v>－</v>
      </c>
      <c r="V176" s="32" t="n">
        <f>109374200</f>
        <v>1.093742E8</v>
      </c>
      <c r="W176" s="32" t="str">
        <f>"－"</f>
        <v>－</v>
      </c>
      <c r="X176" s="36" t="n">
        <f>18</f>
        <v>18.0</v>
      </c>
    </row>
    <row r="177">
      <c r="A177" s="27" t="s">
        <v>42</v>
      </c>
      <c r="B177" s="27" t="s">
        <v>574</v>
      </c>
      <c r="C177" s="27" t="s">
        <v>575</v>
      </c>
      <c r="D177" s="27" t="s">
        <v>576</v>
      </c>
      <c r="E177" s="28" t="s">
        <v>46</v>
      </c>
      <c r="F177" s="29" t="s">
        <v>46</v>
      </c>
      <c r="G177" s="30" t="s">
        <v>46</v>
      </c>
      <c r="H177" s="31"/>
      <c r="I177" s="31" t="s">
        <v>47</v>
      </c>
      <c r="J177" s="32" t="n">
        <v>10.0</v>
      </c>
      <c r="K177" s="33" t="n">
        <f>1020</f>
        <v>1020.0</v>
      </c>
      <c r="L177" s="34" t="s">
        <v>48</v>
      </c>
      <c r="M177" s="33" t="n">
        <f>1258</f>
        <v>1258.0</v>
      </c>
      <c r="N177" s="34" t="s">
        <v>231</v>
      </c>
      <c r="O177" s="33" t="n">
        <f>1020</f>
        <v>1020.0</v>
      </c>
      <c r="P177" s="34" t="s">
        <v>48</v>
      </c>
      <c r="Q177" s="33" t="n">
        <f>1069</f>
        <v>1069.0</v>
      </c>
      <c r="R177" s="34" t="s">
        <v>51</v>
      </c>
      <c r="S177" s="35" t="n">
        <f>1045.86</f>
        <v>1045.86</v>
      </c>
      <c r="T177" s="32" t="n">
        <f>2890</f>
        <v>2890.0</v>
      </c>
      <c r="U177" s="32" t="str">
        <f>"－"</f>
        <v>－</v>
      </c>
      <c r="V177" s="32" t="n">
        <f>3099830</f>
        <v>3099830.0</v>
      </c>
      <c r="W177" s="32" t="str">
        <f>"－"</f>
        <v>－</v>
      </c>
      <c r="X177" s="36" t="n">
        <f>14</f>
        <v>14.0</v>
      </c>
    </row>
    <row r="178">
      <c r="A178" s="27" t="s">
        <v>42</v>
      </c>
      <c r="B178" s="27" t="s">
        <v>577</v>
      </c>
      <c r="C178" s="27" t="s">
        <v>578</v>
      </c>
      <c r="D178" s="27" t="s">
        <v>579</v>
      </c>
      <c r="E178" s="28" t="s">
        <v>46</v>
      </c>
      <c r="F178" s="29" t="s">
        <v>46</v>
      </c>
      <c r="G178" s="30" t="s">
        <v>46</v>
      </c>
      <c r="H178" s="31"/>
      <c r="I178" s="31" t="s">
        <v>47</v>
      </c>
      <c r="J178" s="32" t="n">
        <v>10.0</v>
      </c>
      <c r="K178" s="33" t="n">
        <f>301</f>
        <v>301.0</v>
      </c>
      <c r="L178" s="34" t="s">
        <v>48</v>
      </c>
      <c r="M178" s="33" t="n">
        <f>319</f>
        <v>319.0</v>
      </c>
      <c r="N178" s="34" t="s">
        <v>335</v>
      </c>
      <c r="O178" s="33" t="n">
        <f>292</f>
        <v>292.0</v>
      </c>
      <c r="P178" s="34" t="s">
        <v>61</v>
      </c>
      <c r="Q178" s="33" t="n">
        <f>308</f>
        <v>308.0</v>
      </c>
      <c r="R178" s="34" t="s">
        <v>51</v>
      </c>
      <c r="S178" s="35" t="n">
        <f>304.22</f>
        <v>304.22</v>
      </c>
      <c r="T178" s="32" t="n">
        <f>28730</f>
        <v>28730.0</v>
      </c>
      <c r="U178" s="32" t="str">
        <f>"－"</f>
        <v>－</v>
      </c>
      <c r="V178" s="32" t="n">
        <f>8738620</f>
        <v>8738620.0</v>
      </c>
      <c r="W178" s="32" t="str">
        <f>"－"</f>
        <v>－</v>
      </c>
      <c r="X178" s="36" t="n">
        <f>18</f>
        <v>18.0</v>
      </c>
    </row>
    <row r="179">
      <c r="A179" s="27" t="s">
        <v>42</v>
      </c>
      <c r="B179" s="27" t="s">
        <v>580</v>
      </c>
      <c r="C179" s="27" t="s">
        <v>581</v>
      </c>
      <c r="D179" s="27" t="s">
        <v>582</v>
      </c>
      <c r="E179" s="28" t="s">
        <v>46</v>
      </c>
      <c r="F179" s="29" t="s">
        <v>46</v>
      </c>
      <c r="G179" s="30" t="s">
        <v>46</v>
      </c>
      <c r="H179" s="31"/>
      <c r="I179" s="31" t="s">
        <v>47</v>
      </c>
      <c r="J179" s="32" t="n">
        <v>10.0</v>
      </c>
      <c r="K179" s="33" t="n">
        <f>1681</f>
        <v>1681.0</v>
      </c>
      <c r="L179" s="34" t="s">
        <v>48</v>
      </c>
      <c r="M179" s="33" t="n">
        <f>2020</f>
        <v>2020.0</v>
      </c>
      <c r="N179" s="34" t="s">
        <v>130</v>
      </c>
      <c r="O179" s="33" t="n">
        <f>1651</f>
        <v>1651.0</v>
      </c>
      <c r="P179" s="34" t="s">
        <v>287</v>
      </c>
      <c r="Q179" s="33" t="n">
        <f>1725</f>
        <v>1725.0</v>
      </c>
      <c r="R179" s="34" t="s">
        <v>51</v>
      </c>
      <c r="S179" s="35" t="n">
        <f>1723.39</f>
        <v>1723.39</v>
      </c>
      <c r="T179" s="32" t="n">
        <f>10600</f>
        <v>10600.0</v>
      </c>
      <c r="U179" s="32" t="str">
        <f>"－"</f>
        <v>－</v>
      </c>
      <c r="V179" s="32" t="n">
        <f>18595660</f>
        <v>1.859566E7</v>
      </c>
      <c r="W179" s="32" t="str">
        <f>"－"</f>
        <v>－</v>
      </c>
      <c r="X179" s="36" t="n">
        <f>18</f>
        <v>18.0</v>
      </c>
    </row>
    <row r="180">
      <c r="A180" s="27" t="s">
        <v>42</v>
      </c>
      <c r="B180" s="27" t="s">
        <v>583</v>
      </c>
      <c r="C180" s="27" t="s">
        <v>584</v>
      </c>
      <c r="D180" s="27" t="s">
        <v>585</v>
      </c>
      <c r="E180" s="28" t="s">
        <v>46</v>
      </c>
      <c r="F180" s="29" t="s">
        <v>46</v>
      </c>
      <c r="G180" s="30" t="s">
        <v>46</v>
      </c>
      <c r="H180" s="31"/>
      <c r="I180" s="31" t="s">
        <v>47</v>
      </c>
      <c r="J180" s="32" t="n">
        <v>10.0</v>
      </c>
      <c r="K180" s="33" t="n">
        <f>655</f>
        <v>655.0</v>
      </c>
      <c r="L180" s="34" t="s">
        <v>48</v>
      </c>
      <c r="M180" s="33" t="n">
        <f>669</f>
        <v>669.0</v>
      </c>
      <c r="N180" s="34" t="s">
        <v>130</v>
      </c>
      <c r="O180" s="33" t="n">
        <f>594</f>
        <v>594.0</v>
      </c>
      <c r="P180" s="34" t="s">
        <v>101</v>
      </c>
      <c r="Q180" s="33" t="n">
        <f>630</f>
        <v>630.0</v>
      </c>
      <c r="R180" s="34" t="s">
        <v>51</v>
      </c>
      <c r="S180" s="35" t="n">
        <f>633.56</f>
        <v>633.56</v>
      </c>
      <c r="T180" s="32" t="n">
        <f>127740</f>
        <v>127740.0</v>
      </c>
      <c r="U180" s="32" t="str">
        <f>"－"</f>
        <v>－</v>
      </c>
      <c r="V180" s="32" t="n">
        <f>81799250</f>
        <v>8.179925E7</v>
      </c>
      <c r="W180" s="32" t="str">
        <f>"－"</f>
        <v>－</v>
      </c>
      <c r="X180" s="36" t="n">
        <f>18</f>
        <v>18.0</v>
      </c>
    </row>
    <row r="181">
      <c r="A181" s="27" t="s">
        <v>42</v>
      </c>
      <c r="B181" s="27" t="s">
        <v>586</v>
      </c>
      <c r="C181" s="27" t="s">
        <v>587</v>
      </c>
      <c r="D181" s="27" t="s">
        <v>588</v>
      </c>
      <c r="E181" s="28" t="s">
        <v>46</v>
      </c>
      <c r="F181" s="29" t="s">
        <v>46</v>
      </c>
      <c r="G181" s="30" t="s">
        <v>46</v>
      </c>
      <c r="H181" s="31"/>
      <c r="I181" s="31" t="s">
        <v>47</v>
      </c>
      <c r="J181" s="32" t="n">
        <v>10.0</v>
      </c>
      <c r="K181" s="33" t="n">
        <f>497</f>
        <v>497.0</v>
      </c>
      <c r="L181" s="34" t="s">
        <v>48</v>
      </c>
      <c r="M181" s="33" t="n">
        <f>513</f>
        <v>513.0</v>
      </c>
      <c r="N181" s="34" t="s">
        <v>85</v>
      </c>
      <c r="O181" s="33" t="n">
        <f>443</f>
        <v>443.0</v>
      </c>
      <c r="P181" s="34" t="s">
        <v>287</v>
      </c>
      <c r="Q181" s="33" t="n">
        <f>463</f>
        <v>463.0</v>
      </c>
      <c r="R181" s="34" t="s">
        <v>51</v>
      </c>
      <c r="S181" s="35" t="n">
        <f>479</f>
        <v>479.0</v>
      </c>
      <c r="T181" s="32" t="n">
        <f>649760</f>
        <v>649760.0</v>
      </c>
      <c r="U181" s="32" t="str">
        <f>"－"</f>
        <v>－</v>
      </c>
      <c r="V181" s="32" t="n">
        <f>316023670</f>
        <v>3.1602367E8</v>
      </c>
      <c r="W181" s="32" t="str">
        <f>"－"</f>
        <v>－</v>
      </c>
      <c r="X181" s="36" t="n">
        <f>18</f>
        <v>18.0</v>
      </c>
    </row>
    <row r="182">
      <c r="A182" s="27" t="s">
        <v>42</v>
      </c>
      <c r="B182" s="27" t="s">
        <v>589</v>
      </c>
      <c r="C182" s="27" t="s">
        <v>590</v>
      </c>
      <c r="D182" s="27" t="s">
        <v>591</v>
      </c>
      <c r="E182" s="28" t="s">
        <v>46</v>
      </c>
      <c r="F182" s="29" t="s">
        <v>46</v>
      </c>
      <c r="G182" s="30" t="s">
        <v>46</v>
      </c>
      <c r="H182" s="31"/>
      <c r="I182" s="31" t="s">
        <v>47</v>
      </c>
      <c r="J182" s="32" t="n">
        <v>100.0</v>
      </c>
      <c r="K182" s="33" t="n">
        <f>1</f>
        <v>1.0</v>
      </c>
      <c r="L182" s="34" t="s">
        <v>48</v>
      </c>
      <c r="M182" s="33" t="n">
        <f>2</f>
        <v>2.0</v>
      </c>
      <c r="N182" s="34" t="s">
        <v>48</v>
      </c>
      <c r="O182" s="33" t="n">
        <f>1</f>
        <v>1.0</v>
      </c>
      <c r="P182" s="34" t="s">
        <v>48</v>
      </c>
      <c r="Q182" s="33" t="n">
        <f>1</f>
        <v>1.0</v>
      </c>
      <c r="R182" s="34" t="s">
        <v>51</v>
      </c>
      <c r="S182" s="35" t="n">
        <f>1.39</f>
        <v>1.39</v>
      </c>
      <c r="T182" s="32" t="n">
        <f>143264400</f>
        <v>1.432644E8</v>
      </c>
      <c r="U182" s="32" t="str">
        <f>"－"</f>
        <v>－</v>
      </c>
      <c r="V182" s="32" t="n">
        <f>197341600</f>
        <v>1.973416E8</v>
      </c>
      <c r="W182" s="32" t="str">
        <f>"－"</f>
        <v>－</v>
      </c>
      <c r="X182" s="36" t="n">
        <f>18</f>
        <v>18.0</v>
      </c>
    </row>
    <row r="183">
      <c r="A183" s="27" t="s">
        <v>42</v>
      </c>
      <c r="B183" s="27" t="s">
        <v>592</v>
      </c>
      <c r="C183" s="27" t="s">
        <v>593</v>
      </c>
      <c r="D183" s="27" t="s">
        <v>594</v>
      </c>
      <c r="E183" s="28" t="s">
        <v>46</v>
      </c>
      <c r="F183" s="29" t="s">
        <v>46</v>
      </c>
      <c r="G183" s="30" t="s">
        <v>46</v>
      </c>
      <c r="H183" s="31"/>
      <c r="I183" s="31" t="s">
        <v>47</v>
      </c>
      <c r="J183" s="32" t="n">
        <v>10.0</v>
      </c>
      <c r="K183" s="33" t="n">
        <f>639</f>
        <v>639.0</v>
      </c>
      <c r="L183" s="34" t="s">
        <v>48</v>
      </c>
      <c r="M183" s="33" t="n">
        <f>665</f>
        <v>665.0</v>
      </c>
      <c r="N183" s="34" t="s">
        <v>84</v>
      </c>
      <c r="O183" s="33" t="n">
        <f>607</f>
        <v>607.0</v>
      </c>
      <c r="P183" s="34" t="s">
        <v>309</v>
      </c>
      <c r="Q183" s="33" t="n">
        <f>658</f>
        <v>658.0</v>
      </c>
      <c r="R183" s="34" t="s">
        <v>51</v>
      </c>
      <c r="S183" s="35" t="n">
        <f>640.28</f>
        <v>640.28</v>
      </c>
      <c r="T183" s="32" t="n">
        <f>505380</f>
        <v>505380.0</v>
      </c>
      <c r="U183" s="32" t="str">
        <f>"－"</f>
        <v>－</v>
      </c>
      <c r="V183" s="32" t="n">
        <f>324132050</f>
        <v>3.2413205E8</v>
      </c>
      <c r="W183" s="32" t="str">
        <f>"－"</f>
        <v>－</v>
      </c>
      <c r="X183" s="36" t="n">
        <f>18</f>
        <v>18.0</v>
      </c>
    </row>
    <row r="184">
      <c r="A184" s="27" t="s">
        <v>42</v>
      </c>
      <c r="B184" s="27" t="s">
        <v>595</v>
      </c>
      <c r="C184" s="27" t="s">
        <v>596</v>
      </c>
      <c r="D184" s="27" t="s">
        <v>597</v>
      </c>
      <c r="E184" s="28" t="s">
        <v>46</v>
      </c>
      <c r="F184" s="29" t="s">
        <v>46</v>
      </c>
      <c r="G184" s="30" t="s">
        <v>46</v>
      </c>
      <c r="H184" s="31"/>
      <c r="I184" s="31" t="s">
        <v>47</v>
      </c>
      <c r="J184" s="32" t="n">
        <v>1.0</v>
      </c>
      <c r="K184" s="33" t="n">
        <f>2880</f>
        <v>2880.0</v>
      </c>
      <c r="L184" s="34" t="s">
        <v>48</v>
      </c>
      <c r="M184" s="33" t="n">
        <f>2994</f>
        <v>2994.0</v>
      </c>
      <c r="N184" s="34" t="s">
        <v>85</v>
      </c>
      <c r="O184" s="33" t="n">
        <f>2797</f>
        <v>2797.0</v>
      </c>
      <c r="P184" s="34" t="s">
        <v>319</v>
      </c>
      <c r="Q184" s="33" t="n">
        <f>2969</f>
        <v>2969.0</v>
      </c>
      <c r="R184" s="34" t="s">
        <v>51</v>
      </c>
      <c r="S184" s="35" t="n">
        <f>2886.72</f>
        <v>2886.72</v>
      </c>
      <c r="T184" s="32" t="n">
        <f>4017</f>
        <v>4017.0</v>
      </c>
      <c r="U184" s="32" t="str">
        <f>"－"</f>
        <v>－</v>
      </c>
      <c r="V184" s="32" t="n">
        <f>11625934</f>
        <v>1.1625934E7</v>
      </c>
      <c r="W184" s="32" t="str">
        <f>"－"</f>
        <v>－</v>
      </c>
      <c r="X184" s="36" t="n">
        <f>18</f>
        <v>18.0</v>
      </c>
    </row>
    <row r="185">
      <c r="A185" s="27" t="s">
        <v>42</v>
      </c>
      <c r="B185" s="27" t="s">
        <v>598</v>
      </c>
      <c r="C185" s="27" t="s">
        <v>599</v>
      </c>
      <c r="D185" s="27" t="s">
        <v>600</v>
      </c>
      <c r="E185" s="28" t="s">
        <v>46</v>
      </c>
      <c r="F185" s="29" t="s">
        <v>46</v>
      </c>
      <c r="G185" s="30" t="s">
        <v>46</v>
      </c>
      <c r="H185" s="31"/>
      <c r="I185" s="31" t="s">
        <v>47</v>
      </c>
      <c r="J185" s="32" t="n">
        <v>100.0</v>
      </c>
      <c r="K185" s="33" t="n">
        <f>380</f>
        <v>380.0</v>
      </c>
      <c r="L185" s="34" t="s">
        <v>48</v>
      </c>
      <c r="M185" s="33" t="n">
        <f>415</f>
        <v>415.0</v>
      </c>
      <c r="N185" s="34" t="s">
        <v>130</v>
      </c>
      <c r="O185" s="33" t="n">
        <f>356</f>
        <v>356.0</v>
      </c>
      <c r="P185" s="34" t="s">
        <v>231</v>
      </c>
      <c r="Q185" s="33" t="n">
        <f>381</f>
        <v>381.0</v>
      </c>
      <c r="R185" s="34" t="s">
        <v>51</v>
      </c>
      <c r="S185" s="35" t="n">
        <f>379.33</f>
        <v>379.33</v>
      </c>
      <c r="T185" s="32" t="n">
        <f>56300</f>
        <v>56300.0</v>
      </c>
      <c r="U185" s="32" t="str">
        <f>"－"</f>
        <v>－</v>
      </c>
      <c r="V185" s="32" t="n">
        <f>21608800</f>
        <v>2.16088E7</v>
      </c>
      <c r="W185" s="32" t="str">
        <f>"－"</f>
        <v>－</v>
      </c>
      <c r="X185" s="36" t="n">
        <f>18</f>
        <v>18.0</v>
      </c>
    </row>
    <row r="186">
      <c r="A186" s="27" t="s">
        <v>42</v>
      </c>
      <c r="B186" s="27" t="s">
        <v>601</v>
      </c>
      <c r="C186" s="27" t="s">
        <v>602</v>
      </c>
      <c r="D186" s="27" t="s">
        <v>603</v>
      </c>
      <c r="E186" s="28" t="s">
        <v>46</v>
      </c>
      <c r="F186" s="29" t="s">
        <v>46</v>
      </c>
      <c r="G186" s="30" t="s">
        <v>46</v>
      </c>
      <c r="H186" s="31"/>
      <c r="I186" s="31" t="s">
        <v>47</v>
      </c>
      <c r="J186" s="32" t="n">
        <v>10.0</v>
      </c>
      <c r="K186" s="33" t="n">
        <f>4420</f>
        <v>4420.0</v>
      </c>
      <c r="L186" s="34" t="s">
        <v>48</v>
      </c>
      <c r="M186" s="33" t="n">
        <f>4840</f>
        <v>4840.0</v>
      </c>
      <c r="N186" s="34" t="s">
        <v>61</v>
      </c>
      <c r="O186" s="33" t="n">
        <f>4305</f>
        <v>4305.0</v>
      </c>
      <c r="P186" s="34" t="s">
        <v>309</v>
      </c>
      <c r="Q186" s="33" t="n">
        <f>4565</f>
        <v>4565.0</v>
      </c>
      <c r="R186" s="34" t="s">
        <v>51</v>
      </c>
      <c r="S186" s="35" t="n">
        <f>4547.5</f>
        <v>4547.5</v>
      </c>
      <c r="T186" s="32" t="n">
        <f>102650</f>
        <v>102650.0</v>
      </c>
      <c r="U186" s="32" t="str">
        <f>"－"</f>
        <v>－</v>
      </c>
      <c r="V186" s="32" t="n">
        <f>469806600</f>
        <v>4.698066E8</v>
      </c>
      <c r="W186" s="32" t="str">
        <f>"－"</f>
        <v>－</v>
      </c>
      <c r="X186" s="36" t="n">
        <f>18</f>
        <v>18.0</v>
      </c>
    </row>
    <row r="187">
      <c r="A187" s="27" t="s">
        <v>42</v>
      </c>
      <c r="B187" s="27" t="s">
        <v>604</v>
      </c>
      <c r="C187" s="27" t="s">
        <v>605</v>
      </c>
      <c r="D187" s="27" t="s">
        <v>606</v>
      </c>
      <c r="E187" s="28" t="s">
        <v>46</v>
      </c>
      <c r="F187" s="29" t="s">
        <v>46</v>
      </c>
      <c r="G187" s="30" t="s">
        <v>46</v>
      </c>
      <c r="H187" s="31"/>
      <c r="I187" s="31" t="s">
        <v>47</v>
      </c>
      <c r="J187" s="32" t="n">
        <v>10.0</v>
      </c>
      <c r="K187" s="33" t="n">
        <f>1810</f>
        <v>1810.0</v>
      </c>
      <c r="L187" s="34" t="s">
        <v>48</v>
      </c>
      <c r="M187" s="33" t="n">
        <f>1867</f>
        <v>1867.0</v>
      </c>
      <c r="N187" s="34" t="s">
        <v>51</v>
      </c>
      <c r="O187" s="33" t="n">
        <f>1699</f>
        <v>1699.0</v>
      </c>
      <c r="P187" s="34" t="s">
        <v>231</v>
      </c>
      <c r="Q187" s="33" t="n">
        <f>1857</f>
        <v>1857.0</v>
      </c>
      <c r="R187" s="34" t="s">
        <v>51</v>
      </c>
      <c r="S187" s="35" t="n">
        <f>1795.11</f>
        <v>1795.11</v>
      </c>
      <c r="T187" s="32" t="n">
        <f>62710</f>
        <v>62710.0</v>
      </c>
      <c r="U187" s="32" t="str">
        <f>"－"</f>
        <v>－</v>
      </c>
      <c r="V187" s="32" t="n">
        <f>113422470</f>
        <v>1.1342247E8</v>
      </c>
      <c r="W187" s="32" t="str">
        <f>"－"</f>
        <v>－</v>
      </c>
      <c r="X187" s="36" t="n">
        <f>18</f>
        <v>18.0</v>
      </c>
    </row>
    <row r="188">
      <c r="A188" s="27" t="s">
        <v>42</v>
      </c>
      <c r="B188" s="27" t="s">
        <v>607</v>
      </c>
      <c r="C188" s="27" t="s">
        <v>608</v>
      </c>
      <c r="D188" s="27" t="s">
        <v>609</v>
      </c>
      <c r="E188" s="28" t="s">
        <v>46</v>
      </c>
      <c r="F188" s="29" t="s">
        <v>46</v>
      </c>
      <c r="G188" s="30" t="s">
        <v>46</v>
      </c>
      <c r="H188" s="31"/>
      <c r="I188" s="31" t="s">
        <v>47</v>
      </c>
      <c r="J188" s="32" t="n">
        <v>100.0</v>
      </c>
      <c r="K188" s="33" t="n">
        <f>90</f>
        <v>90.0</v>
      </c>
      <c r="L188" s="34" t="s">
        <v>48</v>
      </c>
      <c r="M188" s="33" t="n">
        <f>93</f>
        <v>93.0</v>
      </c>
      <c r="N188" s="34" t="s">
        <v>130</v>
      </c>
      <c r="O188" s="33" t="n">
        <f>78</f>
        <v>78.0</v>
      </c>
      <c r="P188" s="34" t="s">
        <v>101</v>
      </c>
      <c r="Q188" s="33" t="n">
        <f>81</f>
        <v>81.0</v>
      </c>
      <c r="R188" s="34" t="s">
        <v>51</v>
      </c>
      <c r="S188" s="35" t="n">
        <f>84.78</f>
        <v>84.78</v>
      </c>
      <c r="T188" s="32" t="n">
        <f>6047700</f>
        <v>6047700.0</v>
      </c>
      <c r="U188" s="32" t="str">
        <f>"－"</f>
        <v>－</v>
      </c>
      <c r="V188" s="32" t="n">
        <f>516553200</f>
        <v>5.165532E8</v>
      </c>
      <c r="W188" s="32" t="str">
        <f>"－"</f>
        <v>－</v>
      </c>
      <c r="X188" s="36" t="n">
        <f>18</f>
        <v>18.0</v>
      </c>
    </row>
    <row r="189">
      <c r="A189" s="27" t="s">
        <v>42</v>
      </c>
      <c r="B189" s="27" t="s">
        <v>610</v>
      </c>
      <c r="C189" s="27" t="s">
        <v>611</v>
      </c>
      <c r="D189" s="27" t="s">
        <v>612</v>
      </c>
      <c r="E189" s="28" t="s">
        <v>46</v>
      </c>
      <c r="F189" s="29" t="s">
        <v>46</v>
      </c>
      <c r="G189" s="30" t="s">
        <v>46</v>
      </c>
      <c r="H189" s="31"/>
      <c r="I189" s="31" t="s">
        <v>47</v>
      </c>
      <c r="J189" s="32" t="n">
        <v>100.0</v>
      </c>
      <c r="K189" s="33" t="n">
        <f>138</f>
        <v>138.0</v>
      </c>
      <c r="L189" s="34" t="s">
        <v>48</v>
      </c>
      <c r="M189" s="33" t="n">
        <f>141</f>
        <v>141.0</v>
      </c>
      <c r="N189" s="34" t="s">
        <v>130</v>
      </c>
      <c r="O189" s="33" t="n">
        <f>118</f>
        <v>118.0</v>
      </c>
      <c r="P189" s="34" t="s">
        <v>101</v>
      </c>
      <c r="Q189" s="33" t="n">
        <f>128</f>
        <v>128.0</v>
      </c>
      <c r="R189" s="34" t="s">
        <v>51</v>
      </c>
      <c r="S189" s="35" t="n">
        <f>130.39</f>
        <v>130.39</v>
      </c>
      <c r="T189" s="32" t="n">
        <f>4337800</f>
        <v>4337800.0</v>
      </c>
      <c r="U189" s="32" t="str">
        <f>"－"</f>
        <v>－</v>
      </c>
      <c r="V189" s="32" t="n">
        <f>570783400</f>
        <v>5.707834E8</v>
      </c>
      <c r="W189" s="32" t="str">
        <f>"－"</f>
        <v>－</v>
      </c>
      <c r="X189" s="36" t="n">
        <f>18</f>
        <v>18.0</v>
      </c>
    </row>
    <row r="190">
      <c r="A190" s="27" t="s">
        <v>42</v>
      </c>
      <c r="B190" s="27" t="s">
        <v>613</v>
      </c>
      <c r="C190" s="27" t="s">
        <v>614</v>
      </c>
      <c r="D190" s="27" t="s">
        <v>615</v>
      </c>
      <c r="E190" s="28" t="s">
        <v>46</v>
      </c>
      <c r="F190" s="29" t="s">
        <v>46</v>
      </c>
      <c r="G190" s="30" t="s">
        <v>46</v>
      </c>
      <c r="H190" s="31"/>
      <c r="I190" s="31" t="s">
        <v>47</v>
      </c>
      <c r="J190" s="32" t="n">
        <v>10.0</v>
      </c>
      <c r="K190" s="33" t="n">
        <f>2933</f>
        <v>2933.0</v>
      </c>
      <c r="L190" s="34" t="s">
        <v>48</v>
      </c>
      <c r="M190" s="33" t="n">
        <f>3145</f>
        <v>3145.0</v>
      </c>
      <c r="N190" s="34" t="s">
        <v>50</v>
      </c>
      <c r="O190" s="33" t="n">
        <f>2815</f>
        <v>2815.0</v>
      </c>
      <c r="P190" s="34" t="s">
        <v>101</v>
      </c>
      <c r="Q190" s="33" t="n">
        <f>2918</f>
        <v>2918.0</v>
      </c>
      <c r="R190" s="34" t="s">
        <v>51</v>
      </c>
      <c r="S190" s="35" t="n">
        <f>2967.83</f>
        <v>2967.83</v>
      </c>
      <c r="T190" s="32" t="n">
        <f>52090</f>
        <v>52090.0</v>
      </c>
      <c r="U190" s="32" t="str">
        <f>"－"</f>
        <v>－</v>
      </c>
      <c r="V190" s="32" t="n">
        <f>155016540</f>
        <v>1.5501654E8</v>
      </c>
      <c r="W190" s="32" t="str">
        <f>"－"</f>
        <v>－</v>
      </c>
      <c r="X190" s="36" t="n">
        <f>18</f>
        <v>18.0</v>
      </c>
    </row>
    <row r="191">
      <c r="A191" s="27" t="s">
        <v>42</v>
      </c>
      <c r="B191" s="27" t="s">
        <v>616</v>
      </c>
      <c r="C191" s="27" t="s">
        <v>617</v>
      </c>
      <c r="D191" s="27" t="s">
        <v>618</v>
      </c>
      <c r="E191" s="28" t="s">
        <v>46</v>
      </c>
      <c r="F191" s="29" t="s">
        <v>46</v>
      </c>
      <c r="G191" s="30" t="s">
        <v>46</v>
      </c>
      <c r="H191" s="31"/>
      <c r="I191" s="31" t="s">
        <v>47</v>
      </c>
      <c r="J191" s="32" t="n">
        <v>10.0</v>
      </c>
      <c r="K191" s="33" t="n">
        <f>1772</f>
        <v>1772.0</v>
      </c>
      <c r="L191" s="34" t="s">
        <v>48</v>
      </c>
      <c r="M191" s="33" t="n">
        <f>1855</f>
        <v>1855.0</v>
      </c>
      <c r="N191" s="34" t="s">
        <v>84</v>
      </c>
      <c r="O191" s="33" t="n">
        <f>1757</f>
        <v>1757.0</v>
      </c>
      <c r="P191" s="34" t="s">
        <v>85</v>
      </c>
      <c r="Q191" s="33" t="n">
        <f>1835</f>
        <v>1835.0</v>
      </c>
      <c r="R191" s="34" t="s">
        <v>51</v>
      </c>
      <c r="S191" s="35" t="n">
        <f>1808.56</f>
        <v>1808.56</v>
      </c>
      <c r="T191" s="32" t="n">
        <f>25620</f>
        <v>25620.0</v>
      </c>
      <c r="U191" s="32" t="n">
        <f>20</f>
        <v>20.0</v>
      </c>
      <c r="V191" s="32" t="n">
        <f>46400240</f>
        <v>4.640024E7</v>
      </c>
      <c r="W191" s="32" t="n">
        <f>35360</f>
        <v>35360.0</v>
      </c>
      <c r="X191" s="36" t="n">
        <f>18</f>
        <v>18.0</v>
      </c>
    </row>
    <row r="192">
      <c r="A192" s="27" t="s">
        <v>42</v>
      </c>
      <c r="B192" s="27" t="s">
        <v>619</v>
      </c>
      <c r="C192" s="27" t="s">
        <v>620</v>
      </c>
      <c r="D192" s="27" t="s">
        <v>621</v>
      </c>
      <c r="E192" s="28" t="s">
        <v>46</v>
      </c>
      <c r="F192" s="29" t="s">
        <v>46</v>
      </c>
      <c r="G192" s="30" t="s">
        <v>46</v>
      </c>
      <c r="H192" s="31"/>
      <c r="I192" s="31" t="s">
        <v>47</v>
      </c>
      <c r="J192" s="32" t="n">
        <v>10.0</v>
      </c>
      <c r="K192" s="33" t="n">
        <f>169</f>
        <v>169.0</v>
      </c>
      <c r="L192" s="34" t="s">
        <v>48</v>
      </c>
      <c r="M192" s="33" t="n">
        <f>176</f>
        <v>176.0</v>
      </c>
      <c r="N192" s="34" t="s">
        <v>84</v>
      </c>
      <c r="O192" s="33" t="n">
        <f>160</f>
        <v>160.0</v>
      </c>
      <c r="P192" s="34" t="s">
        <v>309</v>
      </c>
      <c r="Q192" s="33" t="n">
        <f>174</f>
        <v>174.0</v>
      </c>
      <c r="R192" s="34" t="s">
        <v>51</v>
      </c>
      <c r="S192" s="35" t="n">
        <f>169.22</f>
        <v>169.22</v>
      </c>
      <c r="T192" s="32" t="n">
        <f>111417100</f>
        <v>1.114171E8</v>
      </c>
      <c r="U192" s="32" t="n">
        <f>203850</f>
        <v>203850.0</v>
      </c>
      <c r="V192" s="32" t="n">
        <f>18939119240</f>
        <v>1.893911924E10</v>
      </c>
      <c r="W192" s="32" t="n">
        <f>34616920</f>
        <v>3.461692E7</v>
      </c>
      <c r="X192" s="36" t="n">
        <f>18</f>
        <v>18.0</v>
      </c>
    </row>
    <row r="193">
      <c r="A193" s="27" t="s">
        <v>42</v>
      </c>
      <c r="B193" s="27" t="s">
        <v>622</v>
      </c>
      <c r="C193" s="27" t="s">
        <v>623</v>
      </c>
      <c r="D193" s="27" t="s">
        <v>624</v>
      </c>
      <c r="E193" s="28" t="s">
        <v>46</v>
      </c>
      <c r="F193" s="29" t="s">
        <v>46</v>
      </c>
      <c r="G193" s="30" t="s">
        <v>46</v>
      </c>
      <c r="H193" s="31"/>
      <c r="I193" s="31" t="s">
        <v>625</v>
      </c>
      <c r="J193" s="32" t="n">
        <v>1.0</v>
      </c>
      <c r="K193" s="33" t="n">
        <f>11570</f>
        <v>11570.0</v>
      </c>
      <c r="L193" s="34" t="s">
        <v>48</v>
      </c>
      <c r="M193" s="33" t="n">
        <f>12400</f>
        <v>12400.0</v>
      </c>
      <c r="N193" s="34" t="s">
        <v>84</v>
      </c>
      <c r="O193" s="33" t="n">
        <f>10830</f>
        <v>10830.0</v>
      </c>
      <c r="P193" s="34" t="s">
        <v>50</v>
      </c>
      <c r="Q193" s="33" t="n">
        <f>12100</f>
        <v>12100.0</v>
      </c>
      <c r="R193" s="34" t="s">
        <v>51</v>
      </c>
      <c r="S193" s="35" t="n">
        <f>11608.89</f>
        <v>11608.89</v>
      </c>
      <c r="T193" s="32" t="n">
        <f>2701</f>
        <v>2701.0</v>
      </c>
      <c r="U193" s="32" t="str">
        <f>"－"</f>
        <v>－</v>
      </c>
      <c r="V193" s="32" t="n">
        <f>31695980</f>
        <v>3.169598E7</v>
      </c>
      <c r="W193" s="32" t="str">
        <f>"－"</f>
        <v>－</v>
      </c>
      <c r="X193" s="36" t="n">
        <f>18</f>
        <v>18.0</v>
      </c>
    </row>
    <row r="194">
      <c r="A194" s="27" t="s">
        <v>42</v>
      </c>
      <c r="B194" s="27" t="s">
        <v>626</v>
      </c>
      <c r="C194" s="27" t="s">
        <v>627</v>
      </c>
      <c r="D194" s="27" t="s">
        <v>628</v>
      </c>
      <c r="E194" s="28" t="s">
        <v>46</v>
      </c>
      <c r="F194" s="29" t="s">
        <v>46</v>
      </c>
      <c r="G194" s="30" t="s">
        <v>46</v>
      </c>
      <c r="H194" s="31"/>
      <c r="I194" s="31" t="s">
        <v>625</v>
      </c>
      <c r="J194" s="32" t="n">
        <v>1.0</v>
      </c>
      <c r="K194" s="33" t="n">
        <f>5230</f>
        <v>5230.0</v>
      </c>
      <c r="L194" s="34" t="s">
        <v>48</v>
      </c>
      <c r="M194" s="33" t="n">
        <f>5570</f>
        <v>5570.0</v>
      </c>
      <c r="N194" s="34" t="s">
        <v>50</v>
      </c>
      <c r="O194" s="33" t="n">
        <f>5130</f>
        <v>5130.0</v>
      </c>
      <c r="P194" s="34" t="s">
        <v>101</v>
      </c>
      <c r="Q194" s="33" t="n">
        <f>5190</f>
        <v>5190.0</v>
      </c>
      <c r="R194" s="34" t="s">
        <v>51</v>
      </c>
      <c r="S194" s="35" t="n">
        <f>5279.44</f>
        <v>5279.44</v>
      </c>
      <c r="T194" s="32" t="n">
        <f>1916</f>
        <v>1916.0</v>
      </c>
      <c r="U194" s="32" t="str">
        <f>"－"</f>
        <v>－</v>
      </c>
      <c r="V194" s="32" t="n">
        <f>10302280</f>
        <v>1.030228E7</v>
      </c>
      <c r="W194" s="32" t="str">
        <f>"－"</f>
        <v>－</v>
      </c>
      <c r="X194" s="36" t="n">
        <f>18</f>
        <v>18.0</v>
      </c>
    </row>
    <row r="195">
      <c r="A195" s="27" t="s">
        <v>42</v>
      </c>
      <c r="B195" s="27" t="s">
        <v>629</v>
      </c>
      <c r="C195" s="27" t="s">
        <v>630</v>
      </c>
      <c r="D195" s="27" t="s">
        <v>631</v>
      </c>
      <c r="E195" s="28" t="s">
        <v>46</v>
      </c>
      <c r="F195" s="29" t="s">
        <v>46</v>
      </c>
      <c r="G195" s="30" t="s">
        <v>46</v>
      </c>
      <c r="H195" s="31"/>
      <c r="I195" s="31" t="s">
        <v>625</v>
      </c>
      <c r="J195" s="32" t="n">
        <v>1.0</v>
      </c>
      <c r="K195" s="33" t="n">
        <f>19550</f>
        <v>19550.0</v>
      </c>
      <c r="L195" s="34" t="s">
        <v>48</v>
      </c>
      <c r="M195" s="33" t="n">
        <f>20430</f>
        <v>20430.0</v>
      </c>
      <c r="N195" s="34" t="s">
        <v>49</v>
      </c>
      <c r="O195" s="33" t="n">
        <f>18590</f>
        <v>18590.0</v>
      </c>
      <c r="P195" s="34" t="s">
        <v>50</v>
      </c>
      <c r="Q195" s="33" t="n">
        <f>19780</f>
        <v>19780.0</v>
      </c>
      <c r="R195" s="34" t="s">
        <v>84</v>
      </c>
      <c r="S195" s="35" t="n">
        <f>19335.38</f>
        <v>19335.38</v>
      </c>
      <c r="T195" s="32" t="n">
        <f>583</f>
        <v>583.0</v>
      </c>
      <c r="U195" s="32" t="str">
        <f>"－"</f>
        <v>－</v>
      </c>
      <c r="V195" s="32" t="n">
        <f>11345850</f>
        <v>1.134585E7</v>
      </c>
      <c r="W195" s="32" t="str">
        <f>"－"</f>
        <v>－</v>
      </c>
      <c r="X195" s="36" t="n">
        <f>13</f>
        <v>13.0</v>
      </c>
    </row>
    <row r="196">
      <c r="A196" s="27" t="s">
        <v>42</v>
      </c>
      <c r="B196" s="27" t="s">
        <v>632</v>
      </c>
      <c r="C196" s="27" t="s">
        <v>633</v>
      </c>
      <c r="D196" s="27" t="s">
        <v>634</v>
      </c>
      <c r="E196" s="28" t="s">
        <v>46</v>
      </c>
      <c r="F196" s="29" t="s">
        <v>46</v>
      </c>
      <c r="G196" s="30" t="s">
        <v>46</v>
      </c>
      <c r="H196" s="31"/>
      <c r="I196" s="31" t="s">
        <v>625</v>
      </c>
      <c r="J196" s="32" t="n">
        <v>1.0</v>
      </c>
      <c r="K196" s="33" t="n">
        <f>6050</f>
        <v>6050.0</v>
      </c>
      <c r="L196" s="34" t="s">
        <v>48</v>
      </c>
      <c r="M196" s="33" t="n">
        <f>6090</f>
        <v>6090.0</v>
      </c>
      <c r="N196" s="34" t="s">
        <v>50</v>
      </c>
      <c r="O196" s="33" t="n">
        <f>5820</f>
        <v>5820.0</v>
      </c>
      <c r="P196" s="34" t="s">
        <v>49</v>
      </c>
      <c r="Q196" s="33" t="n">
        <f>5910</f>
        <v>5910.0</v>
      </c>
      <c r="R196" s="34" t="s">
        <v>51</v>
      </c>
      <c r="S196" s="35" t="n">
        <f>5917.22</f>
        <v>5917.22</v>
      </c>
      <c r="T196" s="32" t="n">
        <f>7051</f>
        <v>7051.0</v>
      </c>
      <c r="U196" s="32" t="str">
        <f>"－"</f>
        <v>－</v>
      </c>
      <c r="V196" s="32" t="n">
        <f>42012700</f>
        <v>4.20127E7</v>
      </c>
      <c r="W196" s="32" t="str">
        <f>"－"</f>
        <v>－</v>
      </c>
      <c r="X196" s="36" t="n">
        <f>18</f>
        <v>18.0</v>
      </c>
    </row>
    <row r="197">
      <c r="A197" s="27" t="s">
        <v>42</v>
      </c>
      <c r="B197" s="27" t="s">
        <v>635</v>
      </c>
      <c r="C197" s="27" t="s">
        <v>636</v>
      </c>
      <c r="D197" s="27" t="s">
        <v>637</v>
      </c>
      <c r="E197" s="28" t="s">
        <v>46</v>
      </c>
      <c r="F197" s="29" t="s">
        <v>46</v>
      </c>
      <c r="G197" s="30" t="s">
        <v>46</v>
      </c>
      <c r="H197" s="31"/>
      <c r="I197" s="31" t="s">
        <v>625</v>
      </c>
      <c r="J197" s="32" t="n">
        <v>1.0</v>
      </c>
      <c r="K197" s="33" t="n">
        <f>250</f>
        <v>250.0</v>
      </c>
      <c r="L197" s="34" t="s">
        <v>48</v>
      </c>
      <c r="M197" s="33" t="n">
        <f>269</f>
        <v>269.0</v>
      </c>
      <c r="N197" s="34" t="s">
        <v>50</v>
      </c>
      <c r="O197" s="33" t="n">
        <f>221</f>
        <v>221.0</v>
      </c>
      <c r="P197" s="34" t="s">
        <v>49</v>
      </c>
      <c r="Q197" s="33" t="n">
        <f>222</f>
        <v>222.0</v>
      </c>
      <c r="R197" s="34" t="s">
        <v>51</v>
      </c>
      <c r="S197" s="35" t="n">
        <f>236.89</f>
        <v>236.89</v>
      </c>
      <c r="T197" s="32" t="n">
        <f>20486435</f>
        <v>2.0486435E7</v>
      </c>
      <c r="U197" s="32" t="n">
        <f>2328</f>
        <v>2328.0</v>
      </c>
      <c r="V197" s="32" t="n">
        <f>4903270536</f>
        <v>4.903270536E9</v>
      </c>
      <c r="W197" s="32" t="n">
        <f>568002</f>
        <v>568002.0</v>
      </c>
      <c r="X197" s="36" t="n">
        <f>18</f>
        <v>18.0</v>
      </c>
    </row>
    <row r="198">
      <c r="A198" s="27" t="s">
        <v>42</v>
      </c>
      <c r="B198" s="27" t="s">
        <v>638</v>
      </c>
      <c r="C198" s="27" t="s">
        <v>639</v>
      </c>
      <c r="D198" s="27" t="s">
        <v>640</v>
      </c>
      <c r="E198" s="28" t="s">
        <v>46</v>
      </c>
      <c r="F198" s="29" t="s">
        <v>46</v>
      </c>
      <c r="G198" s="30" t="s">
        <v>46</v>
      </c>
      <c r="H198" s="31"/>
      <c r="I198" s="31" t="s">
        <v>625</v>
      </c>
      <c r="J198" s="32" t="n">
        <v>1.0</v>
      </c>
      <c r="K198" s="33" t="n">
        <f>17150</f>
        <v>17150.0</v>
      </c>
      <c r="L198" s="34" t="s">
        <v>48</v>
      </c>
      <c r="M198" s="33" t="n">
        <f>20110</f>
        <v>20110.0</v>
      </c>
      <c r="N198" s="34" t="s">
        <v>51</v>
      </c>
      <c r="O198" s="33" t="n">
        <f>17150</f>
        <v>17150.0</v>
      </c>
      <c r="P198" s="34" t="s">
        <v>48</v>
      </c>
      <c r="Q198" s="33" t="n">
        <f>19990</f>
        <v>19990.0</v>
      </c>
      <c r="R198" s="34" t="s">
        <v>51</v>
      </c>
      <c r="S198" s="35" t="n">
        <f>18722.22</f>
        <v>18722.22</v>
      </c>
      <c r="T198" s="32" t="n">
        <f>70438</f>
        <v>70438.0</v>
      </c>
      <c r="U198" s="32" t="n">
        <f>1</f>
        <v>1.0</v>
      </c>
      <c r="V198" s="32" t="n">
        <f>1323180710</f>
        <v>1.32318071E9</v>
      </c>
      <c r="W198" s="32" t="n">
        <f>17840</f>
        <v>17840.0</v>
      </c>
      <c r="X198" s="36" t="n">
        <f>18</f>
        <v>18.0</v>
      </c>
    </row>
    <row r="199">
      <c r="A199" s="27" t="s">
        <v>42</v>
      </c>
      <c r="B199" s="27" t="s">
        <v>641</v>
      </c>
      <c r="C199" s="27" t="s">
        <v>642</v>
      </c>
      <c r="D199" s="27" t="s">
        <v>643</v>
      </c>
      <c r="E199" s="28" t="s">
        <v>46</v>
      </c>
      <c r="F199" s="29" t="s">
        <v>46</v>
      </c>
      <c r="G199" s="30" t="s">
        <v>46</v>
      </c>
      <c r="H199" s="31"/>
      <c r="I199" s="31" t="s">
        <v>625</v>
      </c>
      <c r="J199" s="32" t="n">
        <v>1.0</v>
      </c>
      <c r="K199" s="33" t="n">
        <f>5690</f>
        <v>5690.0</v>
      </c>
      <c r="L199" s="34" t="s">
        <v>48</v>
      </c>
      <c r="M199" s="33" t="n">
        <f>5690</f>
        <v>5690.0</v>
      </c>
      <c r="N199" s="34" t="s">
        <v>48</v>
      </c>
      <c r="O199" s="33" t="n">
        <f>5250</f>
        <v>5250.0</v>
      </c>
      <c r="P199" s="34" t="s">
        <v>51</v>
      </c>
      <c r="Q199" s="33" t="n">
        <f>5250</f>
        <v>5250.0</v>
      </c>
      <c r="R199" s="34" t="s">
        <v>51</v>
      </c>
      <c r="S199" s="35" t="n">
        <f>5422.22</f>
        <v>5422.22</v>
      </c>
      <c r="T199" s="32" t="n">
        <f>6805</f>
        <v>6805.0</v>
      </c>
      <c r="U199" s="32" t="str">
        <f>"－"</f>
        <v>－</v>
      </c>
      <c r="V199" s="32" t="n">
        <f>36930410</f>
        <v>3.693041E7</v>
      </c>
      <c r="W199" s="32" t="str">
        <f>"－"</f>
        <v>－</v>
      </c>
      <c r="X199" s="36" t="n">
        <f>18</f>
        <v>18.0</v>
      </c>
    </row>
    <row r="200">
      <c r="A200" s="27" t="s">
        <v>42</v>
      </c>
      <c r="B200" s="27" t="s">
        <v>644</v>
      </c>
      <c r="C200" s="27" t="s">
        <v>645</v>
      </c>
      <c r="D200" s="27" t="s">
        <v>646</v>
      </c>
      <c r="E200" s="28" t="s">
        <v>46</v>
      </c>
      <c r="F200" s="29" t="s">
        <v>46</v>
      </c>
      <c r="G200" s="30" t="s">
        <v>46</v>
      </c>
      <c r="H200" s="31"/>
      <c r="I200" s="31" t="s">
        <v>625</v>
      </c>
      <c r="J200" s="32" t="n">
        <v>1.0</v>
      </c>
      <c r="K200" s="33" t="n">
        <f>513</f>
        <v>513.0</v>
      </c>
      <c r="L200" s="34" t="s">
        <v>48</v>
      </c>
      <c r="M200" s="33" t="n">
        <f>545</f>
        <v>545.0</v>
      </c>
      <c r="N200" s="34" t="s">
        <v>84</v>
      </c>
      <c r="O200" s="33" t="n">
        <f>475</f>
        <v>475.0</v>
      </c>
      <c r="P200" s="34" t="s">
        <v>309</v>
      </c>
      <c r="Q200" s="33" t="n">
        <f>536</f>
        <v>536.0</v>
      </c>
      <c r="R200" s="34" t="s">
        <v>51</v>
      </c>
      <c r="S200" s="35" t="n">
        <f>516.44</f>
        <v>516.44</v>
      </c>
      <c r="T200" s="32" t="n">
        <f>159021836</f>
        <v>1.59021836E8</v>
      </c>
      <c r="U200" s="32" t="n">
        <f>419607</f>
        <v>419607.0</v>
      </c>
      <c r="V200" s="32" t="n">
        <f>82301972007</f>
        <v>8.2301972007E10</v>
      </c>
      <c r="W200" s="32" t="n">
        <f>232224161</f>
        <v>2.32224161E8</v>
      </c>
      <c r="X200" s="36" t="n">
        <f>18</f>
        <v>18.0</v>
      </c>
    </row>
    <row r="201">
      <c r="A201" s="27" t="s">
        <v>42</v>
      </c>
      <c r="B201" s="27" t="s">
        <v>647</v>
      </c>
      <c r="C201" s="27" t="s">
        <v>648</v>
      </c>
      <c r="D201" s="27" t="s">
        <v>649</v>
      </c>
      <c r="E201" s="28" t="s">
        <v>46</v>
      </c>
      <c r="F201" s="29" t="s">
        <v>46</v>
      </c>
      <c r="G201" s="30" t="s">
        <v>46</v>
      </c>
      <c r="H201" s="31"/>
      <c r="I201" s="31" t="s">
        <v>625</v>
      </c>
      <c r="J201" s="32" t="n">
        <v>1.0</v>
      </c>
      <c r="K201" s="33" t="n">
        <f>3680</f>
        <v>3680.0</v>
      </c>
      <c r="L201" s="34" t="s">
        <v>48</v>
      </c>
      <c r="M201" s="33" t="n">
        <f>3805</f>
        <v>3805.0</v>
      </c>
      <c r="N201" s="34" t="s">
        <v>309</v>
      </c>
      <c r="O201" s="33" t="n">
        <f>3520</f>
        <v>3520.0</v>
      </c>
      <c r="P201" s="34" t="s">
        <v>84</v>
      </c>
      <c r="Q201" s="33" t="n">
        <f>3575</f>
        <v>3575.0</v>
      </c>
      <c r="R201" s="34" t="s">
        <v>51</v>
      </c>
      <c r="S201" s="35" t="n">
        <f>3645.28</f>
        <v>3645.28</v>
      </c>
      <c r="T201" s="32" t="n">
        <f>362798</f>
        <v>362798.0</v>
      </c>
      <c r="U201" s="32" t="n">
        <f>9</f>
        <v>9.0</v>
      </c>
      <c r="V201" s="32" t="n">
        <f>1318975560</f>
        <v>1.31897556E9</v>
      </c>
      <c r="W201" s="32" t="n">
        <f>32755</f>
        <v>32755.0</v>
      </c>
      <c r="X201" s="36" t="n">
        <f>18</f>
        <v>18.0</v>
      </c>
    </row>
    <row r="202">
      <c r="A202" s="27" t="s">
        <v>42</v>
      </c>
      <c r="B202" s="27" t="s">
        <v>650</v>
      </c>
      <c r="C202" s="27" t="s">
        <v>651</v>
      </c>
      <c r="D202" s="27" t="s">
        <v>652</v>
      </c>
      <c r="E202" s="28" t="s">
        <v>46</v>
      </c>
      <c r="F202" s="29" t="s">
        <v>46</v>
      </c>
      <c r="G202" s="30" t="s">
        <v>46</v>
      </c>
      <c r="H202" s="31"/>
      <c r="I202" s="31" t="s">
        <v>625</v>
      </c>
      <c r="J202" s="32" t="n">
        <v>1.0</v>
      </c>
      <c r="K202" s="33" t="n">
        <f>30300</f>
        <v>30300.0</v>
      </c>
      <c r="L202" s="34" t="s">
        <v>48</v>
      </c>
      <c r="M202" s="33" t="n">
        <f>31600</f>
        <v>31600.0</v>
      </c>
      <c r="N202" s="34" t="s">
        <v>49</v>
      </c>
      <c r="O202" s="33" t="n">
        <f>29170</f>
        <v>29170.0</v>
      </c>
      <c r="P202" s="34" t="s">
        <v>50</v>
      </c>
      <c r="Q202" s="33" t="n">
        <f>30950</f>
        <v>30950.0</v>
      </c>
      <c r="R202" s="34" t="s">
        <v>51</v>
      </c>
      <c r="S202" s="35" t="n">
        <f>30552.78</f>
        <v>30552.78</v>
      </c>
      <c r="T202" s="32" t="n">
        <f>137726</f>
        <v>137726.0</v>
      </c>
      <c r="U202" s="32" t="n">
        <f>111</f>
        <v>111.0</v>
      </c>
      <c r="V202" s="32" t="n">
        <f>4201018740</f>
        <v>4.20101874E9</v>
      </c>
      <c r="W202" s="32" t="n">
        <f>3353400</f>
        <v>3353400.0</v>
      </c>
      <c r="X202" s="36" t="n">
        <f>18</f>
        <v>18.0</v>
      </c>
    </row>
    <row r="203">
      <c r="A203" s="27" t="s">
        <v>42</v>
      </c>
      <c r="B203" s="27" t="s">
        <v>653</v>
      </c>
      <c r="C203" s="27" t="s">
        <v>654</v>
      </c>
      <c r="D203" s="27" t="s">
        <v>655</v>
      </c>
      <c r="E203" s="28" t="s">
        <v>46</v>
      </c>
      <c r="F203" s="29" t="s">
        <v>46</v>
      </c>
      <c r="G203" s="30" t="s">
        <v>46</v>
      </c>
      <c r="H203" s="31"/>
      <c r="I203" s="31" t="s">
        <v>625</v>
      </c>
      <c r="J203" s="32" t="n">
        <v>1.0</v>
      </c>
      <c r="K203" s="33" t="n">
        <f>3030</f>
        <v>3030.0</v>
      </c>
      <c r="L203" s="34" t="s">
        <v>48</v>
      </c>
      <c r="M203" s="33" t="n">
        <f>3095</f>
        <v>3095.0</v>
      </c>
      <c r="N203" s="34" t="s">
        <v>50</v>
      </c>
      <c r="O203" s="33" t="n">
        <f>2980</f>
        <v>2980.0</v>
      </c>
      <c r="P203" s="34" t="s">
        <v>84</v>
      </c>
      <c r="Q203" s="33" t="n">
        <f>2989</f>
        <v>2989.0</v>
      </c>
      <c r="R203" s="34" t="s">
        <v>51</v>
      </c>
      <c r="S203" s="35" t="n">
        <f>3023.5</f>
        <v>3023.5</v>
      </c>
      <c r="T203" s="32" t="n">
        <f>293290</f>
        <v>293290.0</v>
      </c>
      <c r="U203" s="32" t="n">
        <f>539</f>
        <v>539.0</v>
      </c>
      <c r="V203" s="32" t="n">
        <f>888453206</f>
        <v>8.88453206E8</v>
      </c>
      <c r="W203" s="32" t="n">
        <f>1654535</f>
        <v>1654535.0</v>
      </c>
      <c r="X203" s="36" t="n">
        <f>18</f>
        <v>18.0</v>
      </c>
    </row>
    <row r="204">
      <c r="A204" s="27" t="s">
        <v>42</v>
      </c>
      <c r="B204" s="27" t="s">
        <v>656</v>
      </c>
      <c r="C204" s="27" t="s">
        <v>657</v>
      </c>
      <c r="D204" s="27" t="s">
        <v>658</v>
      </c>
      <c r="E204" s="28" t="s">
        <v>46</v>
      </c>
      <c r="F204" s="29" t="s">
        <v>46</v>
      </c>
      <c r="G204" s="30" t="s">
        <v>46</v>
      </c>
      <c r="H204" s="31"/>
      <c r="I204" s="31" t="s">
        <v>625</v>
      </c>
      <c r="J204" s="32" t="n">
        <v>1.0</v>
      </c>
      <c r="K204" s="33" t="n">
        <f>12950</f>
        <v>12950.0</v>
      </c>
      <c r="L204" s="34" t="s">
        <v>48</v>
      </c>
      <c r="M204" s="33" t="n">
        <f>12950</f>
        <v>12950.0</v>
      </c>
      <c r="N204" s="34" t="s">
        <v>48</v>
      </c>
      <c r="O204" s="33" t="n">
        <f>11070</f>
        <v>11070.0</v>
      </c>
      <c r="P204" s="34" t="s">
        <v>480</v>
      </c>
      <c r="Q204" s="33" t="n">
        <f>12170</f>
        <v>12170.0</v>
      </c>
      <c r="R204" s="34" t="s">
        <v>51</v>
      </c>
      <c r="S204" s="35" t="n">
        <f>12009.44</f>
        <v>12009.44</v>
      </c>
      <c r="T204" s="32" t="n">
        <f>79568</f>
        <v>79568.0</v>
      </c>
      <c r="U204" s="32" t="n">
        <f>2813</f>
        <v>2813.0</v>
      </c>
      <c r="V204" s="32" t="n">
        <f>949517140</f>
        <v>9.4951714E8</v>
      </c>
      <c r="W204" s="32" t="n">
        <f>33397150</f>
        <v>3.339715E7</v>
      </c>
      <c r="X204" s="36" t="n">
        <f>18</f>
        <v>18.0</v>
      </c>
    </row>
    <row r="205">
      <c r="A205" s="27" t="s">
        <v>42</v>
      </c>
      <c r="B205" s="27" t="s">
        <v>659</v>
      </c>
      <c r="C205" s="27" t="s">
        <v>660</v>
      </c>
      <c r="D205" s="27" t="s">
        <v>661</v>
      </c>
      <c r="E205" s="28" t="s">
        <v>46</v>
      </c>
      <c r="F205" s="29" t="s">
        <v>46</v>
      </c>
      <c r="G205" s="30" t="s">
        <v>46</v>
      </c>
      <c r="H205" s="31"/>
      <c r="I205" s="31" t="s">
        <v>625</v>
      </c>
      <c r="J205" s="32" t="n">
        <v>1.0</v>
      </c>
      <c r="K205" s="33" t="n">
        <f>13630</f>
        <v>13630.0</v>
      </c>
      <c r="L205" s="34" t="s">
        <v>48</v>
      </c>
      <c r="M205" s="33" t="n">
        <f>13630</f>
        <v>13630.0</v>
      </c>
      <c r="N205" s="34" t="s">
        <v>48</v>
      </c>
      <c r="O205" s="33" t="n">
        <f>13040</f>
        <v>13040.0</v>
      </c>
      <c r="P205" s="34" t="s">
        <v>319</v>
      </c>
      <c r="Q205" s="33" t="n">
        <f>13410</f>
        <v>13410.0</v>
      </c>
      <c r="R205" s="34" t="s">
        <v>84</v>
      </c>
      <c r="S205" s="35" t="n">
        <f>13216.15</f>
        <v>13216.15</v>
      </c>
      <c r="T205" s="32" t="n">
        <f>315</f>
        <v>315.0</v>
      </c>
      <c r="U205" s="32" t="str">
        <f>"－"</f>
        <v>－</v>
      </c>
      <c r="V205" s="32" t="n">
        <f>4178310</f>
        <v>4178310.0</v>
      </c>
      <c r="W205" s="32" t="str">
        <f>"－"</f>
        <v>－</v>
      </c>
      <c r="X205" s="36" t="n">
        <f>13</f>
        <v>13.0</v>
      </c>
    </row>
    <row r="206">
      <c r="A206" s="27" t="s">
        <v>42</v>
      </c>
      <c r="B206" s="27" t="s">
        <v>662</v>
      </c>
      <c r="C206" s="27" t="s">
        <v>663</v>
      </c>
      <c r="D206" s="27" t="s">
        <v>664</v>
      </c>
      <c r="E206" s="28" t="s">
        <v>46</v>
      </c>
      <c r="F206" s="29" t="s">
        <v>46</v>
      </c>
      <c r="G206" s="30" t="s">
        <v>46</v>
      </c>
      <c r="H206" s="31"/>
      <c r="I206" s="31" t="s">
        <v>625</v>
      </c>
      <c r="J206" s="32" t="n">
        <v>1.0</v>
      </c>
      <c r="K206" s="33" t="n">
        <f>18500</f>
        <v>18500.0</v>
      </c>
      <c r="L206" s="34" t="s">
        <v>48</v>
      </c>
      <c r="M206" s="33" t="n">
        <f>18880</f>
        <v>18880.0</v>
      </c>
      <c r="N206" s="34" t="s">
        <v>84</v>
      </c>
      <c r="O206" s="33" t="n">
        <f>18260</f>
        <v>18260.0</v>
      </c>
      <c r="P206" s="34" t="s">
        <v>50</v>
      </c>
      <c r="Q206" s="33" t="n">
        <f>18750</f>
        <v>18750.0</v>
      </c>
      <c r="R206" s="34" t="s">
        <v>51</v>
      </c>
      <c r="S206" s="35" t="n">
        <f>18607.22</f>
        <v>18607.22</v>
      </c>
      <c r="T206" s="32" t="n">
        <f>20986</f>
        <v>20986.0</v>
      </c>
      <c r="U206" s="32" t="n">
        <f>1600</f>
        <v>1600.0</v>
      </c>
      <c r="V206" s="32" t="n">
        <f>390292200</f>
        <v>3.902922E8</v>
      </c>
      <c r="W206" s="32" t="n">
        <f>29966800</f>
        <v>2.99668E7</v>
      </c>
      <c r="X206" s="36" t="n">
        <f>18</f>
        <v>18.0</v>
      </c>
    </row>
    <row r="207">
      <c r="A207" s="27" t="s">
        <v>42</v>
      </c>
      <c r="B207" s="27" t="s">
        <v>665</v>
      </c>
      <c r="C207" s="27" t="s">
        <v>666</v>
      </c>
      <c r="D207" s="27" t="s">
        <v>667</v>
      </c>
      <c r="E207" s="28" t="s">
        <v>46</v>
      </c>
      <c r="F207" s="29" t="s">
        <v>46</v>
      </c>
      <c r="G207" s="30" t="s">
        <v>46</v>
      </c>
      <c r="H207" s="31"/>
      <c r="I207" s="31" t="s">
        <v>625</v>
      </c>
      <c r="J207" s="32" t="n">
        <v>1.0</v>
      </c>
      <c r="K207" s="33" t="n">
        <f>13630</f>
        <v>13630.0</v>
      </c>
      <c r="L207" s="34" t="s">
        <v>48</v>
      </c>
      <c r="M207" s="33" t="n">
        <f>13630</f>
        <v>13630.0</v>
      </c>
      <c r="N207" s="34" t="s">
        <v>48</v>
      </c>
      <c r="O207" s="33" t="n">
        <f>12760</f>
        <v>12760.0</v>
      </c>
      <c r="P207" s="34" t="s">
        <v>480</v>
      </c>
      <c r="Q207" s="33" t="n">
        <f>13390</f>
        <v>13390.0</v>
      </c>
      <c r="R207" s="34" t="s">
        <v>51</v>
      </c>
      <c r="S207" s="35" t="n">
        <f>13267.69</f>
        <v>13267.69</v>
      </c>
      <c r="T207" s="32" t="n">
        <f>201</f>
        <v>201.0</v>
      </c>
      <c r="U207" s="32" t="str">
        <f>"－"</f>
        <v>－</v>
      </c>
      <c r="V207" s="32" t="n">
        <f>2652790</f>
        <v>2652790.0</v>
      </c>
      <c r="W207" s="32" t="str">
        <f>"－"</f>
        <v>－</v>
      </c>
      <c r="X207" s="36" t="n">
        <f>13</f>
        <v>13.0</v>
      </c>
    </row>
    <row r="208">
      <c r="A208" s="27" t="s">
        <v>42</v>
      </c>
      <c r="B208" s="27" t="s">
        <v>668</v>
      </c>
      <c r="C208" s="27" t="s">
        <v>669</v>
      </c>
      <c r="D208" s="27" t="s">
        <v>670</v>
      </c>
      <c r="E208" s="28" t="s">
        <v>46</v>
      </c>
      <c r="F208" s="29" t="s">
        <v>46</v>
      </c>
      <c r="G208" s="30" t="s">
        <v>46</v>
      </c>
      <c r="H208" s="31"/>
      <c r="I208" s="31" t="s">
        <v>625</v>
      </c>
      <c r="J208" s="32" t="n">
        <v>1.0</v>
      </c>
      <c r="K208" s="33" t="n">
        <f>12750</f>
        <v>12750.0</v>
      </c>
      <c r="L208" s="34" t="s">
        <v>48</v>
      </c>
      <c r="M208" s="33" t="n">
        <f>14490</f>
        <v>14490.0</v>
      </c>
      <c r="N208" s="34" t="s">
        <v>51</v>
      </c>
      <c r="O208" s="33" t="n">
        <f>12280</f>
        <v>12280.0</v>
      </c>
      <c r="P208" s="34" t="s">
        <v>50</v>
      </c>
      <c r="Q208" s="33" t="n">
        <f>14400</f>
        <v>14400.0</v>
      </c>
      <c r="R208" s="34" t="s">
        <v>51</v>
      </c>
      <c r="S208" s="35" t="n">
        <f>13382.78</f>
        <v>13382.78</v>
      </c>
      <c r="T208" s="32" t="n">
        <f>39576</f>
        <v>39576.0</v>
      </c>
      <c r="U208" s="32" t="n">
        <f>8</f>
        <v>8.0</v>
      </c>
      <c r="V208" s="32" t="n">
        <f>535909100</f>
        <v>5.359091E8</v>
      </c>
      <c r="W208" s="32" t="n">
        <f>111370</f>
        <v>111370.0</v>
      </c>
      <c r="X208" s="36" t="n">
        <f>18</f>
        <v>18.0</v>
      </c>
    </row>
    <row r="209">
      <c r="A209" s="27" t="s">
        <v>42</v>
      </c>
      <c r="B209" s="27" t="s">
        <v>671</v>
      </c>
      <c r="C209" s="27" t="s">
        <v>672</v>
      </c>
      <c r="D209" s="27" t="s">
        <v>673</v>
      </c>
      <c r="E209" s="28" t="s">
        <v>46</v>
      </c>
      <c r="F209" s="29" t="s">
        <v>46</v>
      </c>
      <c r="G209" s="30" t="s">
        <v>46</v>
      </c>
      <c r="H209" s="31"/>
      <c r="I209" s="31" t="s">
        <v>625</v>
      </c>
      <c r="J209" s="32" t="n">
        <v>1.0</v>
      </c>
      <c r="K209" s="33" t="n">
        <f>4735</f>
        <v>4735.0</v>
      </c>
      <c r="L209" s="34" t="s">
        <v>48</v>
      </c>
      <c r="M209" s="33" t="n">
        <f>4900</f>
        <v>4900.0</v>
      </c>
      <c r="N209" s="34" t="s">
        <v>50</v>
      </c>
      <c r="O209" s="33" t="n">
        <f>4440</f>
        <v>4440.0</v>
      </c>
      <c r="P209" s="34" t="s">
        <v>173</v>
      </c>
      <c r="Q209" s="33" t="n">
        <f>4525</f>
        <v>4525.0</v>
      </c>
      <c r="R209" s="34" t="s">
        <v>51</v>
      </c>
      <c r="S209" s="35" t="n">
        <f>4586.39</f>
        <v>4586.39</v>
      </c>
      <c r="T209" s="32" t="n">
        <f>8799</f>
        <v>8799.0</v>
      </c>
      <c r="U209" s="32" t="str">
        <f>"－"</f>
        <v>－</v>
      </c>
      <c r="V209" s="32" t="n">
        <f>40652330</f>
        <v>4.065233E7</v>
      </c>
      <c r="W209" s="32" t="str">
        <f>"－"</f>
        <v>－</v>
      </c>
      <c r="X209" s="36" t="n">
        <f>18</f>
        <v>18.0</v>
      </c>
    </row>
    <row r="210">
      <c r="A210" s="27" t="s">
        <v>42</v>
      </c>
      <c r="B210" s="27" t="s">
        <v>674</v>
      </c>
      <c r="C210" s="27" t="s">
        <v>675</v>
      </c>
      <c r="D210" s="27" t="s">
        <v>676</v>
      </c>
      <c r="E210" s="28" t="s">
        <v>46</v>
      </c>
      <c r="F210" s="29" t="s">
        <v>46</v>
      </c>
      <c r="G210" s="30" t="s">
        <v>46</v>
      </c>
      <c r="H210" s="31"/>
      <c r="I210" s="31" t="s">
        <v>625</v>
      </c>
      <c r="J210" s="32" t="n">
        <v>1.0</v>
      </c>
      <c r="K210" s="33" t="n">
        <f>10870</f>
        <v>10870.0</v>
      </c>
      <c r="L210" s="34" t="s">
        <v>48</v>
      </c>
      <c r="M210" s="33" t="n">
        <f>11160</f>
        <v>11160.0</v>
      </c>
      <c r="N210" s="34" t="s">
        <v>84</v>
      </c>
      <c r="O210" s="33" t="n">
        <f>10860</f>
        <v>10860.0</v>
      </c>
      <c r="P210" s="34" t="s">
        <v>114</v>
      </c>
      <c r="Q210" s="33" t="n">
        <f>11160</f>
        <v>11160.0</v>
      </c>
      <c r="R210" s="34" t="s">
        <v>84</v>
      </c>
      <c r="S210" s="35" t="n">
        <f>11031.25</f>
        <v>11031.25</v>
      </c>
      <c r="T210" s="32" t="n">
        <f>1251</f>
        <v>1251.0</v>
      </c>
      <c r="U210" s="32" t="str">
        <f>"－"</f>
        <v>－</v>
      </c>
      <c r="V210" s="32" t="n">
        <f>13776840</f>
        <v>1.377684E7</v>
      </c>
      <c r="W210" s="32" t="str">
        <f>"－"</f>
        <v>－</v>
      </c>
      <c r="X210" s="36" t="n">
        <f>8</f>
        <v>8.0</v>
      </c>
    </row>
    <row r="211">
      <c r="A211" s="27" t="s">
        <v>42</v>
      </c>
      <c r="B211" s="27" t="s">
        <v>677</v>
      </c>
      <c r="C211" s="27" t="s">
        <v>678</v>
      </c>
      <c r="D211" s="27" t="s">
        <v>679</v>
      </c>
      <c r="E211" s="28" t="s">
        <v>46</v>
      </c>
      <c r="F211" s="29" t="s">
        <v>46</v>
      </c>
      <c r="G211" s="30" t="s">
        <v>46</v>
      </c>
      <c r="H211" s="31"/>
      <c r="I211" s="31" t="s">
        <v>625</v>
      </c>
      <c r="J211" s="32" t="n">
        <v>1.0</v>
      </c>
      <c r="K211" s="33" t="n">
        <f>12500</f>
        <v>12500.0</v>
      </c>
      <c r="L211" s="34" t="s">
        <v>48</v>
      </c>
      <c r="M211" s="33" t="n">
        <f>12650</f>
        <v>12650.0</v>
      </c>
      <c r="N211" s="34" t="s">
        <v>49</v>
      </c>
      <c r="O211" s="33" t="n">
        <f>12160</f>
        <v>12160.0</v>
      </c>
      <c r="P211" s="34" t="s">
        <v>319</v>
      </c>
      <c r="Q211" s="33" t="n">
        <f>12320</f>
        <v>12320.0</v>
      </c>
      <c r="R211" s="34" t="s">
        <v>84</v>
      </c>
      <c r="S211" s="35" t="n">
        <f>12361.43</f>
        <v>12361.43</v>
      </c>
      <c r="T211" s="32" t="n">
        <f>170</f>
        <v>170.0</v>
      </c>
      <c r="U211" s="32" t="str">
        <f>"－"</f>
        <v>－</v>
      </c>
      <c r="V211" s="32" t="n">
        <f>2083540</f>
        <v>2083540.0</v>
      </c>
      <c r="W211" s="32" t="str">
        <f>"－"</f>
        <v>－</v>
      </c>
      <c r="X211" s="36" t="n">
        <f>7</f>
        <v>7.0</v>
      </c>
    </row>
    <row r="212">
      <c r="A212" s="27" t="s">
        <v>42</v>
      </c>
      <c r="B212" s="27" t="s">
        <v>680</v>
      </c>
      <c r="C212" s="27" t="s">
        <v>681</v>
      </c>
      <c r="D212" s="27" t="s">
        <v>682</v>
      </c>
      <c r="E212" s="28" t="s">
        <v>46</v>
      </c>
      <c r="F212" s="29" t="s">
        <v>46</v>
      </c>
      <c r="G212" s="30" t="s">
        <v>46</v>
      </c>
      <c r="H212" s="31"/>
      <c r="I212" s="31" t="s">
        <v>625</v>
      </c>
      <c r="J212" s="32" t="n">
        <v>1.0</v>
      </c>
      <c r="K212" s="33" t="n">
        <f>12810</f>
        <v>12810.0</v>
      </c>
      <c r="L212" s="34" t="s">
        <v>85</v>
      </c>
      <c r="M212" s="33" t="n">
        <f>12810</f>
        <v>12810.0</v>
      </c>
      <c r="N212" s="34" t="s">
        <v>85</v>
      </c>
      <c r="O212" s="33" t="n">
        <f>12810</f>
        <v>12810.0</v>
      </c>
      <c r="P212" s="34" t="s">
        <v>85</v>
      </c>
      <c r="Q212" s="33" t="n">
        <f>12810</f>
        <v>12810.0</v>
      </c>
      <c r="R212" s="34" t="s">
        <v>85</v>
      </c>
      <c r="S212" s="35" t="n">
        <f>12810</f>
        <v>12810.0</v>
      </c>
      <c r="T212" s="32" t="n">
        <f>7</f>
        <v>7.0</v>
      </c>
      <c r="U212" s="32" t="str">
        <f>"－"</f>
        <v>－</v>
      </c>
      <c r="V212" s="32" t="n">
        <f>89670</f>
        <v>89670.0</v>
      </c>
      <c r="W212" s="32" t="str">
        <f>"－"</f>
        <v>－</v>
      </c>
      <c r="X212" s="36" t="n">
        <f>1</f>
        <v>1.0</v>
      </c>
    </row>
    <row r="213">
      <c r="A213" s="27" t="s">
        <v>42</v>
      </c>
      <c r="B213" s="27" t="s">
        <v>683</v>
      </c>
      <c r="C213" s="27" t="s">
        <v>684</v>
      </c>
      <c r="D213" s="27" t="s">
        <v>685</v>
      </c>
      <c r="E213" s="28" t="s">
        <v>46</v>
      </c>
      <c r="F213" s="29" t="s">
        <v>46</v>
      </c>
      <c r="G213" s="30" t="s">
        <v>46</v>
      </c>
      <c r="H213" s="31"/>
      <c r="I213" s="31" t="s">
        <v>625</v>
      </c>
      <c r="J213" s="32" t="n">
        <v>1.0</v>
      </c>
      <c r="K213" s="33" t="n">
        <f>13690</f>
        <v>13690.0</v>
      </c>
      <c r="L213" s="34" t="s">
        <v>48</v>
      </c>
      <c r="M213" s="33" t="n">
        <f>13710</f>
        <v>13710.0</v>
      </c>
      <c r="N213" s="34" t="s">
        <v>48</v>
      </c>
      <c r="O213" s="33" t="n">
        <f>13380</f>
        <v>13380.0</v>
      </c>
      <c r="P213" s="34" t="s">
        <v>85</v>
      </c>
      <c r="Q213" s="33" t="n">
        <f>13650</f>
        <v>13650.0</v>
      </c>
      <c r="R213" s="34" t="s">
        <v>51</v>
      </c>
      <c r="S213" s="35" t="n">
        <f>13520</f>
        <v>13520.0</v>
      </c>
      <c r="T213" s="32" t="n">
        <f>850</f>
        <v>850.0</v>
      </c>
      <c r="U213" s="32" t="str">
        <f>"－"</f>
        <v>－</v>
      </c>
      <c r="V213" s="32" t="n">
        <f>11607340</f>
        <v>1.160734E7</v>
      </c>
      <c r="W213" s="32" t="str">
        <f>"－"</f>
        <v>－</v>
      </c>
      <c r="X213" s="36" t="n">
        <f>9</f>
        <v>9.0</v>
      </c>
    </row>
    <row r="214">
      <c r="A214" s="27" t="s">
        <v>42</v>
      </c>
      <c r="B214" s="27" t="s">
        <v>686</v>
      </c>
      <c r="C214" s="27" t="s">
        <v>687</v>
      </c>
      <c r="D214" s="27" t="s">
        <v>688</v>
      </c>
      <c r="E214" s="28" t="s">
        <v>46</v>
      </c>
      <c r="F214" s="29" t="s">
        <v>46</v>
      </c>
      <c r="G214" s="30" t="s">
        <v>46</v>
      </c>
      <c r="H214" s="31"/>
      <c r="I214" s="31" t="s">
        <v>625</v>
      </c>
      <c r="J214" s="32" t="n">
        <v>1.0</v>
      </c>
      <c r="K214" s="33" t="n">
        <f>12630</f>
        <v>12630.0</v>
      </c>
      <c r="L214" s="34" t="s">
        <v>48</v>
      </c>
      <c r="M214" s="33" t="n">
        <f>12940</f>
        <v>12940.0</v>
      </c>
      <c r="N214" s="34" t="s">
        <v>49</v>
      </c>
      <c r="O214" s="33" t="n">
        <f>12180</f>
        <v>12180.0</v>
      </c>
      <c r="P214" s="34" t="s">
        <v>50</v>
      </c>
      <c r="Q214" s="33" t="n">
        <f>12700</f>
        <v>12700.0</v>
      </c>
      <c r="R214" s="34" t="s">
        <v>51</v>
      </c>
      <c r="S214" s="35" t="n">
        <f>12576.47</f>
        <v>12576.47</v>
      </c>
      <c r="T214" s="32" t="n">
        <f>5328</f>
        <v>5328.0</v>
      </c>
      <c r="U214" s="32" t="str">
        <f>"－"</f>
        <v>－</v>
      </c>
      <c r="V214" s="32" t="n">
        <f>66782400</f>
        <v>6.67824E7</v>
      </c>
      <c r="W214" s="32" t="str">
        <f>"－"</f>
        <v>－</v>
      </c>
      <c r="X214" s="36" t="n">
        <f>17</f>
        <v>17.0</v>
      </c>
    </row>
    <row r="215">
      <c r="A215" s="27" t="s">
        <v>42</v>
      </c>
      <c r="B215" s="27" t="s">
        <v>689</v>
      </c>
      <c r="C215" s="27" t="s">
        <v>690</v>
      </c>
      <c r="D215" s="27" t="s">
        <v>691</v>
      </c>
      <c r="E215" s="28" t="s">
        <v>46</v>
      </c>
      <c r="F215" s="29" t="s">
        <v>46</v>
      </c>
      <c r="G215" s="30" t="s">
        <v>46</v>
      </c>
      <c r="H215" s="31"/>
      <c r="I215" s="31" t="s">
        <v>625</v>
      </c>
      <c r="J215" s="32" t="n">
        <v>1.0</v>
      </c>
      <c r="K215" s="33" t="n">
        <f>13610</f>
        <v>13610.0</v>
      </c>
      <c r="L215" s="34" t="s">
        <v>49</v>
      </c>
      <c r="M215" s="33" t="n">
        <f>13610</f>
        <v>13610.0</v>
      </c>
      <c r="N215" s="34" t="s">
        <v>49</v>
      </c>
      <c r="O215" s="33" t="n">
        <f>12490</f>
        <v>12490.0</v>
      </c>
      <c r="P215" s="34" t="s">
        <v>50</v>
      </c>
      <c r="Q215" s="33" t="n">
        <f>12980</f>
        <v>12980.0</v>
      </c>
      <c r="R215" s="34" t="s">
        <v>231</v>
      </c>
      <c r="S215" s="35" t="n">
        <f>13010</f>
        <v>13010.0</v>
      </c>
      <c r="T215" s="32" t="n">
        <f>317</f>
        <v>317.0</v>
      </c>
      <c r="U215" s="32" t="str">
        <f>"－"</f>
        <v>－</v>
      </c>
      <c r="V215" s="32" t="n">
        <f>3970080</f>
        <v>3970080.0</v>
      </c>
      <c r="W215" s="32" t="str">
        <f>"－"</f>
        <v>－</v>
      </c>
      <c r="X215" s="36" t="n">
        <f>4</f>
        <v>4.0</v>
      </c>
    </row>
    <row r="216">
      <c r="A216" s="27" t="s">
        <v>42</v>
      </c>
      <c r="B216" s="27" t="s">
        <v>692</v>
      </c>
      <c r="C216" s="27" t="s">
        <v>693</v>
      </c>
      <c r="D216" s="27" t="s">
        <v>694</v>
      </c>
      <c r="E216" s="28" t="s">
        <v>46</v>
      </c>
      <c r="F216" s="29" t="s">
        <v>46</v>
      </c>
      <c r="G216" s="30" t="s">
        <v>46</v>
      </c>
      <c r="H216" s="31"/>
      <c r="I216" s="31" t="s">
        <v>625</v>
      </c>
      <c r="J216" s="32" t="n">
        <v>1.0</v>
      </c>
      <c r="K216" s="33" t="n">
        <f>12440</f>
        <v>12440.0</v>
      </c>
      <c r="L216" s="34" t="s">
        <v>51</v>
      </c>
      <c r="M216" s="33" t="n">
        <f>12440</f>
        <v>12440.0</v>
      </c>
      <c r="N216" s="34" t="s">
        <v>51</v>
      </c>
      <c r="O216" s="33" t="n">
        <f>12440</f>
        <v>12440.0</v>
      </c>
      <c r="P216" s="34" t="s">
        <v>51</v>
      </c>
      <c r="Q216" s="33" t="n">
        <f>12440</f>
        <v>12440.0</v>
      </c>
      <c r="R216" s="34" t="s">
        <v>51</v>
      </c>
      <c r="S216" s="35" t="n">
        <f>12440</f>
        <v>12440.0</v>
      </c>
      <c r="T216" s="32" t="n">
        <f>1</f>
        <v>1.0</v>
      </c>
      <c r="U216" s="32" t="str">
        <f>"－"</f>
        <v>－</v>
      </c>
      <c r="V216" s="32" t="n">
        <f>12440</f>
        <v>12440.0</v>
      </c>
      <c r="W216" s="32" t="str">
        <f>"－"</f>
        <v>－</v>
      </c>
      <c r="X216" s="36" t="n">
        <f>1</f>
        <v>1.0</v>
      </c>
    </row>
    <row r="217">
      <c r="A217" s="27" t="s">
        <v>42</v>
      </c>
      <c r="B217" s="27" t="s">
        <v>695</v>
      </c>
      <c r="C217" s="27" t="s">
        <v>696</v>
      </c>
      <c r="D217" s="27" t="s">
        <v>697</v>
      </c>
      <c r="E217" s="28" t="s">
        <v>46</v>
      </c>
      <c r="F217" s="29" t="s">
        <v>46</v>
      </c>
      <c r="G217" s="30" t="s">
        <v>46</v>
      </c>
      <c r="H217" s="31"/>
      <c r="I217" s="31" t="s">
        <v>625</v>
      </c>
      <c r="J217" s="32" t="n">
        <v>1.0</v>
      </c>
      <c r="K217" s="33" t="n">
        <f>10140</f>
        <v>10140.0</v>
      </c>
      <c r="L217" s="34" t="s">
        <v>48</v>
      </c>
      <c r="M217" s="33" t="n">
        <f>10260</f>
        <v>10260.0</v>
      </c>
      <c r="N217" s="34" t="s">
        <v>49</v>
      </c>
      <c r="O217" s="33" t="n">
        <f>9760</f>
        <v>9760.0</v>
      </c>
      <c r="P217" s="34" t="s">
        <v>50</v>
      </c>
      <c r="Q217" s="33" t="n">
        <f>10030</f>
        <v>10030.0</v>
      </c>
      <c r="R217" s="34" t="s">
        <v>51</v>
      </c>
      <c r="S217" s="35" t="n">
        <f>9998.75</f>
        <v>9998.75</v>
      </c>
      <c r="T217" s="32" t="n">
        <f>11651</f>
        <v>11651.0</v>
      </c>
      <c r="U217" s="32" t="str">
        <f>"－"</f>
        <v>－</v>
      </c>
      <c r="V217" s="32" t="n">
        <f>116617620</f>
        <v>1.1661762E8</v>
      </c>
      <c r="W217" s="32" t="str">
        <f>"－"</f>
        <v>－</v>
      </c>
      <c r="X217" s="36" t="n">
        <f>16</f>
        <v>16.0</v>
      </c>
    </row>
    <row r="218">
      <c r="A218" s="27" t="s">
        <v>42</v>
      </c>
      <c r="B218" s="27" t="s">
        <v>698</v>
      </c>
      <c r="C218" s="27" t="s">
        <v>699</v>
      </c>
      <c r="D218" s="27" t="s">
        <v>700</v>
      </c>
      <c r="E218" s="28" t="s">
        <v>46</v>
      </c>
      <c r="F218" s="29" t="s">
        <v>46</v>
      </c>
      <c r="G218" s="30" t="s">
        <v>46</v>
      </c>
      <c r="H218" s="31"/>
      <c r="I218" s="31" t="s">
        <v>625</v>
      </c>
      <c r="J218" s="32" t="n">
        <v>1.0</v>
      </c>
      <c r="K218" s="33" t="n">
        <f>10710</f>
        <v>10710.0</v>
      </c>
      <c r="L218" s="34" t="s">
        <v>48</v>
      </c>
      <c r="M218" s="33" t="n">
        <f>10800</f>
        <v>10800.0</v>
      </c>
      <c r="N218" s="34" t="s">
        <v>130</v>
      </c>
      <c r="O218" s="33" t="n">
        <f>10050</f>
        <v>10050.0</v>
      </c>
      <c r="P218" s="34" t="s">
        <v>50</v>
      </c>
      <c r="Q218" s="33" t="n">
        <f>10470</f>
        <v>10470.0</v>
      </c>
      <c r="R218" s="34" t="s">
        <v>51</v>
      </c>
      <c r="S218" s="35" t="n">
        <f>10447.22</f>
        <v>10447.22</v>
      </c>
      <c r="T218" s="32" t="n">
        <f>43892</f>
        <v>43892.0</v>
      </c>
      <c r="U218" s="32" t="str">
        <f>"－"</f>
        <v>－</v>
      </c>
      <c r="V218" s="32" t="n">
        <f>460143050</f>
        <v>4.6014305E8</v>
      </c>
      <c r="W218" s="32" t="str">
        <f>"－"</f>
        <v>－</v>
      </c>
      <c r="X218" s="36" t="n">
        <f>18</f>
        <v>18.0</v>
      </c>
    </row>
    <row r="219">
      <c r="A219" s="27" t="s">
        <v>42</v>
      </c>
      <c r="B219" s="27" t="s">
        <v>701</v>
      </c>
      <c r="C219" s="27" t="s">
        <v>702</v>
      </c>
      <c r="D219" s="27" t="s">
        <v>703</v>
      </c>
      <c r="E219" s="28" t="s">
        <v>46</v>
      </c>
      <c r="F219" s="29" t="s">
        <v>46</v>
      </c>
      <c r="G219" s="30" t="s">
        <v>46</v>
      </c>
      <c r="H219" s="31"/>
      <c r="I219" s="31" t="s">
        <v>625</v>
      </c>
      <c r="J219" s="32" t="n">
        <v>1.0</v>
      </c>
      <c r="K219" s="33" t="n">
        <f>10690</f>
        <v>10690.0</v>
      </c>
      <c r="L219" s="34" t="s">
        <v>48</v>
      </c>
      <c r="M219" s="33" t="n">
        <f>10740</f>
        <v>10740.0</v>
      </c>
      <c r="N219" s="34" t="s">
        <v>84</v>
      </c>
      <c r="O219" s="33" t="n">
        <f>10370</f>
        <v>10370.0</v>
      </c>
      <c r="P219" s="34" t="s">
        <v>85</v>
      </c>
      <c r="Q219" s="33" t="n">
        <f>10600</f>
        <v>10600.0</v>
      </c>
      <c r="R219" s="34" t="s">
        <v>51</v>
      </c>
      <c r="S219" s="35" t="n">
        <f>10555</f>
        <v>10555.0</v>
      </c>
      <c r="T219" s="32" t="n">
        <f>19695</f>
        <v>19695.0</v>
      </c>
      <c r="U219" s="32" t="str">
        <f>"－"</f>
        <v>－</v>
      </c>
      <c r="V219" s="32" t="n">
        <f>208274150</f>
        <v>2.0827415E8</v>
      </c>
      <c r="W219" s="32" t="str">
        <f>"－"</f>
        <v>－</v>
      </c>
      <c r="X219" s="36" t="n">
        <f>14</f>
        <v>14.0</v>
      </c>
    </row>
    <row r="220">
      <c r="A220" s="27" t="s">
        <v>42</v>
      </c>
      <c r="B220" s="27" t="s">
        <v>704</v>
      </c>
      <c r="C220" s="27" t="s">
        <v>705</v>
      </c>
      <c r="D220" s="27" t="s">
        <v>706</v>
      </c>
      <c r="E220" s="28" t="s">
        <v>46</v>
      </c>
      <c r="F220" s="29" t="s">
        <v>46</v>
      </c>
      <c r="G220" s="30" t="s">
        <v>46</v>
      </c>
      <c r="H220" s="31"/>
      <c r="I220" s="31" t="s">
        <v>47</v>
      </c>
      <c r="J220" s="32" t="n">
        <v>10.0</v>
      </c>
      <c r="K220" s="33" t="n">
        <f>995</f>
        <v>995.0</v>
      </c>
      <c r="L220" s="34" t="s">
        <v>48</v>
      </c>
      <c r="M220" s="33" t="n">
        <f>996</f>
        <v>996.0</v>
      </c>
      <c r="N220" s="34" t="s">
        <v>61</v>
      </c>
      <c r="O220" s="33" t="n">
        <f>993</f>
        <v>993.0</v>
      </c>
      <c r="P220" s="34" t="s">
        <v>48</v>
      </c>
      <c r="Q220" s="33" t="n">
        <f>995</f>
        <v>995.0</v>
      </c>
      <c r="R220" s="34" t="s">
        <v>51</v>
      </c>
      <c r="S220" s="35" t="n">
        <f>994.78</f>
        <v>994.78</v>
      </c>
      <c r="T220" s="32" t="n">
        <f>2643650</f>
        <v>2643650.0</v>
      </c>
      <c r="U220" s="32" t="n">
        <f>2274770</f>
        <v>2274770.0</v>
      </c>
      <c r="V220" s="32" t="n">
        <f>2631897606</f>
        <v>2.631897606E9</v>
      </c>
      <c r="W220" s="32" t="n">
        <f>2264874596</f>
        <v>2.264874596E9</v>
      </c>
      <c r="X220" s="36" t="n">
        <f>18</f>
        <v>18.0</v>
      </c>
    </row>
    <row r="221">
      <c r="A221" s="27" t="s">
        <v>42</v>
      </c>
      <c r="B221" s="27" t="s">
        <v>707</v>
      </c>
      <c r="C221" s="27" t="s">
        <v>708</v>
      </c>
      <c r="D221" s="27" t="s">
        <v>709</v>
      </c>
      <c r="E221" s="28" t="s">
        <v>46</v>
      </c>
      <c r="F221" s="29" t="s">
        <v>46</v>
      </c>
      <c r="G221" s="30" t="s">
        <v>46</v>
      </c>
      <c r="H221" s="31"/>
      <c r="I221" s="31" t="s">
        <v>47</v>
      </c>
      <c r="J221" s="32" t="n">
        <v>10.0</v>
      </c>
      <c r="K221" s="33" t="n">
        <f>1011</f>
        <v>1011.0</v>
      </c>
      <c r="L221" s="34" t="s">
        <v>48</v>
      </c>
      <c r="M221" s="33" t="n">
        <f>1027</f>
        <v>1027.0</v>
      </c>
      <c r="N221" s="34" t="s">
        <v>51</v>
      </c>
      <c r="O221" s="33" t="n">
        <f>1006</f>
        <v>1006.0</v>
      </c>
      <c r="P221" s="34" t="s">
        <v>85</v>
      </c>
      <c r="Q221" s="33" t="n">
        <f>1019</f>
        <v>1019.0</v>
      </c>
      <c r="R221" s="34" t="s">
        <v>51</v>
      </c>
      <c r="S221" s="35" t="n">
        <f>1011</f>
        <v>1011.0</v>
      </c>
      <c r="T221" s="32" t="n">
        <f>1196720</f>
        <v>1196720.0</v>
      </c>
      <c r="U221" s="32" t="n">
        <f>98940</f>
        <v>98940.0</v>
      </c>
      <c r="V221" s="32" t="n">
        <f>1209698738</f>
        <v>1.209698738E9</v>
      </c>
      <c r="W221" s="32" t="n">
        <f>100146698</f>
        <v>1.00146698E8</v>
      </c>
      <c r="X221" s="36" t="n">
        <f>18</f>
        <v>18.0</v>
      </c>
    </row>
    <row r="222">
      <c r="A222" s="27" t="s">
        <v>42</v>
      </c>
      <c r="B222" s="27" t="s">
        <v>710</v>
      </c>
      <c r="C222" s="27" t="s">
        <v>711</v>
      </c>
      <c r="D222" s="27" t="s">
        <v>712</v>
      </c>
      <c r="E222" s="28" t="s">
        <v>46</v>
      </c>
      <c r="F222" s="29" t="s">
        <v>46</v>
      </c>
      <c r="G222" s="30" t="s">
        <v>46</v>
      </c>
      <c r="H222" s="31"/>
      <c r="I222" s="31" t="s">
        <v>47</v>
      </c>
      <c r="J222" s="32" t="n">
        <v>10.0</v>
      </c>
      <c r="K222" s="33" t="n">
        <f>1018</f>
        <v>1018.0</v>
      </c>
      <c r="L222" s="34" t="s">
        <v>48</v>
      </c>
      <c r="M222" s="33" t="n">
        <f>1018</f>
        <v>1018.0</v>
      </c>
      <c r="N222" s="34" t="s">
        <v>48</v>
      </c>
      <c r="O222" s="33" t="n">
        <f>1004</f>
        <v>1004.0</v>
      </c>
      <c r="P222" s="34" t="s">
        <v>319</v>
      </c>
      <c r="Q222" s="33" t="n">
        <f>1014</f>
        <v>1014.0</v>
      </c>
      <c r="R222" s="34" t="s">
        <v>51</v>
      </c>
      <c r="S222" s="35" t="n">
        <f>1011</f>
        <v>1011.0</v>
      </c>
      <c r="T222" s="32" t="n">
        <f>4871990</f>
        <v>4871990.0</v>
      </c>
      <c r="U222" s="32" t="n">
        <f>4682310</f>
        <v>4682310.0</v>
      </c>
      <c r="V222" s="32" t="n">
        <f>4921581835</f>
        <v>4.921581835E9</v>
      </c>
      <c r="W222" s="32" t="n">
        <f>4730521175</f>
        <v>4.730521175E9</v>
      </c>
      <c r="X222" s="36" t="n">
        <f>18</f>
        <v>18.0</v>
      </c>
    </row>
    <row r="223">
      <c r="A223" s="27" t="s">
        <v>42</v>
      </c>
      <c r="B223" s="27" t="s">
        <v>713</v>
      </c>
      <c r="C223" s="27" t="s">
        <v>714</v>
      </c>
      <c r="D223" s="27" t="s">
        <v>715</v>
      </c>
      <c r="E223" s="28" t="s">
        <v>46</v>
      </c>
      <c r="F223" s="29" t="s">
        <v>46</v>
      </c>
      <c r="G223" s="30" t="s">
        <v>46</v>
      </c>
      <c r="H223" s="31"/>
      <c r="I223" s="31" t="s">
        <v>47</v>
      </c>
      <c r="J223" s="32" t="n">
        <v>10.0</v>
      </c>
      <c r="K223" s="33" t="n">
        <f>1444</f>
        <v>1444.0</v>
      </c>
      <c r="L223" s="34" t="s">
        <v>48</v>
      </c>
      <c r="M223" s="33" t="n">
        <f>1482</f>
        <v>1482.0</v>
      </c>
      <c r="N223" s="34" t="s">
        <v>84</v>
      </c>
      <c r="O223" s="33" t="n">
        <f>1418</f>
        <v>1418.0</v>
      </c>
      <c r="P223" s="34" t="s">
        <v>50</v>
      </c>
      <c r="Q223" s="33" t="n">
        <f>1473</f>
        <v>1473.0</v>
      </c>
      <c r="R223" s="34" t="s">
        <v>51</v>
      </c>
      <c r="S223" s="35" t="n">
        <f>1448.78</f>
        <v>1448.78</v>
      </c>
      <c r="T223" s="32" t="n">
        <f>2029120</f>
        <v>2029120.0</v>
      </c>
      <c r="U223" s="32" t="n">
        <f>1703280</f>
        <v>1703280.0</v>
      </c>
      <c r="V223" s="32" t="n">
        <f>2956402589</f>
        <v>2.956402589E9</v>
      </c>
      <c r="W223" s="32" t="n">
        <f>2480949209</f>
        <v>2.480949209E9</v>
      </c>
      <c r="X223" s="36" t="n">
        <f>18</f>
        <v>18.0</v>
      </c>
    </row>
    <row r="224">
      <c r="A224" s="27" t="s">
        <v>42</v>
      </c>
      <c r="B224" s="27" t="s">
        <v>716</v>
      </c>
      <c r="C224" s="27" t="s">
        <v>717</v>
      </c>
      <c r="D224" s="27" t="s">
        <v>718</v>
      </c>
      <c r="E224" s="28" t="s">
        <v>46</v>
      </c>
      <c r="F224" s="29" t="s">
        <v>46</v>
      </c>
      <c r="G224" s="30" t="s">
        <v>46</v>
      </c>
      <c r="H224" s="31"/>
      <c r="I224" s="31" t="s">
        <v>47</v>
      </c>
      <c r="J224" s="32" t="n">
        <v>10.0</v>
      </c>
      <c r="K224" s="33" t="n">
        <f>1434</f>
        <v>1434.0</v>
      </c>
      <c r="L224" s="34" t="s">
        <v>48</v>
      </c>
      <c r="M224" s="33" t="n">
        <f>1455</f>
        <v>1455.0</v>
      </c>
      <c r="N224" s="34" t="s">
        <v>49</v>
      </c>
      <c r="O224" s="33" t="n">
        <f>1395</f>
        <v>1395.0</v>
      </c>
      <c r="P224" s="34" t="s">
        <v>50</v>
      </c>
      <c r="Q224" s="33" t="n">
        <f>1447</f>
        <v>1447.0</v>
      </c>
      <c r="R224" s="34" t="s">
        <v>51</v>
      </c>
      <c r="S224" s="35" t="n">
        <f>1432</f>
        <v>1432.0</v>
      </c>
      <c r="T224" s="32" t="n">
        <f>946520</f>
        <v>946520.0</v>
      </c>
      <c r="U224" s="32" t="n">
        <f>800020</f>
        <v>800020.0</v>
      </c>
      <c r="V224" s="32" t="n">
        <f>1367601950</f>
        <v>1.36760195E9</v>
      </c>
      <c r="W224" s="32" t="n">
        <f>1155708950</f>
        <v>1.15570895E9</v>
      </c>
      <c r="X224" s="36" t="n">
        <f>18</f>
        <v>18.0</v>
      </c>
    </row>
    <row r="225">
      <c r="A225" s="27" t="s">
        <v>42</v>
      </c>
      <c r="B225" s="27" t="s">
        <v>719</v>
      </c>
      <c r="C225" s="27" t="s">
        <v>720</v>
      </c>
      <c r="D225" s="27" t="s">
        <v>721</v>
      </c>
      <c r="E225" s="28" t="s">
        <v>46</v>
      </c>
      <c r="F225" s="29" t="s">
        <v>46</v>
      </c>
      <c r="G225" s="30" t="s">
        <v>46</v>
      </c>
      <c r="H225" s="31"/>
      <c r="I225" s="31" t="s">
        <v>47</v>
      </c>
      <c r="J225" s="32" t="n">
        <v>10.0</v>
      </c>
      <c r="K225" s="33" t="n">
        <f>1069</f>
        <v>1069.0</v>
      </c>
      <c r="L225" s="34" t="s">
        <v>48</v>
      </c>
      <c r="M225" s="33" t="n">
        <f>1121</f>
        <v>1121.0</v>
      </c>
      <c r="N225" s="34" t="s">
        <v>51</v>
      </c>
      <c r="O225" s="33" t="n">
        <f>1054</f>
        <v>1054.0</v>
      </c>
      <c r="P225" s="34" t="s">
        <v>50</v>
      </c>
      <c r="Q225" s="33" t="n">
        <f>1104</f>
        <v>1104.0</v>
      </c>
      <c r="R225" s="34" t="s">
        <v>51</v>
      </c>
      <c r="S225" s="35" t="n">
        <f>1080.61</f>
        <v>1080.61</v>
      </c>
      <c r="T225" s="32" t="n">
        <f>843200</f>
        <v>843200.0</v>
      </c>
      <c r="U225" s="32" t="n">
        <f>397360</f>
        <v>397360.0</v>
      </c>
      <c r="V225" s="32" t="n">
        <f>911136849</f>
        <v>9.11136849E8</v>
      </c>
      <c r="W225" s="32" t="n">
        <f>428389959</f>
        <v>4.28389959E8</v>
      </c>
      <c r="X225" s="36" t="n">
        <f>18</f>
        <v>18.0</v>
      </c>
    </row>
    <row r="226">
      <c r="A226" s="27" t="s">
        <v>42</v>
      </c>
      <c r="B226" s="27" t="s">
        <v>722</v>
      </c>
      <c r="C226" s="27" t="s">
        <v>723</v>
      </c>
      <c r="D226" s="27" t="s">
        <v>724</v>
      </c>
      <c r="E226" s="28" t="s">
        <v>46</v>
      </c>
      <c r="F226" s="29" t="s">
        <v>46</v>
      </c>
      <c r="G226" s="30" t="s">
        <v>46</v>
      </c>
      <c r="H226" s="31"/>
      <c r="I226" s="31" t="s">
        <v>47</v>
      </c>
      <c r="J226" s="32" t="n">
        <v>10.0</v>
      </c>
      <c r="K226" s="33" t="n">
        <f>915</f>
        <v>915.0</v>
      </c>
      <c r="L226" s="34" t="s">
        <v>48</v>
      </c>
      <c r="M226" s="33" t="n">
        <f>921</f>
        <v>921.0</v>
      </c>
      <c r="N226" s="34" t="s">
        <v>48</v>
      </c>
      <c r="O226" s="33" t="n">
        <f>801</f>
        <v>801.0</v>
      </c>
      <c r="P226" s="34" t="s">
        <v>480</v>
      </c>
      <c r="Q226" s="33" t="n">
        <f>875</f>
        <v>875.0</v>
      </c>
      <c r="R226" s="34" t="s">
        <v>51</v>
      </c>
      <c r="S226" s="35" t="n">
        <f>862.28</f>
        <v>862.28</v>
      </c>
      <c r="T226" s="32" t="n">
        <f>22603660</f>
        <v>2.260366E7</v>
      </c>
      <c r="U226" s="32" t="n">
        <f>58710</f>
        <v>58710.0</v>
      </c>
      <c r="V226" s="32" t="n">
        <f>19404672155</f>
        <v>1.9404672155E10</v>
      </c>
      <c r="W226" s="32" t="n">
        <f>53143045</f>
        <v>5.3143045E7</v>
      </c>
      <c r="X226" s="36" t="n">
        <f>18</f>
        <v>18.0</v>
      </c>
    </row>
    <row r="227">
      <c r="A227" s="27" t="s">
        <v>42</v>
      </c>
      <c r="B227" s="27" t="s">
        <v>725</v>
      </c>
      <c r="C227" s="27" t="s">
        <v>726</v>
      </c>
      <c r="D227" s="27" t="s">
        <v>727</v>
      </c>
      <c r="E227" s="28" t="s">
        <v>46</v>
      </c>
      <c r="F227" s="29" t="s">
        <v>46</v>
      </c>
      <c r="G227" s="30" t="s">
        <v>46</v>
      </c>
      <c r="H227" s="31"/>
      <c r="I227" s="31" t="s">
        <v>47</v>
      </c>
      <c r="J227" s="32" t="n">
        <v>10.0</v>
      </c>
      <c r="K227" s="33" t="n">
        <f>1236</f>
        <v>1236.0</v>
      </c>
      <c r="L227" s="34" t="s">
        <v>48</v>
      </c>
      <c r="M227" s="33" t="n">
        <f>1238</f>
        <v>1238.0</v>
      </c>
      <c r="N227" s="34" t="s">
        <v>48</v>
      </c>
      <c r="O227" s="33" t="n">
        <f>1181</f>
        <v>1181.0</v>
      </c>
      <c r="P227" s="34" t="s">
        <v>114</v>
      </c>
      <c r="Q227" s="33" t="n">
        <f>1220</f>
        <v>1220.0</v>
      </c>
      <c r="R227" s="34" t="s">
        <v>51</v>
      </c>
      <c r="S227" s="35" t="n">
        <f>1211.67</f>
        <v>1211.67</v>
      </c>
      <c r="T227" s="32" t="n">
        <f>2144570</f>
        <v>2144570.0</v>
      </c>
      <c r="U227" s="32" t="n">
        <f>184090</f>
        <v>184090.0</v>
      </c>
      <c r="V227" s="32" t="n">
        <f>2598328400</f>
        <v>2.5983284E9</v>
      </c>
      <c r="W227" s="32" t="n">
        <f>219680230</f>
        <v>2.1968023E8</v>
      </c>
      <c r="X227" s="36" t="n">
        <f>18</f>
        <v>18.0</v>
      </c>
    </row>
    <row r="228">
      <c r="A228" s="27" t="s">
        <v>42</v>
      </c>
      <c r="B228" s="27" t="s">
        <v>728</v>
      </c>
      <c r="C228" s="27" t="s">
        <v>729</v>
      </c>
      <c r="D228" s="27" t="s">
        <v>730</v>
      </c>
      <c r="E228" s="28" t="s">
        <v>46</v>
      </c>
      <c r="F228" s="29" t="s">
        <v>46</v>
      </c>
      <c r="G228" s="30" t="s">
        <v>46</v>
      </c>
      <c r="H228" s="31"/>
      <c r="I228" s="31" t="s">
        <v>47</v>
      </c>
      <c r="J228" s="32" t="n">
        <v>1.0</v>
      </c>
      <c r="K228" s="33" t="n">
        <f>1100</f>
        <v>1100.0</v>
      </c>
      <c r="L228" s="34" t="s">
        <v>48</v>
      </c>
      <c r="M228" s="33" t="n">
        <f>1117</f>
        <v>1117.0</v>
      </c>
      <c r="N228" s="34" t="s">
        <v>49</v>
      </c>
      <c r="O228" s="33" t="n">
        <f>1050</f>
        <v>1050.0</v>
      </c>
      <c r="P228" s="34" t="s">
        <v>50</v>
      </c>
      <c r="Q228" s="33" t="n">
        <f>1099</f>
        <v>1099.0</v>
      </c>
      <c r="R228" s="34" t="s">
        <v>51</v>
      </c>
      <c r="S228" s="35" t="n">
        <f>1087.72</f>
        <v>1087.72</v>
      </c>
      <c r="T228" s="32" t="n">
        <f>6342</f>
        <v>6342.0</v>
      </c>
      <c r="U228" s="32" t="str">
        <f>"－"</f>
        <v>－</v>
      </c>
      <c r="V228" s="32" t="n">
        <f>6878578</f>
        <v>6878578.0</v>
      </c>
      <c r="W228" s="32" t="str">
        <f>"－"</f>
        <v>－</v>
      </c>
      <c r="X228" s="36" t="n">
        <f>18</f>
        <v>18.0</v>
      </c>
    </row>
    <row r="229">
      <c r="A229" s="27" t="s">
        <v>42</v>
      </c>
      <c r="B229" s="27" t="s">
        <v>731</v>
      </c>
      <c r="C229" s="27" t="s">
        <v>732</v>
      </c>
      <c r="D229" s="27" t="s">
        <v>733</v>
      </c>
      <c r="E229" s="28" t="s">
        <v>46</v>
      </c>
      <c r="F229" s="29" t="s">
        <v>46</v>
      </c>
      <c r="G229" s="30" t="s">
        <v>46</v>
      </c>
      <c r="H229" s="31"/>
      <c r="I229" s="31" t="s">
        <v>47</v>
      </c>
      <c r="J229" s="32" t="n">
        <v>10.0</v>
      </c>
      <c r="K229" s="33" t="n">
        <f>1014</f>
        <v>1014.0</v>
      </c>
      <c r="L229" s="34" t="s">
        <v>48</v>
      </c>
      <c r="M229" s="33" t="n">
        <f>1036</f>
        <v>1036.0</v>
      </c>
      <c r="N229" s="34" t="s">
        <v>51</v>
      </c>
      <c r="O229" s="33" t="n">
        <f>1010</f>
        <v>1010.0</v>
      </c>
      <c r="P229" s="34" t="s">
        <v>48</v>
      </c>
      <c r="Q229" s="33" t="n">
        <f>1034</f>
        <v>1034.0</v>
      </c>
      <c r="R229" s="34" t="s">
        <v>51</v>
      </c>
      <c r="S229" s="35" t="n">
        <f>1020.89</f>
        <v>1020.89</v>
      </c>
      <c r="T229" s="32" t="n">
        <f>154300</f>
        <v>154300.0</v>
      </c>
      <c r="U229" s="32" t="n">
        <f>116840</f>
        <v>116840.0</v>
      </c>
      <c r="V229" s="32" t="n">
        <f>157526588</f>
        <v>1.57526588E8</v>
      </c>
      <c r="W229" s="32" t="n">
        <f>119275058</f>
        <v>1.19275058E8</v>
      </c>
      <c r="X229" s="36" t="n">
        <f>18</f>
        <v>18.0</v>
      </c>
    </row>
    <row r="230">
      <c r="A230" s="27" t="s">
        <v>42</v>
      </c>
      <c r="B230" s="27" t="s">
        <v>734</v>
      </c>
      <c r="C230" s="27" t="s">
        <v>735</v>
      </c>
      <c r="D230" s="27" t="s">
        <v>736</v>
      </c>
      <c r="E230" s="28" t="s">
        <v>46</v>
      </c>
      <c r="F230" s="29" t="s">
        <v>46</v>
      </c>
      <c r="G230" s="30" t="s">
        <v>46</v>
      </c>
      <c r="H230" s="31"/>
      <c r="I230" s="31" t="s">
        <v>47</v>
      </c>
      <c r="J230" s="32" t="n">
        <v>10.0</v>
      </c>
      <c r="K230" s="33" t="n">
        <f>1256</f>
        <v>1256.0</v>
      </c>
      <c r="L230" s="34" t="s">
        <v>48</v>
      </c>
      <c r="M230" s="33" t="n">
        <f>1295</f>
        <v>1295.0</v>
      </c>
      <c r="N230" s="34" t="s">
        <v>51</v>
      </c>
      <c r="O230" s="33" t="n">
        <f>1218</f>
        <v>1218.0</v>
      </c>
      <c r="P230" s="34" t="s">
        <v>50</v>
      </c>
      <c r="Q230" s="33" t="n">
        <f>1295</f>
        <v>1295.0</v>
      </c>
      <c r="R230" s="34" t="s">
        <v>51</v>
      </c>
      <c r="S230" s="35" t="n">
        <f>1253.39</f>
        <v>1253.39</v>
      </c>
      <c r="T230" s="32" t="n">
        <f>163280</f>
        <v>163280.0</v>
      </c>
      <c r="U230" s="32" t="n">
        <f>84850</f>
        <v>84850.0</v>
      </c>
      <c r="V230" s="32" t="n">
        <f>204263838</f>
        <v>2.04263838E8</v>
      </c>
      <c r="W230" s="32" t="n">
        <f>106190238</f>
        <v>1.06190238E8</v>
      </c>
      <c r="X230" s="36" t="n">
        <f>18</f>
        <v>18.0</v>
      </c>
    </row>
    <row r="231">
      <c r="A231" s="27" t="s">
        <v>42</v>
      </c>
      <c r="B231" s="27" t="s">
        <v>737</v>
      </c>
      <c r="C231" s="27" t="s">
        <v>738</v>
      </c>
      <c r="D231" s="27" t="s">
        <v>739</v>
      </c>
      <c r="E231" s="28" t="s">
        <v>46</v>
      </c>
      <c r="F231" s="29" t="s">
        <v>46</v>
      </c>
      <c r="G231" s="30" t="s">
        <v>46</v>
      </c>
      <c r="H231" s="31"/>
      <c r="I231" s="31" t="s">
        <v>47</v>
      </c>
      <c r="J231" s="32" t="n">
        <v>10.0</v>
      </c>
      <c r="K231" s="33" t="n">
        <f>1453</f>
        <v>1453.0</v>
      </c>
      <c r="L231" s="34" t="s">
        <v>48</v>
      </c>
      <c r="M231" s="33" t="n">
        <f>1479</f>
        <v>1479.0</v>
      </c>
      <c r="N231" s="34" t="s">
        <v>49</v>
      </c>
      <c r="O231" s="33" t="n">
        <f>1415</f>
        <v>1415.0</v>
      </c>
      <c r="P231" s="34" t="s">
        <v>50</v>
      </c>
      <c r="Q231" s="33" t="n">
        <f>1466</f>
        <v>1466.0</v>
      </c>
      <c r="R231" s="34" t="s">
        <v>51</v>
      </c>
      <c r="S231" s="35" t="n">
        <f>1453.39</f>
        <v>1453.39</v>
      </c>
      <c r="T231" s="32" t="n">
        <f>11965820</f>
        <v>1.196582E7</v>
      </c>
      <c r="U231" s="32" t="n">
        <f>3025220</f>
        <v>3025220.0</v>
      </c>
      <c r="V231" s="32" t="n">
        <f>17385230390</f>
        <v>1.738523039E10</v>
      </c>
      <c r="W231" s="32" t="n">
        <f>4401155520</f>
        <v>4.40115552E9</v>
      </c>
      <c r="X231" s="36" t="n">
        <f>18</f>
        <v>18.0</v>
      </c>
    </row>
    <row r="232">
      <c r="A232" s="27" t="s">
        <v>42</v>
      </c>
      <c r="B232" s="27" t="s">
        <v>740</v>
      </c>
      <c r="C232" s="27" t="s">
        <v>741</v>
      </c>
      <c r="D232" s="27" t="s">
        <v>742</v>
      </c>
      <c r="E232" s="28" t="s">
        <v>46</v>
      </c>
      <c r="F232" s="29" t="s">
        <v>46</v>
      </c>
      <c r="G232" s="30" t="s">
        <v>46</v>
      </c>
      <c r="H232" s="31"/>
      <c r="I232" s="31" t="s">
        <v>47</v>
      </c>
      <c r="J232" s="32" t="n">
        <v>1.0</v>
      </c>
      <c r="K232" s="33" t="n">
        <f>3550</f>
        <v>3550.0</v>
      </c>
      <c r="L232" s="34" t="s">
        <v>48</v>
      </c>
      <c r="M232" s="33" t="n">
        <f>3670</f>
        <v>3670.0</v>
      </c>
      <c r="N232" s="34" t="s">
        <v>51</v>
      </c>
      <c r="O232" s="33" t="n">
        <f>3370</f>
        <v>3370.0</v>
      </c>
      <c r="P232" s="34" t="s">
        <v>114</v>
      </c>
      <c r="Q232" s="33" t="n">
        <f>3650</f>
        <v>3650.0</v>
      </c>
      <c r="R232" s="34" t="s">
        <v>51</v>
      </c>
      <c r="S232" s="35" t="n">
        <f>3514.44</f>
        <v>3514.44</v>
      </c>
      <c r="T232" s="32" t="n">
        <f>94719</f>
        <v>94719.0</v>
      </c>
      <c r="U232" s="32" t="n">
        <f>20</f>
        <v>20.0</v>
      </c>
      <c r="V232" s="32" t="n">
        <f>331174855</f>
        <v>3.31174855E8</v>
      </c>
      <c r="W232" s="32" t="n">
        <f>70350</f>
        <v>70350.0</v>
      </c>
      <c r="X232" s="36" t="n">
        <f>18</f>
        <v>18.0</v>
      </c>
    </row>
    <row r="233">
      <c r="A233" s="27" t="s">
        <v>42</v>
      </c>
      <c r="B233" s="27" t="s">
        <v>743</v>
      </c>
      <c r="C233" s="27" t="s">
        <v>744</v>
      </c>
      <c r="D233" s="27" t="s">
        <v>745</v>
      </c>
      <c r="E233" s="28" t="s">
        <v>46</v>
      </c>
      <c r="F233" s="29" t="s">
        <v>46</v>
      </c>
      <c r="G233" s="30" t="s">
        <v>46</v>
      </c>
      <c r="H233" s="31"/>
      <c r="I233" s="31" t="s">
        <v>47</v>
      </c>
      <c r="J233" s="32" t="n">
        <v>10.0</v>
      </c>
      <c r="K233" s="33" t="n">
        <f>1706</f>
        <v>1706.0</v>
      </c>
      <c r="L233" s="34" t="s">
        <v>48</v>
      </c>
      <c r="M233" s="33" t="n">
        <f>1730</f>
        <v>1730.0</v>
      </c>
      <c r="N233" s="34" t="s">
        <v>51</v>
      </c>
      <c r="O233" s="33" t="n">
        <f>1629</f>
        <v>1629.0</v>
      </c>
      <c r="P233" s="34" t="s">
        <v>50</v>
      </c>
      <c r="Q233" s="33" t="n">
        <f>1730</f>
        <v>1730.0</v>
      </c>
      <c r="R233" s="34" t="s">
        <v>51</v>
      </c>
      <c r="S233" s="35" t="n">
        <f>1688.77</f>
        <v>1688.77</v>
      </c>
      <c r="T233" s="32" t="n">
        <f>2550</f>
        <v>2550.0</v>
      </c>
      <c r="U233" s="32" t="str">
        <f>"－"</f>
        <v>－</v>
      </c>
      <c r="V233" s="32" t="n">
        <f>4301010</f>
        <v>4301010.0</v>
      </c>
      <c r="W233" s="32" t="str">
        <f>"－"</f>
        <v>－</v>
      </c>
      <c r="X233" s="36" t="n">
        <f>13</f>
        <v>13.0</v>
      </c>
    </row>
    <row r="234">
      <c r="A234" s="27" t="s">
        <v>42</v>
      </c>
      <c r="B234" s="27" t="s">
        <v>746</v>
      </c>
      <c r="C234" s="27" t="s">
        <v>747</v>
      </c>
      <c r="D234" s="27" t="s">
        <v>748</v>
      </c>
      <c r="E234" s="28" t="s">
        <v>46</v>
      </c>
      <c r="F234" s="29" t="s">
        <v>46</v>
      </c>
      <c r="G234" s="30" t="s">
        <v>46</v>
      </c>
      <c r="H234" s="31"/>
      <c r="I234" s="31" t="s">
        <v>47</v>
      </c>
      <c r="J234" s="32" t="n">
        <v>10.0</v>
      </c>
      <c r="K234" s="33" t="n">
        <f>1925</f>
        <v>1925.0</v>
      </c>
      <c r="L234" s="34" t="s">
        <v>85</v>
      </c>
      <c r="M234" s="33" t="n">
        <f>1926</f>
        <v>1926.0</v>
      </c>
      <c r="N234" s="34" t="s">
        <v>85</v>
      </c>
      <c r="O234" s="33" t="n">
        <f>1901</f>
        <v>1901.0</v>
      </c>
      <c r="P234" s="34" t="s">
        <v>50</v>
      </c>
      <c r="Q234" s="33" t="n">
        <f>1901</f>
        <v>1901.0</v>
      </c>
      <c r="R234" s="34" t="s">
        <v>50</v>
      </c>
      <c r="S234" s="35" t="n">
        <f>1909</f>
        <v>1909.0</v>
      </c>
      <c r="T234" s="32" t="n">
        <f>377540</f>
        <v>377540.0</v>
      </c>
      <c r="U234" s="32" t="n">
        <f>203000</f>
        <v>203000.0</v>
      </c>
      <c r="V234" s="32" t="n">
        <f>727741290</f>
        <v>7.2774129E8</v>
      </c>
      <c r="W234" s="32" t="n">
        <f>394345280</f>
        <v>3.9434528E8</v>
      </c>
      <c r="X234" s="36" t="n">
        <f>2</f>
        <v>2.0</v>
      </c>
    </row>
    <row r="235">
      <c r="A235" s="27" t="s">
        <v>42</v>
      </c>
      <c r="B235" s="27" t="s">
        <v>749</v>
      </c>
      <c r="C235" s="27" t="s">
        <v>750</v>
      </c>
      <c r="D235" s="27" t="s">
        <v>751</v>
      </c>
      <c r="E235" s="28" t="s">
        <v>46</v>
      </c>
      <c r="F235" s="29" t="s">
        <v>46</v>
      </c>
      <c r="G235" s="30" t="s">
        <v>46</v>
      </c>
      <c r="H235" s="31"/>
      <c r="I235" s="31" t="s">
        <v>47</v>
      </c>
      <c r="J235" s="32" t="n">
        <v>1.0</v>
      </c>
      <c r="K235" s="33" t="n">
        <f>29370</f>
        <v>29370.0</v>
      </c>
      <c r="L235" s="34" t="s">
        <v>48</v>
      </c>
      <c r="M235" s="33" t="n">
        <f>29780</f>
        <v>29780.0</v>
      </c>
      <c r="N235" s="34" t="s">
        <v>48</v>
      </c>
      <c r="O235" s="33" t="n">
        <f>27800</f>
        <v>27800.0</v>
      </c>
      <c r="P235" s="34" t="s">
        <v>50</v>
      </c>
      <c r="Q235" s="33" t="n">
        <f>29400</f>
        <v>29400.0</v>
      </c>
      <c r="R235" s="34" t="s">
        <v>84</v>
      </c>
      <c r="S235" s="35" t="n">
        <f>28850</f>
        <v>28850.0</v>
      </c>
      <c r="T235" s="32" t="n">
        <f>102122</f>
        <v>102122.0</v>
      </c>
      <c r="U235" s="32" t="n">
        <f>100000</f>
        <v>100000.0</v>
      </c>
      <c r="V235" s="32" t="n">
        <f>2893086370</f>
        <v>2.89308637E9</v>
      </c>
      <c r="W235" s="32" t="n">
        <f>2830076000</f>
        <v>2.830076E9</v>
      </c>
      <c r="X235" s="36" t="n">
        <f>11</f>
        <v>11.0</v>
      </c>
    </row>
    <row r="236">
      <c r="A236" s="27" t="s">
        <v>42</v>
      </c>
      <c r="B236" s="27" t="s">
        <v>752</v>
      </c>
      <c r="C236" s="27" t="s">
        <v>753</v>
      </c>
      <c r="D236" s="27" t="s">
        <v>754</v>
      </c>
      <c r="E236" s="28" t="s">
        <v>46</v>
      </c>
      <c r="F236" s="29" t="s">
        <v>46</v>
      </c>
      <c r="G236" s="30" t="s">
        <v>46</v>
      </c>
      <c r="H236" s="31"/>
      <c r="I236" s="31" t="s">
        <v>47</v>
      </c>
      <c r="J236" s="32" t="n">
        <v>1.0</v>
      </c>
      <c r="K236" s="33" t="n">
        <f>17750</f>
        <v>17750.0</v>
      </c>
      <c r="L236" s="34" t="s">
        <v>48</v>
      </c>
      <c r="M236" s="33" t="n">
        <f>17890</f>
        <v>17890.0</v>
      </c>
      <c r="N236" s="34" t="s">
        <v>51</v>
      </c>
      <c r="O236" s="33" t="n">
        <f>17100</f>
        <v>17100.0</v>
      </c>
      <c r="P236" s="34" t="s">
        <v>50</v>
      </c>
      <c r="Q236" s="33" t="n">
        <f>17890</f>
        <v>17890.0</v>
      </c>
      <c r="R236" s="34" t="s">
        <v>51</v>
      </c>
      <c r="S236" s="35" t="n">
        <f>17512.22</f>
        <v>17512.22</v>
      </c>
      <c r="T236" s="32" t="n">
        <f>32230</f>
        <v>32230.0</v>
      </c>
      <c r="U236" s="32" t="str">
        <f>"－"</f>
        <v>－</v>
      </c>
      <c r="V236" s="32" t="n">
        <f>565480610</f>
        <v>5.6548061E8</v>
      </c>
      <c r="W236" s="32" t="str">
        <f>"－"</f>
        <v>－</v>
      </c>
      <c r="X236" s="36" t="n">
        <f>9</f>
        <v>9.0</v>
      </c>
    </row>
    <row r="237">
      <c r="A237" s="27" t="s">
        <v>42</v>
      </c>
      <c r="B237" s="27" t="s">
        <v>755</v>
      </c>
      <c r="C237" s="27" t="s">
        <v>756</v>
      </c>
      <c r="D237" s="27" t="s">
        <v>757</v>
      </c>
      <c r="E237" s="28" t="s">
        <v>46</v>
      </c>
      <c r="F237" s="29" t="s">
        <v>46</v>
      </c>
      <c r="G237" s="30" t="s">
        <v>46</v>
      </c>
      <c r="H237" s="31"/>
      <c r="I237" s="31" t="s">
        <v>47</v>
      </c>
      <c r="J237" s="32" t="n">
        <v>10.0</v>
      </c>
      <c r="K237" s="33" t="n">
        <f>1231</f>
        <v>1231.0</v>
      </c>
      <c r="L237" s="34" t="s">
        <v>48</v>
      </c>
      <c r="M237" s="33" t="n">
        <f>1238</f>
        <v>1238.0</v>
      </c>
      <c r="N237" s="34" t="s">
        <v>51</v>
      </c>
      <c r="O237" s="33" t="n">
        <f>1215</f>
        <v>1215.0</v>
      </c>
      <c r="P237" s="34" t="s">
        <v>335</v>
      </c>
      <c r="Q237" s="33" t="n">
        <f>1238</f>
        <v>1238.0</v>
      </c>
      <c r="R237" s="34" t="s">
        <v>51</v>
      </c>
      <c r="S237" s="35" t="n">
        <f>1227.33</f>
        <v>1227.33</v>
      </c>
      <c r="T237" s="32" t="n">
        <f>430</f>
        <v>430.0</v>
      </c>
      <c r="U237" s="32" t="str">
        <f>"－"</f>
        <v>－</v>
      </c>
      <c r="V237" s="32" t="n">
        <f>528310</f>
        <v>528310.0</v>
      </c>
      <c r="W237" s="32" t="str">
        <f>"－"</f>
        <v>－</v>
      </c>
      <c r="X237" s="36" t="n">
        <f>9</f>
        <v>9.0</v>
      </c>
    </row>
    <row r="238">
      <c r="A238" s="27" t="s">
        <v>42</v>
      </c>
      <c r="B238" s="27" t="s">
        <v>758</v>
      </c>
      <c r="C238" s="27" t="s">
        <v>759</v>
      </c>
      <c r="D238" s="27" t="s">
        <v>760</v>
      </c>
      <c r="E238" s="28" t="s">
        <v>46</v>
      </c>
      <c r="F238" s="29" t="s">
        <v>46</v>
      </c>
      <c r="G238" s="30" t="s">
        <v>46</v>
      </c>
      <c r="H238" s="31"/>
      <c r="I238" s="31" t="s">
        <v>47</v>
      </c>
      <c r="J238" s="32" t="n">
        <v>10.0</v>
      </c>
      <c r="K238" s="33" t="n">
        <f>1233</f>
        <v>1233.0</v>
      </c>
      <c r="L238" s="34" t="s">
        <v>48</v>
      </c>
      <c r="M238" s="33" t="n">
        <f>1233</f>
        <v>1233.0</v>
      </c>
      <c r="N238" s="34" t="s">
        <v>48</v>
      </c>
      <c r="O238" s="33" t="n">
        <f>1193</f>
        <v>1193.0</v>
      </c>
      <c r="P238" s="34" t="s">
        <v>114</v>
      </c>
      <c r="Q238" s="33" t="n">
        <f>1226</f>
        <v>1226.0</v>
      </c>
      <c r="R238" s="34" t="s">
        <v>51</v>
      </c>
      <c r="S238" s="35" t="n">
        <f>1214.11</f>
        <v>1214.11</v>
      </c>
      <c r="T238" s="32" t="n">
        <f>5290</f>
        <v>5290.0</v>
      </c>
      <c r="U238" s="32" t="str">
        <f>"－"</f>
        <v>－</v>
      </c>
      <c r="V238" s="32" t="n">
        <f>6421780</f>
        <v>6421780.0</v>
      </c>
      <c r="W238" s="32" t="str">
        <f>"－"</f>
        <v>－</v>
      </c>
      <c r="X238" s="36" t="n">
        <f>18</f>
        <v>18.0</v>
      </c>
    </row>
    <row r="239">
      <c r="A239" s="27" t="s">
        <v>42</v>
      </c>
      <c r="B239" s="27" t="s">
        <v>761</v>
      </c>
      <c r="C239" s="27" t="s">
        <v>762</v>
      </c>
      <c r="D239" s="27" t="s">
        <v>763</v>
      </c>
      <c r="E239" s="28" t="s">
        <v>46</v>
      </c>
      <c r="F239" s="29" t="s">
        <v>46</v>
      </c>
      <c r="G239" s="30" t="s">
        <v>46</v>
      </c>
      <c r="H239" s="31"/>
      <c r="I239" s="31" t="s">
        <v>47</v>
      </c>
      <c r="J239" s="32" t="n">
        <v>1.0</v>
      </c>
      <c r="K239" s="33" t="n">
        <f>1087</f>
        <v>1087.0</v>
      </c>
      <c r="L239" s="34" t="s">
        <v>48</v>
      </c>
      <c r="M239" s="33" t="n">
        <f>1118</f>
        <v>1118.0</v>
      </c>
      <c r="N239" s="34" t="s">
        <v>51</v>
      </c>
      <c r="O239" s="33" t="n">
        <f>1058</f>
        <v>1058.0</v>
      </c>
      <c r="P239" s="34" t="s">
        <v>50</v>
      </c>
      <c r="Q239" s="33" t="n">
        <f>1091</f>
        <v>1091.0</v>
      </c>
      <c r="R239" s="34" t="s">
        <v>51</v>
      </c>
      <c r="S239" s="35" t="n">
        <f>1086.89</f>
        <v>1086.89</v>
      </c>
      <c r="T239" s="32" t="n">
        <f>38710</f>
        <v>38710.0</v>
      </c>
      <c r="U239" s="32" t="n">
        <f>4</f>
        <v>4.0</v>
      </c>
      <c r="V239" s="32" t="n">
        <f>42271482</f>
        <v>4.2271482E7</v>
      </c>
      <c r="W239" s="32" t="n">
        <f>4392</f>
        <v>4392.0</v>
      </c>
      <c r="X239" s="36" t="n">
        <f>18</f>
        <v>18.0</v>
      </c>
    </row>
    <row r="240">
      <c r="A240" s="27" t="s">
        <v>42</v>
      </c>
      <c r="B240" s="27" t="s">
        <v>764</v>
      </c>
      <c r="C240" s="27" t="s">
        <v>765</v>
      </c>
      <c r="D240" s="27" t="s">
        <v>766</v>
      </c>
      <c r="E240" s="28" t="s">
        <v>46</v>
      </c>
      <c r="F240" s="29" t="s">
        <v>46</v>
      </c>
      <c r="G240" s="30" t="s">
        <v>46</v>
      </c>
      <c r="H240" s="31"/>
      <c r="I240" s="31" t="s">
        <v>47</v>
      </c>
      <c r="J240" s="32" t="n">
        <v>1.0</v>
      </c>
      <c r="K240" s="33" t="n">
        <f>13600</f>
        <v>13600.0</v>
      </c>
      <c r="L240" s="34" t="s">
        <v>48</v>
      </c>
      <c r="M240" s="33" t="n">
        <f>14080</f>
        <v>14080.0</v>
      </c>
      <c r="N240" s="34" t="s">
        <v>51</v>
      </c>
      <c r="O240" s="33" t="n">
        <f>12950</f>
        <v>12950.0</v>
      </c>
      <c r="P240" s="34" t="s">
        <v>61</v>
      </c>
      <c r="Q240" s="33" t="n">
        <f>14060</f>
        <v>14060.0</v>
      </c>
      <c r="R240" s="34" t="s">
        <v>51</v>
      </c>
      <c r="S240" s="35" t="n">
        <f>13490.56</f>
        <v>13490.56</v>
      </c>
      <c r="T240" s="32" t="n">
        <f>3460</f>
        <v>3460.0</v>
      </c>
      <c r="U240" s="32" t="str">
        <f>"－"</f>
        <v>－</v>
      </c>
      <c r="V240" s="32" t="n">
        <f>47241180</f>
        <v>4.724118E7</v>
      </c>
      <c r="W240" s="32" t="str">
        <f>"－"</f>
        <v>－</v>
      </c>
      <c r="X240" s="36" t="n">
        <f>18</f>
        <v>18.0</v>
      </c>
    </row>
    <row r="241">
      <c r="A241" s="27" t="s">
        <v>42</v>
      </c>
      <c r="B241" s="27" t="s">
        <v>767</v>
      </c>
      <c r="C241" s="27" t="s">
        <v>768</v>
      </c>
      <c r="D241" s="27" t="s">
        <v>769</v>
      </c>
      <c r="E241" s="28" t="s">
        <v>46</v>
      </c>
      <c r="F241" s="29" t="s">
        <v>46</v>
      </c>
      <c r="G241" s="30" t="s">
        <v>46</v>
      </c>
      <c r="H241" s="31"/>
      <c r="I241" s="31" t="s">
        <v>47</v>
      </c>
      <c r="J241" s="32" t="n">
        <v>1.0</v>
      </c>
      <c r="K241" s="33" t="n">
        <f>2226</f>
        <v>2226.0</v>
      </c>
      <c r="L241" s="34" t="s">
        <v>48</v>
      </c>
      <c r="M241" s="33" t="n">
        <f>2230</f>
        <v>2230.0</v>
      </c>
      <c r="N241" s="34" t="s">
        <v>48</v>
      </c>
      <c r="O241" s="33" t="n">
        <f>2141</f>
        <v>2141.0</v>
      </c>
      <c r="P241" s="34" t="s">
        <v>114</v>
      </c>
      <c r="Q241" s="33" t="n">
        <f>2211</f>
        <v>2211.0</v>
      </c>
      <c r="R241" s="34" t="s">
        <v>51</v>
      </c>
      <c r="S241" s="35" t="n">
        <f>2188.33</f>
        <v>2188.33</v>
      </c>
      <c r="T241" s="32" t="n">
        <f>22650</f>
        <v>22650.0</v>
      </c>
      <c r="U241" s="32" t="str">
        <f>"－"</f>
        <v>－</v>
      </c>
      <c r="V241" s="32" t="n">
        <f>49448180</f>
        <v>4.944818E7</v>
      </c>
      <c r="W241" s="32" t="str">
        <f>"－"</f>
        <v>－</v>
      </c>
      <c r="X241" s="36" t="n">
        <f>18</f>
        <v>18.0</v>
      </c>
    </row>
    <row r="242">
      <c r="A242" s="27" t="s">
        <v>42</v>
      </c>
      <c r="B242" s="27" t="s">
        <v>770</v>
      </c>
      <c r="C242" s="27" t="s">
        <v>771</v>
      </c>
      <c r="D242" s="27" t="s">
        <v>772</v>
      </c>
      <c r="E242" s="28" t="s">
        <v>46</v>
      </c>
      <c r="F242" s="29" t="s">
        <v>46</v>
      </c>
      <c r="G242" s="30" t="s">
        <v>46</v>
      </c>
      <c r="H242" s="31"/>
      <c r="I242" s="31" t="s">
        <v>47</v>
      </c>
      <c r="J242" s="32" t="n">
        <v>10.0</v>
      </c>
      <c r="K242" s="33" t="n">
        <f>1386</f>
        <v>1386.0</v>
      </c>
      <c r="L242" s="34" t="s">
        <v>48</v>
      </c>
      <c r="M242" s="33" t="n">
        <f>1490</f>
        <v>1490.0</v>
      </c>
      <c r="N242" s="34" t="s">
        <v>51</v>
      </c>
      <c r="O242" s="33" t="n">
        <f>1381</f>
        <v>1381.0</v>
      </c>
      <c r="P242" s="34" t="s">
        <v>50</v>
      </c>
      <c r="Q242" s="33" t="n">
        <f>1490</f>
        <v>1490.0</v>
      </c>
      <c r="R242" s="34" t="s">
        <v>51</v>
      </c>
      <c r="S242" s="35" t="n">
        <f>1424.75</f>
        <v>1424.75</v>
      </c>
      <c r="T242" s="32" t="n">
        <f>4830</f>
        <v>4830.0</v>
      </c>
      <c r="U242" s="32" t="str">
        <f>"－"</f>
        <v>－</v>
      </c>
      <c r="V242" s="32" t="n">
        <f>6890890</f>
        <v>6890890.0</v>
      </c>
      <c r="W242" s="32" t="str">
        <f>"－"</f>
        <v>－</v>
      </c>
      <c r="X242" s="36" t="n">
        <f>16</f>
        <v>16.0</v>
      </c>
    </row>
    <row r="243">
      <c r="A243" s="27" t="s">
        <v>42</v>
      </c>
      <c r="B243" s="27" t="s">
        <v>773</v>
      </c>
      <c r="C243" s="27" t="s">
        <v>774</v>
      </c>
      <c r="D243" s="27" t="s">
        <v>775</v>
      </c>
      <c r="E243" s="28" t="s">
        <v>46</v>
      </c>
      <c r="F243" s="29" t="s">
        <v>46</v>
      </c>
      <c r="G243" s="30" t="s">
        <v>46</v>
      </c>
      <c r="H243" s="31"/>
      <c r="I243" s="31" t="s">
        <v>47</v>
      </c>
      <c r="J243" s="32" t="n">
        <v>10.0</v>
      </c>
      <c r="K243" s="33" t="n">
        <f>1010</f>
        <v>1010.0</v>
      </c>
      <c r="L243" s="34" t="s">
        <v>48</v>
      </c>
      <c r="M243" s="33" t="n">
        <f>1020</f>
        <v>1020.0</v>
      </c>
      <c r="N243" s="34" t="s">
        <v>51</v>
      </c>
      <c r="O243" s="33" t="n">
        <f>1008</f>
        <v>1008.0</v>
      </c>
      <c r="P243" s="34" t="s">
        <v>50</v>
      </c>
      <c r="Q243" s="33" t="n">
        <f>1014</f>
        <v>1014.0</v>
      </c>
      <c r="R243" s="34" t="s">
        <v>51</v>
      </c>
      <c r="S243" s="35" t="n">
        <f>1011.83</f>
        <v>1011.83</v>
      </c>
      <c r="T243" s="32" t="n">
        <f>940660</f>
        <v>940660.0</v>
      </c>
      <c r="U243" s="32" t="n">
        <f>852930</f>
        <v>852930.0</v>
      </c>
      <c r="V243" s="32" t="n">
        <f>952759638</f>
        <v>9.52759638E8</v>
      </c>
      <c r="W243" s="32" t="n">
        <f>863965048</f>
        <v>8.63965048E8</v>
      </c>
      <c r="X243" s="36" t="n">
        <f>18</f>
        <v>18.0</v>
      </c>
    </row>
    <row r="244">
      <c r="A244" s="27" t="s">
        <v>42</v>
      </c>
      <c r="B244" s="27" t="s">
        <v>776</v>
      </c>
      <c r="C244" s="27" t="s">
        <v>777</v>
      </c>
      <c r="D244" s="27" t="s">
        <v>778</v>
      </c>
      <c r="E244" s="28" t="s">
        <v>46</v>
      </c>
      <c r="F244" s="29" t="s">
        <v>46</v>
      </c>
      <c r="G244" s="30" t="s">
        <v>46</v>
      </c>
      <c r="H244" s="31"/>
      <c r="I244" s="31" t="s">
        <v>47</v>
      </c>
      <c r="J244" s="32" t="n">
        <v>10.0</v>
      </c>
      <c r="K244" s="33" t="n">
        <f>2126</f>
        <v>2126.0</v>
      </c>
      <c r="L244" s="34" t="s">
        <v>48</v>
      </c>
      <c r="M244" s="33" t="n">
        <f>2126</f>
        <v>2126.0</v>
      </c>
      <c r="N244" s="34" t="s">
        <v>48</v>
      </c>
      <c r="O244" s="33" t="n">
        <f>2048</f>
        <v>2048.0</v>
      </c>
      <c r="P244" s="34" t="s">
        <v>50</v>
      </c>
      <c r="Q244" s="33" t="n">
        <f>2104</f>
        <v>2104.0</v>
      </c>
      <c r="R244" s="34" t="s">
        <v>51</v>
      </c>
      <c r="S244" s="35" t="n">
        <f>2089.39</f>
        <v>2089.39</v>
      </c>
      <c r="T244" s="32" t="n">
        <f>44430</f>
        <v>44430.0</v>
      </c>
      <c r="U244" s="32" t="n">
        <f>30000</f>
        <v>30000.0</v>
      </c>
      <c r="V244" s="32" t="n">
        <f>91374350</f>
        <v>9.137435E7</v>
      </c>
      <c r="W244" s="32" t="n">
        <f>61230300</f>
        <v>6.12303E7</v>
      </c>
      <c r="X244" s="36" t="n">
        <f>18</f>
        <v>18.0</v>
      </c>
    </row>
    <row r="245">
      <c r="A245" s="27" t="s">
        <v>42</v>
      </c>
      <c r="B245" s="27" t="s">
        <v>779</v>
      </c>
      <c r="C245" s="27" t="s">
        <v>780</v>
      </c>
      <c r="D245" s="27" t="s">
        <v>781</v>
      </c>
      <c r="E245" s="28" t="s">
        <v>46</v>
      </c>
      <c r="F245" s="29" t="s">
        <v>46</v>
      </c>
      <c r="G245" s="30" t="s">
        <v>46</v>
      </c>
      <c r="H245" s="31"/>
      <c r="I245" s="31" t="s">
        <v>47</v>
      </c>
      <c r="J245" s="32" t="n">
        <v>10.0</v>
      </c>
      <c r="K245" s="33" t="n">
        <f>2135</f>
        <v>2135.0</v>
      </c>
      <c r="L245" s="34" t="s">
        <v>48</v>
      </c>
      <c r="M245" s="33" t="n">
        <f>2135</f>
        <v>2135.0</v>
      </c>
      <c r="N245" s="34" t="s">
        <v>48</v>
      </c>
      <c r="O245" s="33" t="n">
        <f>2046</f>
        <v>2046.0</v>
      </c>
      <c r="P245" s="34" t="s">
        <v>114</v>
      </c>
      <c r="Q245" s="33" t="n">
        <f>2115</f>
        <v>2115.0</v>
      </c>
      <c r="R245" s="34" t="s">
        <v>51</v>
      </c>
      <c r="S245" s="35" t="n">
        <f>2094.72</f>
        <v>2094.72</v>
      </c>
      <c r="T245" s="32" t="n">
        <f>280220</f>
        <v>280220.0</v>
      </c>
      <c r="U245" s="32" t="n">
        <f>30120</f>
        <v>30120.0</v>
      </c>
      <c r="V245" s="32" t="n">
        <f>582350430</f>
        <v>5.8235043E8</v>
      </c>
      <c r="W245" s="32" t="n">
        <f>61464280</f>
        <v>6.146428E7</v>
      </c>
      <c r="X245" s="36" t="n">
        <f>18</f>
        <v>18.0</v>
      </c>
    </row>
    <row r="246">
      <c r="A246" s="27" t="s">
        <v>42</v>
      </c>
      <c r="B246" s="27" t="s">
        <v>782</v>
      </c>
      <c r="C246" s="27" t="s">
        <v>783</v>
      </c>
      <c r="D246" s="27" t="s">
        <v>784</v>
      </c>
      <c r="E246" s="28" t="s">
        <v>46</v>
      </c>
      <c r="F246" s="29" t="s">
        <v>46</v>
      </c>
      <c r="G246" s="30" t="s">
        <v>46</v>
      </c>
      <c r="H246" s="31"/>
      <c r="I246" s="31" t="s">
        <v>47</v>
      </c>
      <c r="J246" s="32" t="n">
        <v>10.0</v>
      </c>
      <c r="K246" s="33" t="n">
        <f>1941</f>
        <v>1941.0</v>
      </c>
      <c r="L246" s="34" t="s">
        <v>49</v>
      </c>
      <c r="M246" s="33" t="n">
        <f>1961</f>
        <v>1961.0</v>
      </c>
      <c r="N246" s="34" t="s">
        <v>49</v>
      </c>
      <c r="O246" s="33" t="n">
        <f>1941</f>
        <v>1941.0</v>
      </c>
      <c r="P246" s="34" t="s">
        <v>49</v>
      </c>
      <c r="Q246" s="33" t="n">
        <f>1961</f>
        <v>1961.0</v>
      </c>
      <c r="R246" s="34" t="s">
        <v>49</v>
      </c>
      <c r="S246" s="35" t="n">
        <f>1961</f>
        <v>1961.0</v>
      </c>
      <c r="T246" s="32" t="n">
        <f>30</f>
        <v>30.0</v>
      </c>
      <c r="U246" s="32" t="str">
        <f>"－"</f>
        <v>－</v>
      </c>
      <c r="V246" s="32" t="n">
        <f>58630</f>
        <v>58630.0</v>
      </c>
      <c r="W246" s="32" t="str">
        <f>"－"</f>
        <v>－</v>
      </c>
      <c r="X246" s="36" t="n">
        <f>1</f>
        <v>1.0</v>
      </c>
    </row>
    <row r="247">
      <c r="A247" s="27" t="s">
        <v>42</v>
      </c>
      <c r="B247" s="27" t="s">
        <v>785</v>
      </c>
      <c r="C247" s="27" t="s">
        <v>786</v>
      </c>
      <c r="D247" s="27" t="s">
        <v>787</v>
      </c>
      <c r="E247" s="28" t="s">
        <v>46</v>
      </c>
      <c r="F247" s="29" t="s">
        <v>46</v>
      </c>
      <c r="G247" s="30" t="s">
        <v>46</v>
      </c>
      <c r="H247" s="31"/>
      <c r="I247" s="31" t="s">
        <v>47</v>
      </c>
      <c r="J247" s="32" t="n">
        <v>1.0</v>
      </c>
      <c r="K247" s="33" t="n">
        <f>13060</f>
        <v>13060.0</v>
      </c>
      <c r="L247" s="34" t="s">
        <v>48</v>
      </c>
      <c r="M247" s="33" t="n">
        <f>13310</f>
        <v>13310.0</v>
      </c>
      <c r="N247" s="34" t="s">
        <v>84</v>
      </c>
      <c r="O247" s="33" t="n">
        <f>12780</f>
        <v>12780.0</v>
      </c>
      <c r="P247" s="34" t="s">
        <v>50</v>
      </c>
      <c r="Q247" s="33" t="n">
        <f>13260</f>
        <v>13260.0</v>
      </c>
      <c r="R247" s="34" t="s">
        <v>51</v>
      </c>
      <c r="S247" s="35" t="n">
        <f>13056.67</f>
        <v>13056.67</v>
      </c>
      <c r="T247" s="32" t="n">
        <f>328170</f>
        <v>328170.0</v>
      </c>
      <c r="U247" s="32" t="n">
        <f>7</f>
        <v>7.0</v>
      </c>
      <c r="V247" s="32" t="n">
        <f>4275423340</f>
        <v>4.27542334E9</v>
      </c>
      <c r="W247" s="32" t="n">
        <f>91380</f>
        <v>91380.0</v>
      </c>
      <c r="X247" s="36" t="n">
        <f>18</f>
        <v>18.0</v>
      </c>
    </row>
    <row r="248">
      <c r="A248" s="27" t="s">
        <v>42</v>
      </c>
      <c r="B248" s="27" t="s">
        <v>788</v>
      </c>
      <c r="C248" s="27" t="s">
        <v>789</v>
      </c>
      <c r="D248" s="27" t="s">
        <v>790</v>
      </c>
      <c r="E248" s="28" t="s">
        <v>46</v>
      </c>
      <c r="F248" s="29" t="s">
        <v>46</v>
      </c>
      <c r="G248" s="30" t="s">
        <v>46</v>
      </c>
      <c r="H248" s="31"/>
      <c r="I248" s="31" t="s">
        <v>47</v>
      </c>
      <c r="J248" s="32" t="n">
        <v>1.0</v>
      </c>
      <c r="K248" s="33" t="n">
        <f>12610</f>
        <v>12610.0</v>
      </c>
      <c r="L248" s="34" t="s">
        <v>48</v>
      </c>
      <c r="M248" s="33" t="n">
        <f>12920</f>
        <v>12920.0</v>
      </c>
      <c r="N248" s="34" t="s">
        <v>51</v>
      </c>
      <c r="O248" s="33" t="n">
        <f>12310</f>
        <v>12310.0</v>
      </c>
      <c r="P248" s="34" t="s">
        <v>50</v>
      </c>
      <c r="Q248" s="33" t="n">
        <f>12880</f>
        <v>12880.0</v>
      </c>
      <c r="R248" s="34" t="s">
        <v>51</v>
      </c>
      <c r="S248" s="35" t="n">
        <f>12625.56</f>
        <v>12625.56</v>
      </c>
      <c r="T248" s="32" t="n">
        <f>158518</f>
        <v>158518.0</v>
      </c>
      <c r="U248" s="32" t="n">
        <f>40074</f>
        <v>40074.0</v>
      </c>
      <c r="V248" s="32" t="n">
        <f>2000038762</f>
        <v>2.000038762E9</v>
      </c>
      <c r="W248" s="32" t="n">
        <f>504407842</f>
        <v>5.04407842E8</v>
      </c>
      <c r="X248" s="36" t="n">
        <f>18</f>
        <v>18.0</v>
      </c>
    </row>
    <row r="249">
      <c r="A249" s="27" t="s">
        <v>42</v>
      </c>
      <c r="B249" s="27" t="s">
        <v>791</v>
      </c>
      <c r="C249" s="27" t="s">
        <v>792</v>
      </c>
      <c r="D249" s="27" t="s">
        <v>793</v>
      </c>
      <c r="E249" s="28" t="s">
        <v>46</v>
      </c>
      <c r="F249" s="29" t="s">
        <v>46</v>
      </c>
      <c r="G249" s="30" t="s">
        <v>46</v>
      </c>
      <c r="H249" s="31"/>
      <c r="I249" s="31" t="s">
        <v>47</v>
      </c>
      <c r="J249" s="32" t="n">
        <v>1.0</v>
      </c>
      <c r="K249" s="33" t="n">
        <f>25650</f>
        <v>25650.0</v>
      </c>
      <c r="L249" s="34" t="s">
        <v>48</v>
      </c>
      <c r="M249" s="33" t="n">
        <f>25900</f>
        <v>25900.0</v>
      </c>
      <c r="N249" s="34" t="s">
        <v>48</v>
      </c>
      <c r="O249" s="33" t="n">
        <f>24790</f>
        <v>24790.0</v>
      </c>
      <c r="P249" s="34" t="s">
        <v>85</v>
      </c>
      <c r="Q249" s="33" t="n">
        <f>25780</f>
        <v>25780.0</v>
      </c>
      <c r="R249" s="34" t="s">
        <v>51</v>
      </c>
      <c r="S249" s="35" t="n">
        <f>25393.08</f>
        <v>25393.08</v>
      </c>
      <c r="T249" s="32" t="n">
        <f>635</f>
        <v>635.0</v>
      </c>
      <c r="U249" s="32" t="str">
        <f>"－"</f>
        <v>－</v>
      </c>
      <c r="V249" s="32" t="n">
        <f>16054900</f>
        <v>1.60549E7</v>
      </c>
      <c r="W249" s="32" t="str">
        <f>"－"</f>
        <v>－</v>
      </c>
      <c r="X249" s="36" t="n">
        <f>13</f>
        <v>13.0</v>
      </c>
    </row>
    <row r="250">
      <c r="A250" s="27" t="s">
        <v>42</v>
      </c>
      <c r="B250" s="27" t="s">
        <v>794</v>
      </c>
      <c r="C250" s="27" t="s">
        <v>795</v>
      </c>
      <c r="D250" s="27" t="s">
        <v>796</v>
      </c>
      <c r="E250" s="28" t="s">
        <v>46</v>
      </c>
      <c r="F250" s="29" t="s">
        <v>46</v>
      </c>
      <c r="G250" s="30" t="s">
        <v>46</v>
      </c>
      <c r="H250" s="31"/>
      <c r="I250" s="31" t="s">
        <v>47</v>
      </c>
      <c r="J250" s="32" t="n">
        <v>1.0</v>
      </c>
      <c r="K250" s="33" t="n">
        <f>2716</f>
        <v>2716.0</v>
      </c>
      <c r="L250" s="34" t="s">
        <v>48</v>
      </c>
      <c r="M250" s="33" t="n">
        <f>2720</f>
        <v>2720.0</v>
      </c>
      <c r="N250" s="34" t="s">
        <v>85</v>
      </c>
      <c r="O250" s="33" t="n">
        <f>2710</f>
        <v>2710.0</v>
      </c>
      <c r="P250" s="34" t="s">
        <v>130</v>
      </c>
      <c r="Q250" s="33" t="n">
        <f>2714</f>
        <v>2714.0</v>
      </c>
      <c r="R250" s="34" t="s">
        <v>51</v>
      </c>
      <c r="S250" s="35" t="n">
        <f>2715.89</f>
        <v>2715.89</v>
      </c>
      <c r="T250" s="32" t="n">
        <f>2067670</f>
        <v>2067670.0</v>
      </c>
      <c r="U250" s="32" t="n">
        <f>1352700</f>
        <v>1352700.0</v>
      </c>
      <c r="V250" s="32" t="n">
        <f>5616474714</f>
        <v>5.616474714E9</v>
      </c>
      <c r="W250" s="32" t="n">
        <f>3673840820</f>
        <v>3.67384082E9</v>
      </c>
      <c r="X250" s="36" t="n">
        <f>18</f>
        <v>18.0</v>
      </c>
    </row>
    <row r="251">
      <c r="A251" s="27" t="s">
        <v>42</v>
      </c>
      <c r="B251" s="27" t="s">
        <v>797</v>
      </c>
      <c r="C251" s="27" t="s">
        <v>798</v>
      </c>
      <c r="D251" s="27" t="s">
        <v>799</v>
      </c>
      <c r="E251" s="28" t="s">
        <v>46</v>
      </c>
      <c r="F251" s="29" t="s">
        <v>46</v>
      </c>
      <c r="G251" s="30" t="s">
        <v>46</v>
      </c>
      <c r="H251" s="31"/>
      <c r="I251" s="31" t="s">
        <v>47</v>
      </c>
      <c r="J251" s="32" t="n">
        <v>10.0</v>
      </c>
      <c r="K251" s="33" t="n">
        <f>2959</f>
        <v>2959.0</v>
      </c>
      <c r="L251" s="34" t="s">
        <v>48</v>
      </c>
      <c r="M251" s="33" t="n">
        <f>3020</f>
        <v>3020.0</v>
      </c>
      <c r="N251" s="34" t="s">
        <v>49</v>
      </c>
      <c r="O251" s="33" t="n">
        <f>2903</f>
        <v>2903.0</v>
      </c>
      <c r="P251" s="34" t="s">
        <v>50</v>
      </c>
      <c r="Q251" s="33" t="n">
        <f>2992</f>
        <v>2992.0</v>
      </c>
      <c r="R251" s="34" t="s">
        <v>51</v>
      </c>
      <c r="S251" s="35" t="n">
        <f>2971.06</f>
        <v>2971.06</v>
      </c>
      <c r="T251" s="32" t="n">
        <f>3275040</f>
        <v>3275040.0</v>
      </c>
      <c r="U251" s="32" t="n">
        <f>1566710</f>
        <v>1566710.0</v>
      </c>
      <c r="V251" s="32" t="n">
        <f>9740795532</f>
        <v>9.740795532E9</v>
      </c>
      <c r="W251" s="32" t="n">
        <f>4667270142</f>
        <v>4.667270142E9</v>
      </c>
      <c r="X251" s="36" t="n">
        <f>18</f>
        <v>18.0</v>
      </c>
    </row>
    <row r="252">
      <c r="A252" s="27" t="s">
        <v>42</v>
      </c>
      <c r="B252" s="27" t="s">
        <v>800</v>
      </c>
      <c r="C252" s="27" t="s">
        <v>801</v>
      </c>
      <c r="D252" s="27" t="s">
        <v>802</v>
      </c>
      <c r="E252" s="28" t="s">
        <v>46</v>
      </c>
      <c r="F252" s="29" t="s">
        <v>46</v>
      </c>
      <c r="G252" s="30" t="s">
        <v>46</v>
      </c>
      <c r="H252" s="31"/>
      <c r="I252" s="31" t="s">
        <v>47</v>
      </c>
      <c r="J252" s="32" t="n">
        <v>1.0</v>
      </c>
      <c r="K252" s="33" t="n">
        <f>2707</f>
        <v>2707.0</v>
      </c>
      <c r="L252" s="34" t="s">
        <v>48</v>
      </c>
      <c r="M252" s="33" t="n">
        <f>2757</f>
        <v>2757.0</v>
      </c>
      <c r="N252" s="34" t="s">
        <v>49</v>
      </c>
      <c r="O252" s="33" t="n">
        <f>2639</f>
        <v>2639.0</v>
      </c>
      <c r="P252" s="34" t="s">
        <v>50</v>
      </c>
      <c r="Q252" s="33" t="n">
        <f>2736</f>
        <v>2736.0</v>
      </c>
      <c r="R252" s="34" t="s">
        <v>51</v>
      </c>
      <c r="S252" s="35" t="n">
        <f>2708.72</f>
        <v>2708.72</v>
      </c>
      <c r="T252" s="32" t="n">
        <f>3396979</f>
        <v>3396979.0</v>
      </c>
      <c r="U252" s="32" t="n">
        <f>1026008</f>
        <v>1026008.0</v>
      </c>
      <c r="V252" s="32" t="n">
        <f>9193184652</f>
        <v>9.193184652E9</v>
      </c>
      <c r="W252" s="32" t="n">
        <f>2776197728</f>
        <v>2.776197728E9</v>
      </c>
      <c r="X252" s="36" t="n">
        <f>18</f>
        <v>18.0</v>
      </c>
    </row>
    <row r="253">
      <c r="A253" s="27" t="s">
        <v>42</v>
      </c>
      <c r="B253" s="27" t="s">
        <v>803</v>
      </c>
      <c r="C253" s="27" t="s">
        <v>804</v>
      </c>
      <c r="D253" s="27" t="s">
        <v>805</v>
      </c>
      <c r="E253" s="28" t="s">
        <v>46</v>
      </c>
      <c r="F253" s="29" t="s">
        <v>46</v>
      </c>
      <c r="G253" s="30" t="s">
        <v>46</v>
      </c>
      <c r="H253" s="31"/>
      <c r="I253" s="31" t="s">
        <v>47</v>
      </c>
      <c r="J253" s="32" t="n">
        <v>1.0</v>
      </c>
      <c r="K253" s="33" t="n">
        <f>1858</f>
        <v>1858.0</v>
      </c>
      <c r="L253" s="34" t="s">
        <v>48</v>
      </c>
      <c r="M253" s="33" t="n">
        <f>1906</f>
        <v>1906.0</v>
      </c>
      <c r="N253" s="34" t="s">
        <v>231</v>
      </c>
      <c r="O253" s="33" t="n">
        <f>1826</f>
        <v>1826.0</v>
      </c>
      <c r="P253" s="34" t="s">
        <v>50</v>
      </c>
      <c r="Q253" s="33" t="n">
        <f>1844</f>
        <v>1844.0</v>
      </c>
      <c r="R253" s="34" t="s">
        <v>51</v>
      </c>
      <c r="S253" s="35" t="n">
        <f>1874.61</f>
        <v>1874.61</v>
      </c>
      <c r="T253" s="32" t="n">
        <f>61758</f>
        <v>61758.0</v>
      </c>
      <c r="U253" s="32" t="n">
        <f>6</f>
        <v>6.0</v>
      </c>
      <c r="V253" s="32" t="n">
        <f>115930756</f>
        <v>1.15930756E8</v>
      </c>
      <c r="W253" s="32" t="n">
        <f>11317</f>
        <v>11317.0</v>
      </c>
      <c r="X253" s="36" t="n">
        <f>18</f>
        <v>18.0</v>
      </c>
    </row>
    <row r="254">
      <c r="A254" s="27" t="s">
        <v>42</v>
      </c>
      <c r="B254" s="27" t="s">
        <v>806</v>
      </c>
      <c r="C254" s="27" t="s">
        <v>807</v>
      </c>
      <c r="D254" s="27" t="s">
        <v>808</v>
      </c>
      <c r="E254" s="28" t="s">
        <v>46</v>
      </c>
      <c r="F254" s="29" t="s">
        <v>46</v>
      </c>
      <c r="G254" s="30" t="s">
        <v>46</v>
      </c>
      <c r="H254" s="31"/>
      <c r="I254" s="31" t="s">
        <v>47</v>
      </c>
      <c r="J254" s="32" t="n">
        <v>1.0</v>
      </c>
      <c r="K254" s="33" t="n">
        <f>1155</f>
        <v>1155.0</v>
      </c>
      <c r="L254" s="34" t="s">
        <v>48</v>
      </c>
      <c r="M254" s="33" t="n">
        <f>1155</f>
        <v>1155.0</v>
      </c>
      <c r="N254" s="34" t="s">
        <v>48</v>
      </c>
      <c r="O254" s="33" t="n">
        <f>1108</f>
        <v>1108.0</v>
      </c>
      <c r="P254" s="34" t="s">
        <v>114</v>
      </c>
      <c r="Q254" s="33" t="n">
        <f>1136</f>
        <v>1136.0</v>
      </c>
      <c r="R254" s="34" t="s">
        <v>51</v>
      </c>
      <c r="S254" s="35" t="n">
        <f>1127.11</f>
        <v>1127.11</v>
      </c>
      <c r="T254" s="32" t="n">
        <f>205067</f>
        <v>205067.0</v>
      </c>
      <c r="U254" s="32" t="n">
        <f>7</f>
        <v>7.0</v>
      </c>
      <c r="V254" s="32" t="n">
        <f>230770112</f>
        <v>2.30770112E8</v>
      </c>
      <c r="W254" s="32" t="n">
        <f>7910</f>
        <v>7910.0</v>
      </c>
      <c r="X254" s="36" t="n">
        <f>18</f>
        <v>18.0</v>
      </c>
    </row>
    <row r="255">
      <c r="A255" s="27" t="s">
        <v>42</v>
      </c>
      <c r="B255" s="27" t="s">
        <v>809</v>
      </c>
      <c r="C255" s="27" t="s">
        <v>810</v>
      </c>
      <c r="D255" s="27" t="s">
        <v>811</v>
      </c>
      <c r="E255" s="28" t="s">
        <v>46</v>
      </c>
      <c r="F255" s="29" t="s">
        <v>46</v>
      </c>
      <c r="G255" s="30" t="s">
        <v>46</v>
      </c>
      <c r="H255" s="31"/>
      <c r="I255" s="31" t="s">
        <v>47</v>
      </c>
      <c r="J255" s="32" t="n">
        <v>10.0</v>
      </c>
      <c r="K255" s="33" t="n">
        <f>1181</f>
        <v>1181.0</v>
      </c>
      <c r="L255" s="34" t="s">
        <v>48</v>
      </c>
      <c r="M255" s="33" t="n">
        <f>1181</f>
        <v>1181.0</v>
      </c>
      <c r="N255" s="34" t="s">
        <v>48</v>
      </c>
      <c r="O255" s="33" t="n">
        <f>1131</f>
        <v>1131.0</v>
      </c>
      <c r="P255" s="34" t="s">
        <v>114</v>
      </c>
      <c r="Q255" s="33" t="n">
        <f>1165</f>
        <v>1165.0</v>
      </c>
      <c r="R255" s="34" t="s">
        <v>51</v>
      </c>
      <c r="S255" s="35" t="n">
        <f>1154.78</f>
        <v>1154.78</v>
      </c>
      <c r="T255" s="32" t="n">
        <f>22500</f>
        <v>22500.0</v>
      </c>
      <c r="U255" s="32" t="str">
        <f>"－"</f>
        <v>－</v>
      </c>
      <c r="V255" s="32" t="n">
        <f>25880920</f>
        <v>2.588092E7</v>
      </c>
      <c r="W255" s="32" t="str">
        <f>"－"</f>
        <v>－</v>
      </c>
      <c r="X255" s="36" t="n">
        <f>18</f>
        <v>18.0</v>
      </c>
    </row>
    <row r="256">
      <c r="A256" s="27" t="s">
        <v>42</v>
      </c>
      <c r="B256" s="27" t="s">
        <v>812</v>
      </c>
      <c r="C256" s="27" t="s">
        <v>813</v>
      </c>
      <c r="D256" s="27" t="s">
        <v>814</v>
      </c>
      <c r="E256" s="28" t="s">
        <v>46</v>
      </c>
      <c r="F256" s="29" t="s">
        <v>46</v>
      </c>
      <c r="G256" s="30" t="s">
        <v>46</v>
      </c>
      <c r="H256" s="31"/>
      <c r="I256" s="31" t="s">
        <v>47</v>
      </c>
      <c r="J256" s="32" t="n">
        <v>10.0</v>
      </c>
      <c r="K256" s="33" t="n">
        <f>258</f>
        <v>258.0</v>
      </c>
      <c r="L256" s="34" t="s">
        <v>48</v>
      </c>
      <c r="M256" s="33" t="n">
        <f>261</f>
        <v>261.0</v>
      </c>
      <c r="N256" s="34" t="s">
        <v>480</v>
      </c>
      <c r="O256" s="33" t="n">
        <f>250</f>
        <v>250.0</v>
      </c>
      <c r="P256" s="34" t="s">
        <v>231</v>
      </c>
      <c r="Q256" s="33" t="n">
        <f>258</f>
        <v>258.0</v>
      </c>
      <c r="R256" s="34" t="s">
        <v>51</v>
      </c>
      <c r="S256" s="35" t="n">
        <f>256.56</f>
        <v>256.56</v>
      </c>
      <c r="T256" s="32" t="n">
        <f>19620</f>
        <v>19620.0</v>
      </c>
      <c r="U256" s="32" t="str">
        <f>"－"</f>
        <v>－</v>
      </c>
      <c r="V256" s="32" t="n">
        <f>5009730</f>
        <v>5009730.0</v>
      </c>
      <c r="W256" s="32" t="str">
        <f>"－"</f>
        <v>－</v>
      </c>
      <c r="X256" s="36" t="n">
        <f>18</f>
        <v>18.0</v>
      </c>
    </row>
    <row r="257">
      <c r="A257" s="27" t="s">
        <v>42</v>
      </c>
      <c r="B257" s="27" t="s">
        <v>815</v>
      </c>
      <c r="C257" s="27" t="s">
        <v>816</v>
      </c>
      <c r="D257" s="27" t="s">
        <v>817</v>
      </c>
      <c r="E257" s="28" t="s">
        <v>46</v>
      </c>
      <c r="F257" s="29" t="s">
        <v>46</v>
      </c>
      <c r="G257" s="30" t="s">
        <v>46</v>
      </c>
      <c r="H257" s="31"/>
      <c r="I257" s="31" t="s">
        <v>47</v>
      </c>
      <c r="J257" s="32" t="n">
        <v>10.0</v>
      </c>
      <c r="K257" s="33" t="n">
        <f>2544</f>
        <v>2544.0</v>
      </c>
      <c r="L257" s="34" t="s">
        <v>48</v>
      </c>
      <c r="M257" s="33" t="n">
        <f>2599</f>
        <v>2599.0</v>
      </c>
      <c r="N257" s="34" t="s">
        <v>51</v>
      </c>
      <c r="O257" s="33" t="n">
        <f>2458</f>
        <v>2458.0</v>
      </c>
      <c r="P257" s="34" t="s">
        <v>50</v>
      </c>
      <c r="Q257" s="33" t="n">
        <f>2592</f>
        <v>2592.0</v>
      </c>
      <c r="R257" s="34" t="s">
        <v>51</v>
      </c>
      <c r="S257" s="35" t="n">
        <f>2530.61</f>
        <v>2530.61</v>
      </c>
      <c r="T257" s="32" t="n">
        <f>1713690</f>
        <v>1713690.0</v>
      </c>
      <c r="U257" s="32" t="n">
        <f>100</f>
        <v>100.0</v>
      </c>
      <c r="V257" s="32" t="n">
        <f>4318836280</f>
        <v>4.31883628E9</v>
      </c>
      <c r="W257" s="32" t="n">
        <f>253280</f>
        <v>253280.0</v>
      </c>
      <c r="X257" s="36" t="n">
        <f>18</f>
        <v>18.0</v>
      </c>
    </row>
    <row r="258">
      <c r="A258" s="27" t="s">
        <v>42</v>
      </c>
      <c r="B258" s="27" t="s">
        <v>818</v>
      </c>
      <c r="C258" s="27" t="s">
        <v>819</v>
      </c>
      <c r="D258" s="27" t="s">
        <v>820</v>
      </c>
      <c r="E258" s="28" t="s">
        <v>46</v>
      </c>
      <c r="F258" s="29" t="s">
        <v>46</v>
      </c>
      <c r="G258" s="30" t="s">
        <v>46</v>
      </c>
      <c r="H258" s="31"/>
      <c r="I258" s="31" t="s">
        <v>47</v>
      </c>
      <c r="J258" s="32" t="n">
        <v>10.0</v>
      </c>
      <c r="K258" s="33" t="n">
        <f>2430</f>
        <v>2430.0</v>
      </c>
      <c r="L258" s="34" t="s">
        <v>48</v>
      </c>
      <c r="M258" s="33" t="n">
        <f>2474</f>
        <v>2474.0</v>
      </c>
      <c r="N258" s="34" t="s">
        <v>49</v>
      </c>
      <c r="O258" s="33" t="n">
        <f>2338</f>
        <v>2338.0</v>
      </c>
      <c r="P258" s="34" t="s">
        <v>50</v>
      </c>
      <c r="Q258" s="33" t="n">
        <f>2464</f>
        <v>2464.0</v>
      </c>
      <c r="R258" s="34" t="s">
        <v>51</v>
      </c>
      <c r="S258" s="35" t="n">
        <f>2419.94</f>
        <v>2419.94</v>
      </c>
      <c r="T258" s="32" t="n">
        <f>4490120</f>
        <v>4490120.0</v>
      </c>
      <c r="U258" s="32" t="n">
        <f>912000</f>
        <v>912000.0</v>
      </c>
      <c r="V258" s="32" t="n">
        <f>10904475656</f>
        <v>1.0904475656E10</v>
      </c>
      <c r="W258" s="32" t="n">
        <f>2208398356</f>
        <v>2.208398356E9</v>
      </c>
      <c r="X258" s="36" t="n">
        <f>18</f>
        <v>18.0</v>
      </c>
    </row>
    <row r="259">
      <c r="A259" s="27" t="s">
        <v>42</v>
      </c>
      <c r="B259" s="27" t="s">
        <v>821</v>
      </c>
      <c r="C259" s="27" t="s">
        <v>822</v>
      </c>
      <c r="D259" s="27" t="s">
        <v>823</v>
      </c>
      <c r="E259" s="28" t="s">
        <v>46</v>
      </c>
      <c r="F259" s="29" t="s">
        <v>46</v>
      </c>
      <c r="G259" s="30" t="s">
        <v>46</v>
      </c>
      <c r="H259" s="31"/>
      <c r="I259" s="31" t="s">
        <v>47</v>
      </c>
      <c r="J259" s="32" t="n">
        <v>1.0</v>
      </c>
      <c r="K259" s="33" t="n">
        <f>2586</f>
        <v>2586.0</v>
      </c>
      <c r="L259" s="34" t="s">
        <v>48</v>
      </c>
      <c r="M259" s="33" t="n">
        <f>2602</f>
        <v>2602.0</v>
      </c>
      <c r="N259" s="34" t="s">
        <v>84</v>
      </c>
      <c r="O259" s="33" t="n">
        <f>2570</f>
        <v>2570.0</v>
      </c>
      <c r="P259" s="34" t="s">
        <v>49</v>
      </c>
      <c r="Q259" s="33" t="n">
        <f>2598</f>
        <v>2598.0</v>
      </c>
      <c r="R259" s="34" t="s">
        <v>51</v>
      </c>
      <c r="S259" s="35" t="n">
        <f>2582.44</f>
        <v>2582.44</v>
      </c>
      <c r="T259" s="32" t="n">
        <f>528220</f>
        <v>528220.0</v>
      </c>
      <c r="U259" s="32" t="n">
        <f>400000</f>
        <v>400000.0</v>
      </c>
      <c r="V259" s="32" t="n">
        <f>1368169692</f>
        <v>1.368169692E9</v>
      </c>
      <c r="W259" s="32" t="n">
        <f>1036980000</f>
        <v>1.03698E9</v>
      </c>
      <c r="X259" s="36" t="n">
        <f>18</f>
        <v>18.0</v>
      </c>
    </row>
    <row r="260">
      <c r="A260" s="27" t="s">
        <v>42</v>
      </c>
      <c r="B260" s="27" t="s">
        <v>824</v>
      </c>
      <c r="C260" s="27" t="s">
        <v>825</v>
      </c>
      <c r="D260" s="27" t="s">
        <v>826</v>
      </c>
      <c r="E260" s="28" t="s">
        <v>46</v>
      </c>
      <c r="F260" s="29" t="s">
        <v>46</v>
      </c>
      <c r="G260" s="30" t="s">
        <v>46</v>
      </c>
      <c r="H260" s="31"/>
      <c r="I260" s="31" t="s">
        <v>47</v>
      </c>
      <c r="J260" s="32" t="n">
        <v>1.0</v>
      </c>
      <c r="K260" s="33" t="n">
        <f>2149</f>
        <v>2149.0</v>
      </c>
      <c r="L260" s="34" t="s">
        <v>48</v>
      </c>
      <c r="M260" s="33" t="n">
        <f>2155</f>
        <v>2155.0</v>
      </c>
      <c r="N260" s="34" t="s">
        <v>130</v>
      </c>
      <c r="O260" s="33" t="n">
        <f>2080</f>
        <v>2080.0</v>
      </c>
      <c r="P260" s="34" t="s">
        <v>50</v>
      </c>
      <c r="Q260" s="33" t="n">
        <f>2133</f>
        <v>2133.0</v>
      </c>
      <c r="R260" s="34" t="s">
        <v>51</v>
      </c>
      <c r="S260" s="35" t="n">
        <f>2117.5</f>
        <v>2117.5</v>
      </c>
      <c r="T260" s="32" t="n">
        <f>639682</f>
        <v>639682.0</v>
      </c>
      <c r="U260" s="32" t="n">
        <f>14</f>
        <v>14.0</v>
      </c>
      <c r="V260" s="32" t="n">
        <f>1354558239</f>
        <v>1.354558239E9</v>
      </c>
      <c r="W260" s="32" t="n">
        <f>29562</f>
        <v>29562.0</v>
      </c>
      <c r="X260" s="36" t="n">
        <f>18</f>
        <v>18.0</v>
      </c>
    </row>
    <row r="261">
      <c r="A261" s="27" t="s">
        <v>42</v>
      </c>
      <c r="B261" s="27" t="s">
        <v>827</v>
      </c>
      <c r="C261" s="27" t="s">
        <v>828</v>
      </c>
      <c r="D261" s="27" t="s">
        <v>829</v>
      </c>
      <c r="E261" s="28" t="s">
        <v>46</v>
      </c>
      <c r="F261" s="29" t="s">
        <v>46</v>
      </c>
      <c r="G261" s="30" t="s">
        <v>46</v>
      </c>
      <c r="H261" s="31"/>
      <c r="I261" s="31" t="s">
        <v>47</v>
      </c>
      <c r="J261" s="32" t="n">
        <v>1.0</v>
      </c>
      <c r="K261" s="33" t="n">
        <f>2500</f>
        <v>2500.0</v>
      </c>
      <c r="L261" s="34" t="s">
        <v>48</v>
      </c>
      <c r="M261" s="33" t="n">
        <f>2540</f>
        <v>2540.0</v>
      </c>
      <c r="N261" s="34" t="s">
        <v>101</v>
      </c>
      <c r="O261" s="33" t="n">
        <f>2474</f>
        <v>2474.0</v>
      </c>
      <c r="P261" s="34" t="s">
        <v>50</v>
      </c>
      <c r="Q261" s="33" t="n">
        <f>2501</f>
        <v>2501.0</v>
      </c>
      <c r="R261" s="34" t="s">
        <v>51</v>
      </c>
      <c r="S261" s="35" t="n">
        <f>2501.72</f>
        <v>2501.72</v>
      </c>
      <c r="T261" s="32" t="n">
        <f>55119</f>
        <v>55119.0</v>
      </c>
      <c r="U261" s="32" t="n">
        <f>53130</f>
        <v>53130.0</v>
      </c>
      <c r="V261" s="32" t="n">
        <f>138204469</f>
        <v>1.38204469E8</v>
      </c>
      <c r="W261" s="32" t="n">
        <f>133229319</f>
        <v>1.33229319E8</v>
      </c>
      <c r="X261" s="36" t="n">
        <f>18</f>
        <v>18.0</v>
      </c>
    </row>
    <row r="262">
      <c r="A262" s="27" t="s">
        <v>42</v>
      </c>
      <c r="B262" s="27" t="s">
        <v>830</v>
      </c>
      <c r="C262" s="27" t="s">
        <v>831</v>
      </c>
      <c r="D262" s="27" t="s">
        <v>832</v>
      </c>
      <c r="E262" s="28" t="s">
        <v>46</v>
      </c>
      <c r="F262" s="29" t="s">
        <v>46</v>
      </c>
      <c r="G262" s="30" t="s">
        <v>46</v>
      </c>
      <c r="H262" s="31"/>
      <c r="I262" s="31" t="s">
        <v>47</v>
      </c>
      <c r="J262" s="32" t="n">
        <v>1.0</v>
      </c>
      <c r="K262" s="33" t="n">
        <f>2507</f>
        <v>2507.0</v>
      </c>
      <c r="L262" s="34" t="s">
        <v>48</v>
      </c>
      <c r="M262" s="33" t="n">
        <f>2547</f>
        <v>2547.0</v>
      </c>
      <c r="N262" s="34" t="s">
        <v>50</v>
      </c>
      <c r="O262" s="33" t="n">
        <f>2492</f>
        <v>2492.0</v>
      </c>
      <c r="P262" s="34" t="s">
        <v>50</v>
      </c>
      <c r="Q262" s="33" t="n">
        <f>2500</f>
        <v>2500.0</v>
      </c>
      <c r="R262" s="34" t="s">
        <v>51</v>
      </c>
      <c r="S262" s="35" t="n">
        <f>2503.06</f>
        <v>2503.06</v>
      </c>
      <c r="T262" s="32" t="n">
        <f>994</f>
        <v>994.0</v>
      </c>
      <c r="U262" s="32" t="str">
        <f>"－"</f>
        <v>－</v>
      </c>
      <c r="V262" s="32" t="n">
        <f>2492289</f>
        <v>2492289.0</v>
      </c>
      <c r="W262" s="32" t="str">
        <f>"－"</f>
        <v>－</v>
      </c>
      <c r="X262" s="36" t="n">
        <f>18</f>
        <v>18.0</v>
      </c>
    </row>
    <row r="263">
      <c r="A263" s="27" t="s">
        <v>42</v>
      </c>
      <c r="B263" s="27" t="s">
        <v>833</v>
      </c>
      <c r="C263" s="27" t="s">
        <v>834</v>
      </c>
      <c r="D263" s="27" t="s">
        <v>835</v>
      </c>
      <c r="E263" s="28" t="s">
        <v>46</v>
      </c>
      <c r="F263" s="29" t="s">
        <v>46</v>
      </c>
      <c r="G263" s="30" t="s">
        <v>46</v>
      </c>
      <c r="H263" s="31"/>
      <c r="I263" s="31" t="s">
        <v>47</v>
      </c>
      <c r="J263" s="32" t="n">
        <v>1.0</v>
      </c>
      <c r="K263" s="33" t="n">
        <f>2912</f>
        <v>2912.0</v>
      </c>
      <c r="L263" s="34" t="s">
        <v>48</v>
      </c>
      <c r="M263" s="33" t="n">
        <f>2970</f>
        <v>2970.0</v>
      </c>
      <c r="N263" s="34" t="s">
        <v>49</v>
      </c>
      <c r="O263" s="33" t="n">
        <f>2747</f>
        <v>2747.0</v>
      </c>
      <c r="P263" s="34" t="s">
        <v>50</v>
      </c>
      <c r="Q263" s="33" t="n">
        <f>2896</f>
        <v>2896.0</v>
      </c>
      <c r="R263" s="34" t="s">
        <v>51</v>
      </c>
      <c r="S263" s="35" t="n">
        <f>2856.78</f>
        <v>2856.78</v>
      </c>
      <c r="T263" s="32" t="n">
        <f>71156</f>
        <v>71156.0</v>
      </c>
      <c r="U263" s="32" t="n">
        <f>30000</f>
        <v>30000.0</v>
      </c>
      <c r="V263" s="32" t="n">
        <f>200176950</f>
        <v>2.0017695E8</v>
      </c>
      <c r="W263" s="32" t="n">
        <f>83778800</f>
        <v>8.37788E7</v>
      </c>
      <c r="X263" s="36" t="n">
        <f>18</f>
        <v>18.0</v>
      </c>
    </row>
    <row r="264">
      <c r="A264" s="27" t="s">
        <v>42</v>
      </c>
      <c r="B264" s="27" t="s">
        <v>836</v>
      </c>
      <c r="C264" s="27" t="s">
        <v>837</v>
      </c>
      <c r="D264" s="27" t="s">
        <v>838</v>
      </c>
      <c r="E264" s="28" t="s">
        <v>46</v>
      </c>
      <c r="F264" s="29" t="s">
        <v>46</v>
      </c>
      <c r="G264" s="30" t="s">
        <v>46</v>
      </c>
      <c r="H264" s="31"/>
      <c r="I264" s="31" t="s">
        <v>47</v>
      </c>
      <c r="J264" s="32" t="n">
        <v>1.0</v>
      </c>
      <c r="K264" s="33" t="n">
        <f>1923</f>
        <v>1923.0</v>
      </c>
      <c r="L264" s="34" t="s">
        <v>48</v>
      </c>
      <c r="M264" s="33" t="n">
        <f>1956</f>
        <v>1956.0</v>
      </c>
      <c r="N264" s="34" t="s">
        <v>49</v>
      </c>
      <c r="O264" s="33" t="n">
        <f>1848</f>
        <v>1848.0</v>
      </c>
      <c r="P264" s="34" t="s">
        <v>50</v>
      </c>
      <c r="Q264" s="33" t="n">
        <f>1925</f>
        <v>1925.0</v>
      </c>
      <c r="R264" s="34" t="s">
        <v>51</v>
      </c>
      <c r="S264" s="35" t="n">
        <f>1910.56</f>
        <v>1910.56</v>
      </c>
      <c r="T264" s="32" t="n">
        <f>59498</f>
        <v>59498.0</v>
      </c>
      <c r="U264" s="32" t="n">
        <f>20000</f>
        <v>20000.0</v>
      </c>
      <c r="V264" s="32" t="n">
        <f>112720175</f>
        <v>1.12720175E8</v>
      </c>
      <c r="W264" s="32" t="n">
        <f>38112000</f>
        <v>3.8112E7</v>
      </c>
      <c r="X264" s="36" t="n">
        <f>18</f>
        <v>18.0</v>
      </c>
    </row>
    <row r="265">
      <c r="A265" s="27" t="s">
        <v>42</v>
      </c>
      <c r="B265" s="27" t="s">
        <v>839</v>
      </c>
      <c r="C265" s="27" t="s">
        <v>840</v>
      </c>
      <c r="D265" s="27" t="s">
        <v>841</v>
      </c>
      <c r="E265" s="28" t="s">
        <v>46</v>
      </c>
      <c r="F265" s="29" t="s">
        <v>46</v>
      </c>
      <c r="G265" s="30" t="s">
        <v>46</v>
      </c>
      <c r="H265" s="31"/>
      <c r="I265" s="31" t="s">
        <v>47</v>
      </c>
      <c r="J265" s="32" t="n">
        <v>1.0</v>
      </c>
      <c r="K265" s="33" t="n">
        <f>2120</f>
        <v>2120.0</v>
      </c>
      <c r="L265" s="34" t="s">
        <v>48</v>
      </c>
      <c r="M265" s="33" t="n">
        <f>2124</f>
        <v>2124.0</v>
      </c>
      <c r="N265" s="34" t="s">
        <v>48</v>
      </c>
      <c r="O265" s="33" t="n">
        <f>1960</f>
        <v>1960.0</v>
      </c>
      <c r="P265" s="34" t="s">
        <v>50</v>
      </c>
      <c r="Q265" s="33" t="n">
        <f>2072</f>
        <v>2072.0</v>
      </c>
      <c r="R265" s="34" t="s">
        <v>51</v>
      </c>
      <c r="S265" s="35" t="n">
        <f>2047.56</f>
        <v>2047.56</v>
      </c>
      <c r="T265" s="32" t="n">
        <f>199384</f>
        <v>199384.0</v>
      </c>
      <c r="U265" s="32" t="n">
        <f>18</f>
        <v>18.0</v>
      </c>
      <c r="V265" s="32" t="n">
        <f>402880074</f>
        <v>4.02880074E8</v>
      </c>
      <c r="W265" s="32" t="n">
        <f>36679</f>
        <v>36679.0</v>
      </c>
      <c r="X265" s="36" t="n">
        <f>18</f>
        <v>18.0</v>
      </c>
    </row>
    <row r="266">
      <c r="A266" s="27" t="s">
        <v>42</v>
      </c>
      <c r="B266" s="27" t="s">
        <v>842</v>
      </c>
      <c r="C266" s="27" t="s">
        <v>843</v>
      </c>
      <c r="D266" s="27" t="s">
        <v>844</v>
      </c>
      <c r="E266" s="28" t="s">
        <v>46</v>
      </c>
      <c r="F266" s="29" t="s">
        <v>46</v>
      </c>
      <c r="G266" s="30" t="s">
        <v>46</v>
      </c>
      <c r="H266" s="31"/>
      <c r="I266" s="31" t="s">
        <v>47</v>
      </c>
      <c r="J266" s="32" t="n">
        <v>1.0</v>
      </c>
      <c r="K266" s="33" t="n">
        <f>2185</f>
        <v>2185.0</v>
      </c>
      <c r="L266" s="34" t="s">
        <v>48</v>
      </c>
      <c r="M266" s="33" t="n">
        <f>2206</f>
        <v>2206.0</v>
      </c>
      <c r="N266" s="34" t="s">
        <v>48</v>
      </c>
      <c r="O266" s="33" t="n">
        <f>1995</f>
        <v>1995.0</v>
      </c>
      <c r="P266" s="34" t="s">
        <v>50</v>
      </c>
      <c r="Q266" s="33" t="n">
        <f>2171</f>
        <v>2171.0</v>
      </c>
      <c r="R266" s="34" t="s">
        <v>51</v>
      </c>
      <c r="S266" s="35" t="n">
        <f>2111.28</f>
        <v>2111.28</v>
      </c>
      <c r="T266" s="32" t="n">
        <f>316606</f>
        <v>316606.0</v>
      </c>
      <c r="U266" s="32" t="str">
        <f>"－"</f>
        <v>－</v>
      </c>
      <c r="V266" s="32" t="n">
        <f>667124673</f>
        <v>6.67124673E8</v>
      </c>
      <c r="W266" s="32" t="str">
        <f>"－"</f>
        <v>－</v>
      </c>
      <c r="X266" s="36" t="n">
        <f>18</f>
        <v>18.0</v>
      </c>
    </row>
    <row r="267">
      <c r="A267" s="27" t="s">
        <v>42</v>
      </c>
      <c r="B267" s="27" t="s">
        <v>845</v>
      </c>
      <c r="C267" s="27" t="s">
        <v>846</v>
      </c>
      <c r="D267" s="27" t="s">
        <v>847</v>
      </c>
      <c r="E267" s="28" t="s">
        <v>46</v>
      </c>
      <c r="F267" s="29" t="s">
        <v>46</v>
      </c>
      <c r="G267" s="30" t="s">
        <v>46</v>
      </c>
      <c r="H267" s="31"/>
      <c r="I267" s="31" t="s">
        <v>47</v>
      </c>
      <c r="J267" s="32" t="n">
        <v>1.0</v>
      </c>
      <c r="K267" s="33" t="n">
        <f>2272</f>
        <v>2272.0</v>
      </c>
      <c r="L267" s="34" t="s">
        <v>48</v>
      </c>
      <c r="M267" s="33" t="n">
        <f>2499</f>
        <v>2499.0</v>
      </c>
      <c r="N267" s="34" t="s">
        <v>51</v>
      </c>
      <c r="O267" s="33" t="n">
        <f>2151</f>
        <v>2151.0</v>
      </c>
      <c r="P267" s="34" t="s">
        <v>61</v>
      </c>
      <c r="Q267" s="33" t="n">
        <f>2498</f>
        <v>2498.0</v>
      </c>
      <c r="R267" s="34" t="s">
        <v>51</v>
      </c>
      <c r="S267" s="35" t="n">
        <f>2287.56</f>
        <v>2287.56</v>
      </c>
      <c r="T267" s="32" t="n">
        <f>31820</f>
        <v>31820.0</v>
      </c>
      <c r="U267" s="32" t="str">
        <f>"－"</f>
        <v>－</v>
      </c>
      <c r="V267" s="32" t="n">
        <f>73192139</f>
        <v>7.3192139E7</v>
      </c>
      <c r="W267" s="32" t="str">
        <f>"－"</f>
        <v>－</v>
      </c>
      <c r="X267" s="36" t="n">
        <f>18</f>
        <v>18.0</v>
      </c>
    </row>
    <row r="268">
      <c r="A268" s="27" t="s">
        <v>42</v>
      </c>
      <c r="B268" s="27" t="s">
        <v>848</v>
      </c>
      <c r="C268" s="27" t="s">
        <v>849</v>
      </c>
      <c r="D268" s="27" t="s">
        <v>850</v>
      </c>
      <c r="E268" s="28" t="s">
        <v>46</v>
      </c>
      <c r="F268" s="29" t="s">
        <v>46</v>
      </c>
      <c r="G268" s="30" t="s">
        <v>46</v>
      </c>
      <c r="H268" s="31"/>
      <c r="I268" s="31" t="s">
        <v>47</v>
      </c>
      <c r="J268" s="32" t="n">
        <v>1.0</v>
      </c>
      <c r="K268" s="33" t="n">
        <f>2859</f>
        <v>2859.0</v>
      </c>
      <c r="L268" s="34" t="s">
        <v>48</v>
      </c>
      <c r="M268" s="33" t="n">
        <f>3025</f>
        <v>3025.0</v>
      </c>
      <c r="N268" s="34" t="s">
        <v>51</v>
      </c>
      <c r="O268" s="33" t="n">
        <f>2760</f>
        <v>2760.0</v>
      </c>
      <c r="P268" s="34" t="s">
        <v>50</v>
      </c>
      <c r="Q268" s="33" t="n">
        <f>2981</f>
        <v>2981.0</v>
      </c>
      <c r="R268" s="34" t="s">
        <v>51</v>
      </c>
      <c r="S268" s="35" t="n">
        <f>2870.83</f>
        <v>2870.83</v>
      </c>
      <c r="T268" s="32" t="n">
        <f>17209</f>
        <v>17209.0</v>
      </c>
      <c r="U268" s="32" t="str">
        <f>"－"</f>
        <v>－</v>
      </c>
      <c r="V268" s="32" t="n">
        <f>49448695</f>
        <v>4.9448695E7</v>
      </c>
      <c r="W268" s="32" t="str">
        <f>"－"</f>
        <v>－</v>
      </c>
      <c r="X268" s="36" t="n">
        <f>18</f>
        <v>18.0</v>
      </c>
    </row>
    <row r="269">
      <c r="A269" s="27" t="s">
        <v>42</v>
      </c>
      <c r="B269" s="27" t="s">
        <v>851</v>
      </c>
      <c r="C269" s="27" t="s">
        <v>852</v>
      </c>
      <c r="D269" s="27" t="s">
        <v>853</v>
      </c>
      <c r="E269" s="28" t="s">
        <v>46</v>
      </c>
      <c r="F269" s="29" t="s">
        <v>46</v>
      </c>
      <c r="G269" s="30" t="s">
        <v>46</v>
      </c>
      <c r="H269" s="31"/>
      <c r="I269" s="31" t="s">
        <v>47</v>
      </c>
      <c r="J269" s="32" t="n">
        <v>1.0</v>
      </c>
      <c r="K269" s="33" t="n">
        <f>10770</f>
        <v>10770.0</v>
      </c>
      <c r="L269" s="34" t="s">
        <v>48</v>
      </c>
      <c r="M269" s="33" t="n">
        <f>10970</f>
        <v>10970.0</v>
      </c>
      <c r="N269" s="34" t="s">
        <v>49</v>
      </c>
      <c r="O269" s="33" t="n">
        <f>10500</f>
        <v>10500.0</v>
      </c>
      <c r="P269" s="34" t="s">
        <v>50</v>
      </c>
      <c r="Q269" s="33" t="n">
        <f>10890</f>
        <v>10890.0</v>
      </c>
      <c r="R269" s="34" t="s">
        <v>51</v>
      </c>
      <c r="S269" s="35" t="n">
        <f>10772.78</f>
        <v>10772.78</v>
      </c>
      <c r="T269" s="32" t="n">
        <f>55057</f>
        <v>55057.0</v>
      </c>
      <c r="U269" s="32" t="str">
        <f>"－"</f>
        <v>－</v>
      </c>
      <c r="V269" s="32" t="n">
        <f>586979810</f>
        <v>5.8697981E8</v>
      </c>
      <c r="W269" s="32" t="str">
        <f>"－"</f>
        <v>－</v>
      </c>
      <c r="X269" s="36" t="n">
        <f>18</f>
        <v>18.0</v>
      </c>
    </row>
    <row r="270">
      <c r="A270" s="27" t="s">
        <v>42</v>
      </c>
      <c r="B270" s="27" t="s">
        <v>854</v>
      </c>
      <c r="C270" s="27" t="s">
        <v>855</v>
      </c>
      <c r="D270" s="27" t="s">
        <v>856</v>
      </c>
      <c r="E270" s="28" t="s">
        <v>46</v>
      </c>
      <c r="F270" s="29" t="s">
        <v>46</v>
      </c>
      <c r="G270" s="30" t="s">
        <v>46</v>
      </c>
      <c r="H270" s="31"/>
      <c r="I270" s="31" t="s">
        <v>47</v>
      </c>
      <c r="J270" s="32" t="n">
        <v>1.0</v>
      </c>
      <c r="K270" s="33" t="n">
        <f>10620</f>
        <v>10620.0</v>
      </c>
      <c r="L270" s="34" t="s">
        <v>48</v>
      </c>
      <c r="M270" s="33" t="n">
        <f>10850</f>
        <v>10850.0</v>
      </c>
      <c r="N270" s="34" t="s">
        <v>51</v>
      </c>
      <c r="O270" s="33" t="n">
        <f>10260</f>
        <v>10260.0</v>
      </c>
      <c r="P270" s="34" t="s">
        <v>50</v>
      </c>
      <c r="Q270" s="33" t="n">
        <f>10810</f>
        <v>10810.0</v>
      </c>
      <c r="R270" s="34" t="s">
        <v>51</v>
      </c>
      <c r="S270" s="35" t="n">
        <f>10562.78</f>
        <v>10562.78</v>
      </c>
      <c r="T270" s="32" t="n">
        <f>170425</f>
        <v>170425.0</v>
      </c>
      <c r="U270" s="32" t="n">
        <f>86</f>
        <v>86.0</v>
      </c>
      <c r="V270" s="32" t="n">
        <f>1794668690</f>
        <v>1.79466869E9</v>
      </c>
      <c r="W270" s="32" t="n">
        <f>887340</f>
        <v>887340.0</v>
      </c>
      <c r="X270" s="36" t="n">
        <f>18</f>
        <v>18.0</v>
      </c>
    </row>
    <row r="271">
      <c r="A271" s="27" t="s">
        <v>42</v>
      </c>
      <c r="B271" s="27" t="s">
        <v>857</v>
      </c>
      <c r="C271" s="27" t="s">
        <v>858</v>
      </c>
      <c r="D271" s="27" t="s">
        <v>859</v>
      </c>
      <c r="E271" s="28" t="s">
        <v>46</v>
      </c>
      <c r="F271" s="29" t="s">
        <v>46</v>
      </c>
      <c r="G271" s="30" t="s">
        <v>46</v>
      </c>
      <c r="H271" s="31"/>
      <c r="I271" s="31" t="s">
        <v>47</v>
      </c>
      <c r="J271" s="32" t="n">
        <v>1.0</v>
      </c>
      <c r="K271" s="33" t="n">
        <f>10230</f>
        <v>10230.0</v>
      </c>
      <c r="L271" s="34" t="s">
        <v>48</v>
      </c>
      <c r="M271" s="33" t="n">
        <f>10420</f>
        <v>10420.0</v>
      </c>
      <c r="N271" s="34" t="s">
        <v>49</v>
      </c>
      <c r="O271" s="33" t="n">
        <f>9850</f>
        <v>9850.0</v>
      </c>
      <c r="P271" s="34" t="s">
        <v>50</v>
      </c>
      <c r="Q271" s="33" t="n">
        <f>10380</f>
        <v>10380.0</v>
      </c>
      <c r="R271" s="34" t="s">
        <v>51</v>
      </c>
      <c r="S271" s="35" t="n">
        <f>10191.11</f>
        <v>10191.11</v>
      </c>
      <c r="T271" s="32" t="n">
        <f>208370</f>
        <v>208370.0</v>
      </c>
      <c r="U271" s="32" t="n">
        <f>48000</f>
        <v>48000.0</v>
      </c>
      <c r="V271" s="32" t="n">
        <f>2134672160</f>
        <v>2.13467216E9</v>
      </c>
      <c r="W271" s="32" t="n">
        <f>498144000</f>
        <v>4.98144E8</v>
      </c>
      <c r="X271" s="36" t="n">
        <f>18</f>
        <v>18.0</v>
      </c>
    </row>
    <row r="272">
      <c r="A272" s="27" t="s">
        <v>42</v>
      </c>
      <c r="B272" s="27" t="s">
        <v>860</v>
      </c>
      <c r="C272" s="27" t="s">
        <v>861</v>
      </c>
      <c r="D272" s="27" t="s">
        <v>862</v>
      </c>
      <c r="E272" s="28" t="s">
        <v>46</v>
      </c>
      <c r="F272" s="29" t="s">
        <v>46</v>
      </c>
      <c r="G272" s="30" t="s">
        <v>46</v>
      </c>
      <c r="H272" s="31"/>
      <c r="I272" s="31" t="s">
        <v>47</v>
      </c>
      <c r="J272" s="32" t="n">
        <v>10.0</v>
      </c>
      <c r="K272" s="33" t="n">
        <f>2100</f>
        <v>2100.0</v>
      </c>
      <c r="L272" s="34" t="s">
        <v>48</v>
      </c>
      <c r="M272" s="33" t="n">
        <f>2142</f>
        <v>2142.0</v>
      </c>
      <c r="N272" s="34" t="s">
        <v>84</v>
      </c>
      <c r="O272" s="33" t="n">
        <f>2057</f>
        <v>2057.0</v>
      </c>
      <c r="P272" s="34" t="s">
        <v>50</v>
      </c>
      <c r="Q272" s="33" t="n">
        <f>2131</f>
        <v>2131.0</v>
      </c>
      <c r="R272" s="34" t="s">
        <v>51</v>
      </c>
      <c r="S272" s="35" t="n">
        <f>2100.17</f>
        <v>2100.17</v>
      </c>
      <c r="T272" s="32" t="n">
        <f>689680</f>
        <v>689680.0</v>
      </c>
      <c r="U272" s="32" t="n">
        <f>500</f>
        <v>500.0</v>
      </c>
      <c r="V272" s="32" t="n">
        <f>1440398460</f>
        <v>1.44039846E9</v>
      </c>
      <c r="W272" s="32" t="n">
        <f>1037500</f>
        <v>1037500.0</v>
      </c>
      <c r="X272" s="36" t="n">
        <f>18</f>
        <v>18.0</v>
      </c>
    </row>
    <row r="273">
      <c r="A273" s="27" t="s">
        <v>42</v>
      </c>
      <c r="B273" s="27" t="s">
        <v>863</v>
      </c>
      <c r="C273" s="27" t="s">
        <v>864</v>
      </c>
      <c r="D273" s="27" t="s">
        <v>865</v>
      </c>
      <c r="E273" s="28" t="s">
        <v>46</v>
      </c>
      <c r="F273" s="29" t="s">
        <v>46</v>
      </c>
      <c r="G273" s="30" t="s">
        <v>46</v>
      </c>
      <c r="H273" s="31"/>
      <c r="I273" s="31" t="s">
        <v>47</v>
      </c>
      <c r="J273" s="32" t="n">
        <v>10.0</v>
      </c>
      <c r="K273" s="33" t="n">
        <f>2104</f>
        <v>2104.0</v>
      </c>
      <c r="L273" s="34" t="s">
        <v>48</v>
      </c>
      <c r="M273" s="33" t="n">
        <f>2141</f>
        <v>2141.0</v>
      </c>
      <c r="N273" s="34" t="s">
        <v>49</v>
      </c>
      <c r="O273" s="33" t="n">
        <f>2051</f>
        <v>2051.0</v>
      </c>
      <c r="P273" s="34" t="s">
        <v>50</v>
      </c>
      <c r="Q273" s="33" t="n">
        <f>2128</f>
        <v>2128.0</v>
      </c>
      <c r="R273" s="34" t="s">
        <v>51</v>
      </c>
      <c r="S273" s="35" t="n">
        <f>2104.94</f>
        <v>2104.94</v>
      </c>
      <c r="T273" s="32" t="n">
        <f>567370</f>
        <v>567370.0</v>
      </c>
      <c r="U273" s="32" t="n">
        <f>324000</f>
        <v>324000.0</v>
      </c>
      <c r="V273" s="32" t="n">
        <f>1185053144</f>
        <v>1.185053144E9</v>
      </c>
      <c r="W273" s="32" t="n">
        <f>674892384</f>
        <v>6.74892384E8</v>
      </c>
      <c r="X273" s="36" t="n">
        <f>18</f>
        <v>18.0</v>
      </c>
    </row>
    <row r="274">
      <c r="A274" s="27" t="s">
        <v>42</v>
      </c>
      <c r="B274" s="27" t="s">
        <v>866</v>
      </c>
      <c r="C274" s="27" t="s">
        <v>867</v>
      </c>
      <c r="D274" s="27" t="s">
        <v>868</v>
      </c>
      <c r="E274" s="28" t="s">
        <v>46</v>
      </c>
      <c r="F274" s="29" t="s">
        <v>46</v>
      </c>
      <c r="G274" s="30" t="s">
        <v>46</v>
      </c>
      <c r="H274" s="31"/>
      <c r="I274" s="31" t="s">
        <v>47</v>
      </c>
      <c r="J274" s="32" t="n">
        <v>10.0</v>
      </c>
      <c r="K274" s="33" t="n">
        <f>2104</f>
        <v>2104.0</v>
      </c>
      <c r="L274" s="34" t="s">
        <v>48</v>
      </c>
      <c r="M274" s="33" t="n">
        <f>2138</f>
        <v>2138.0</v>
      </c>
      <c r="N274" s="34" t="s">
        <v>84</v>
      </c>
      <c r="O274" s="33" t="n">
        <f>2060</f>
        <v>2060.0</v>
      </c>
      <c r="P274" s="34" t="s">
        <v>50</v>
      </c>
      <c r="Q274" s="33" t="n">
        <f>2132</f>
        <v>2132.0</v>
      </c>
      <c r="R274" s="34" t="s">
        <v>51</v>
      </c>
      <c r="S274" s="35" t="n">
        <f>2101.89</f>
        <v>2101.89</v>
      </c>
      <c r="T274" s="32" t="n">
        <f>277500</f>
        <v>277500.0</v>
      </c>
      <c r="U274" s="32" t="str">
        <f>"－"</f>
        <v>－</v>
      </c>
      <c r="V274" s="32" t="n">
        <f>582453800</f>
        <v>5.824538E8</v>
      </c>
      <c r="W274" s="32" t="str">
        <f>"－"</f>
        <v>－</v>
      </c>
      <c r="X274" s="36" t="n">
        <f>18</f>
        <v>18.0</v>
      </c>
    </row>
    <row r="275">
      <c r="A275" s="27" t="s">
        <v>42</v>
      </c>
      <c r="B275" s="27" t="s">
        <v>869</v>
      </c>
      <c r="C275" s="27" t="s">
        <v>870</v>
      </c>
      <c r="D275" s="27" t="s">
        <v>871</v>
      </c>
      <c r="E275" s="28" t="s">
        <v>46</v>
      </c>
      <c r="F275" s="29" t="s">
        <v>46</v>
      </c>
      <c r="G275" s="30" t="s">
        <v>46</v>
      </c>
      <c r="H275" s="31"/>
      <c r="I275" s="31" t="s">
        <v>47</v>
      </c>
      <c r="J275" s="32" t="n">
        <v>1.0</v>
      </c>
      <c r="K275" s="33" t="n">
        <f>2623</f>
        <v>2623.0</v>
      </c>
      <c r="L275" s="34" t="s">
        <v>48</v>
      </c>
      <c r="M275" s="33" t="n">
        <f>2655</f>
        <v>2655.0</v>
      </c>
      <c r="N275" s="34" t="s">
        <v>51</v>
      </c>
      <c r="O275" s="33" t="n">
        <f>2495</f>
        <v>2495.0</v>
      </c>
      <c r="P275" s="34" t="s">
        <v>50</v>
      </c>
      <c r="Q275" s="33" t="n">
        <f>2624</f>
        <v>2624.0</v>
      </c>
      <c r="R275" s="34" t="s">
        <v>51</v>
      </c>
      <c r="S275" s="35" t="n">
        <f>2579.61</f>
        <v>2579.61</v>
      </c>
      <c r="T275" s="32" t="n">
        <f>19321</f>
        <v>19321.0</v>
      </c>
      <c r="U275" s="32" t="str">
        <f>"－"</f>
        <v>－</v>
      </c>
      <c r="V275" s="32" t="n">
        <f>49886060</f>
        <v>4.988606E7</v>
      </c>
      <c r="W275" s="32" t="str">
        <f>"－"</f>
        <v>－</v>
      </c>
      <c r="X275" s="36" t="n">
        <f>18</f>
        <v>18.0</v>
      </c>
    </row>
    <row r="276">
      <c r="A276" s="27" t="s">
        <v>42</v>
      </c>
      <c r="B276" s="27" t="s">
        <v>872</v>
      </c>
      <c r="C276" s="27" t="s">
        <v>873</v>
      </c>
      <c r="D276" s="27" t="s">
        <v>874</v>
      </c>
      <c r="E276" s="28" t="s">
        <v>46</v>
      </c>
      <c r="F276" s="29" t="s">
        <v>46</v>
      </c>
      <c r="G276" s="30" t="s">
        <v>46</v>
      </c>
      <c r="H276" s="31"/>
      <c r="I276" s="31" t="s">
        <v>47</v>
      </c>
      <c r="J276" s="32" t="n">
        <v>1.0</v>
      </c>
      <c r="K276" s="33" t="n">
        <f>1729</f>
        <v>1729.0</v>
      </c>
      <c r="L276" s="34" t="s">
        <v>48</v>
      </c>
      <c r="M276" s="33" t="n">
        <f>1729</f>
        <v>1729.0</v>
      </c>
      <c r="N276" s="34" t="s">
        <v>48</v>
      </c>
      <c r="O276" s="33" t="n">
        <f>1591</f>
        <v>1591.0</v>
      </c>
      <c r="P276" s="34" t="s">
        <v>50</v>
      </c>
      <c r="Q276" s="33" t="n">
        <f>1676</f>
        <v>1676.0</v>
      </c>
      <c r="R276" s="34" t="s">
        <v>51</v>
      </c>
      <c r="S276" s="35" t="n">
        <f>1655.5</f>
        <v>1655.5</v>
      </c>
      <c r="T276" s="32" t="n">
        <f>50349</f>
        <v>50349.0</v>
      </c>
      <c r="U276" s="32" t="n">
        <f>5</f>
        <v>5.0</v>
      </c>
      <c r="V276" s="32" t="n">
        <f>82923462</f>
        <v>8.2923462E7</v>
      </c>
      <c r="W276" s="32" t="n">
        <f>8150</f>
        <v>8150.0</v>
      </c>
      <c r="X276" s="36" t="n">
        <f>18</f>
        <v>18.0</v>
      </c>
    </row>
    <row r="277">
      <c r="A277" s="27" t="s">
        <v>42</v>
      </c>
      <c r="B277" s="27" t="s">
        <v>875</v>
      </c>
      <c r="C277" s="27" t="s">
        <v>876</v>
      </c>
      <c r="D277" s="27" t="s">
        <v>877</v>
      </c>
      <c r="E277" s="28" t="s">
        <v>46</v>
      </c>
      <c r="F277" s="29" t="s">
        <v>46</v>
      </c>
      <c r="G277" s="30" t="s">
        <v>46</v>
      </c>
      <c r="H277" s="31"/>
      <c r="I277" s="31" t="s">
        <v>47</v>
      </c>
      <c r="J277" s="32" t="n">
        <v>1.0</v>
      </c>
      <c r="K277" s="33" t="n">
        <f>131200</f>
        <v>131200.0</v>
      </c>
      <c r="L277" s="34" t="s">
        <v>48</v>
      </c>
      <c r="M277" s="33" t="n">
        <f>134600</f>
        <v>134600.0</v>
      </c>
      <c r="N277" s="34" t="s">
        <v>84</v>
      </c>
      <c r="O277" s="33" t="n">
        <f>121900</f>
        <v>121900.0</v>
      </c>
      <c r="P277" s="34" t="s">
        <v>114</v>
      </c>
      <c r="Q277" s="33" t="n">
        <f>134400</f>
        <v>134400.0</v>
      </c>
      <c r="R277" s="34" t="s">
        <v>51</v>
      </c>
      <c r="S277" s="35" t="n">
        <f>130405.56</f>
        <v>130405.56</v>
      </c>
      <c r="T277" s="32" t="n">
        <f>15715</f>
        <v>15715.0</v>
      </c>
      <c r="U277" s="32" t="n">
        <f>2008</f>
        <v>2008.0</v>
      </c>
      <c r="V277" s="32" t="n">
        <f>2038699667</f>
        <v>2.038699667E9</v>
      </c>
      <c r="W277" s="32" t="n">
        <f>257703767</f>
        <v>2.57703767E8</v>
      </c>
      <c r="X277" s="36" t="n">
        <f>18</f>
        <v>18.0</v>
      </c>
    </row>
    <row r="278">
      <c r="A278" s="27" t="s">
        <v>42</v>
      </c>
      <c r="B278" s="27" t="s">
        <v>878</v>
      </c>
      <c r="C278" s="27" t="s">
        <v>879</v>
      </c>
      <c r="D278" s="27" t="s">
        <v>880</v>
      </c>
      <c r="E278" s="28" t="s">
        <v>46</v>
      </c>
      <c r="F278" s="29" t="s">
        <v>46</v>
      </c>
      <c r="G278" s="30" t="s">
        <v>46</v>
      </c>
      <c r="H278" s="31"/>
      <c r="I278" s="31" t="s">
        <v>625</v>
      </c>
      <c r="J278" s="32" t="n">
        <v>1.0</v>
      </c>
      <c r="K278" s="33" t="n">
        <f>122200</f>
        <v>122200.0</v>
      </c>
      <c r="L278" s="34" t="s">
        <v>48</v>
      </c>
      <c r="M278" s="33" t="n">
        <f>125000</f>
        <v>125000.0</v>
      </c>
      <c r="N278" s="34" t="s">
        <v>287</v>
      </c>
      <c r="O278" s="33" t="n">
        <f>115800</f>
        <v>115800.0</v>
      </c>
      <c r="P278" s="34" t="s">
        <v>114</v>
      </c>
      <c r="Q278" s="33" t="n">
        <f>123600</f>
        <v>123600.0</v>
      </c>
      <c r="R278" s="34" t="s">
        <v>51</v>
      </c>
      <c r="S278" s="35" t="n">
        <f>120438.89</f>
        <v>120438.89</v>
      </c>
      <c r="T278" s="32" t="n">
        <f>24731</f>
        <v>24731.0</v>
      </c>
      <c r="U278" s="32" t="n">
        <f>6747</f>
        <v>6747.0</v>
      </c>
      <c r="V278" s="32" t="n">
        <f>2966854155</f>
        <v>2.966854155E9</v>
      </c>
      <c r="W278" s="32" t="n">
        <f>804939655</f>
        <v>8.04939655E8</v>
      </c>
      <c r="X278" s="36" t="n">
        <f>18</f>
        <v>18.0</v>
      </c>
    </row>
    <row r="279">
      <c r="A279" s="27" t="s">
        <v>42</v>
      </c>
      <c r="B279" s="27" t="s">
        <v>881</v>
      </c>
      <c r="C279" s="27" t="s">
        <v>882</v>
      </c>
      <c r="D279" s="27" t="s">
        <v>883</v>
      </c>
      <c r="E279" s="28" t="s">
        <v>46</v>
      </c>
      <c r="F279" s="29" t="s">
        <v>46</v>
      </c>
      <c r="G279" s="30" t="s">
        <v>46</v>
      </c>
      <c r="H279" s="31"/>
      <c r="I279" s="31" t="s">
        <v>625</v>
      </c>
      <c r="J279" s="32" t="n">
        <v>1.0</v>
      </c>
      <c r="K279" s="33" t="n">
        <f>143500</f>
        <v>143500.0</v>
      </c>
      <c r="L279" s="34" t="s">
        <v>48</v>
      </c>
      <c r="M279" s="33" t="n">
        <f>148500</f>
        <v>148500.0</v>
      </c>
      <c r="N279" s="34" t="s">
        <v>101</v>
      </c>
      <c r="O279" s="33" t="n">
        <f>142300</f>
        <v>142300.0</v>
      </c>
      <c r="P279" s="34" t="s">
        <v>48</v>
      </c>
      <c r="Q279" s="33" t="n">
        <f>145000</f>
        <v>145000.0</v>
      </c>
      <c r="R279" s="34" t="s">
        <v>51</v>
      </c>
      <c r="S279" s="35" t="n">
        <f>145466.67</f>
        <v>145466.67</v>
      </c>
      <c r="T279" s="32" t="n">
        <f>40708</f>
        <v>40708.0</v>
      </c>
      <c r="U279" s="32" t="n">
        <f>6013</f>
        <v>6013.0</v>
      </c>
      <c r="V279" s="32" t="n">
        <f>5922444177</f>
        <v>5.922444177E9</v>
      </c>
      <c r="W279" s="32" t="n">
        <f>875908677</f>
        <v>8.75908677E8</v>
      </c>
      <c r="X279" s="36" t="n">
        <f>18</f>
        <v>18.0</v>
      </c>
    </row>
    <row r="280">
      <c r="A280" s="27" t="s">
        <v>42</v>
      </c>
      <c r="B280" s="27" t="s">
        <v>884</v>
      </c>
      <c r="C280" s="27" t="s">
        <v>885</v>
      </c>
      <c r="D280" s="27" t="s">
        <v>886</v>
      </c>
      <c r="E280" s="28" t="s">
        <v>46</v>
      </c>
      <c r="F280" s="29" t="s">
        <v>46</v>
      </c>
      <c r="G280" s="30" t="s">
        <v>46</v>
      </c>
      <c r="H280" s="31"/>
      <c r="I280" s="31" t="s">
        <v>47</v>
      </c>
      <c r="J280" s="32" t="n">
        <v>1.0</v>
      </c>
      <c r="K280" s="33" t="n">
        <f>659000</f>
        <v>659000.0</v>
      </c>
      <c r="L280" s="34" t="s">
        <v>48</v>
      </c>
      <c r="M280" s="33" t="n">
        <f>661000</f>
        <v>661000.0</v>
      </c>
      <c r="N280" s="34" t="s">
        <v>48</v>
      </c>
      <c r="O280" s="33" t="n">
        <f>623000</f>
        <v>623000.0</v>
      </c>
      <c r="P280" s="34" t="s">
        <v>114</v>
      </c>
      <c r="Q280" s="33" t="n">
        <f>634000</f>
        <v>634000.0</v>
      </c>
      <c r="R280" s="34" t="s">
        <v>51</v>
      </c>
      <c r="S280" s="35" t="n">
        <f>634277.78</f>
        <v>634277.78</v>
      </c>
      <c r="T280" s="32" t="n">
        <f>31433</f>
        <v>31433.0</v>
      </c>
      <c r="U280" s="32" t="n">
        <f>6436</f>
        <v>6436.0</v>
      </c>
      <c r="V280" s="32" t="n">
        <f>19938544149</f>
        <v>1.9938544149E10</v>
      </c>
      <c r="W280" s="32" t="n">
        <f>4070910149</f>
        <v>4.070910149E9</v>
      </c>
      <c r="X280" s="36" t="n">
        <f>18</f>
        <v>18.0</v>
      </c>
    </row>
    <row r="281">
      <c r="A281" s="27" t="s">
        <v>42</v>
      </c>
      <c r="B281" s="27" t="s">
        <v>887</v>
      </c>
      <c r="C281" s="27" t="s">
        <v>888</v>
      </c>
      <c r="D281" s="27" t="s">
        <v>889</v>
      </c>
      <c r="E281" s="28" t="s">
        <v>46</v>
      </c>
      <c r="F281" s="29" t="s">
        <v>46</v>
      </c>
      <c r="G281" s="30" t="s">
        <v>46</v>
      </c>
      <c r="H281" s="31"/>
      <c r="I281" s="31" t="s">
        <v>47</v>
      </c>
      <c r="J281" s="32" t="n">
        <v>1.0</v>
      </c>
      <c r="K281" s="33" t="n">
        <f>160500</f>
        <v>160500.0</v>
      </c>
      <c r="L281" s="34" t="s">
        <v>48</v>
      </c>
      <c r="M281" s="33" t="n">
        <f>161300</f>
        <v>161300.0</v>
      </c>
      <c r="N281" s="34" t="s">
        <v>130</v>
      </c>
      <c r="O281" s="33" t="n">
        <f>153800</f>
        <v>153800.0</v>
      </c>
      <c r="P281" s="34" t="s">
        <v>114</v>
      </c>
      <c r="Q281" s="33" t="n">
        <f>157800</f>
        <v>157800.0</v>
      </c>
      <c r="R281" s="34" t="s">
        <v>51</v>
      </c>
      <c r="S281" s="35" t="n">
        <f>157288.89</f>
        <v>157288.89</v>
      </c>
      <c r="T281" s="32" t="n">
        <f>103906</f>
        <v>103906.0</v>
      </c>
      <c r="U281" s="32" t="n">
        <f>24575</f>
        <v>24575.0</v>
      </c>
      <c r="V281" s="32" t="n">
        <f>16329822468</f>
        <v>1.6329822468E10</v>
      </c>
      <c r="W281" s="32" t="n">
        <f>3855882468</f>
        <v>3.855882468E9</v>
      </c>
      <c r="X281" s="36" t="n">
        <f>18</f>
        <v>18.0</v>
      </c>
    </row>
    <row r="282">
      <c r="A282" s="27" t="s">
        <v>42</v>
      </c>
      <c r="B282" s="27" t="s">
        <v>890</v>
      </c>
      <c r="C282" s="27" t="s">
        <v>891</v>
      </c>
      <c r="D282" s="27" t="s">
        <v>892</v>
      </c>
      <c r="E282" s="28" t="s">
        <v>46</v>
      </c>
      <c r="F282" s="29" t="s">
        <v>46</v>
      </c>
      <c r="G282" s="30" t="s">
        <v>46</v>
      </c>
      <c r="H282" s="31"/>
      <c r="I282" s="31" t="s">
        <v>47</v>
      </c>
      <c r="J282" s="32" t="n">
        <v>1.0</v>
      </c>
      <c r="K282" s="33" t="n">
        <f>202100</f>
        <v>202100.0</v>
      </c>
      <c r="L282" s="34" t="s">
        <v>48</v>
      </c>
      <c r="M282" s="33" t="n">
        <f>203400</f>
        <v>203400.0</v>
      </c>
      <c r="N282" s="34" t="s">
        <v>48</v>
      </c>
      <c r="O282" s="33" t="n">
        <f>191800</f>
        <v>191800.0</v>
      </c>
      <c r="P282" s="34" t="s">
        <v>114</v>
      </c>
      <c r="Q282" s="33" t="n">
        <f>196000</f>
        <v>196000.0</v>
      </c>
      <c r="R282" s="34" t="s">
        <v>51</v>
      </c>
      <c r="S282" s="35" t="n">
        <f>196577.78</f>
        <v>196577.78</v>
      </c>
      <c r="T282" s="32" t="n">
        <f>106732</f>
        <v>106732.0</v>
      </c>
      <c r="U282" s="32" t="n">
        <f>27495</f>
        <v>27495.0</v>
      </c>
      <c r="V282" s="32" t="n">
        <f>20970011571</f>
        <v>2.0970011571E10</v>
      </c>
      <c r="W282" s="32" t="n">
        <f>5389263271</f>
        <v>5.389263271E9</v>
      </c>
      <c r="X282" s="36" t="n">
        <f>18</f>
        <v>18.0</v>
      </c>
    </row>
    <row r="283">
      <c r="A283" s="27" t="s">
        <v>42</v>
      </c>
      <c r="B283" s="27" t="s">
        <v>893</v>
      </c>
      <c r="C283" s="27" t="s">
        <v>894</v>
      </c>
      <c r="D283" s="27" t="s">
        <v>895</v>
      </c>
      <c r="E283" s="28" t="s">
        <v>46</v>
      </c>
      <c r="F283" s="29" t="s">
        <v>46</v>
      </c>
      <c r="G283" s="30" t="s">
        <v>46</v>
      </c>
      <c r="H283" s="31"/>
      <c r="I283" s="31" t="s">
        <v>47</v>
      </c>
      <c r="J283" s="32" t="n">
        <v>1.0</v>
      </c>
      <c r="K283" s="33" t="n">
        <f>365000</f>
        <v>365000.0</v>
      </c>
      <c r="L283" s="34" t="s">
        <v>48</v>
      </c>
      <c r="M283" s="33" t="n">
        <f>366500</f>
        <v>366500.0</v>
      </c>
      <c r="N283" s="34" t="s">
        <v>48</v>
      </c>
      <c r="O283" s="33" t="n">
        <f>342000</f>
        <v>342000.0</v>
      </c>
      <c r="P283" s="34" t="s">
        <v>114</v>
      </c>
      <c r="Q283" s="33" t="n">
        <f>352000</f>
        <v>352000.0</v>
      </c>
      <c r="R283" s="34" t="s">
        <v>51</v>
      </c>
      <c r="S283" s="35" t="n">
        <f>349555.56</f>
        <v>349555.56</v>
      </c>
      <c r="T283" s="32" t="n">
        <f>67061</f>
        <v>67061.0</v>
      </c>
      <c r="U283" s="32" t="n">
        <f>16025</f>
        <v>16025.0</v>
      </c>
      <c r="V283" s="32" t="n">
        <f>23443235639</f>
        <v>2.3443235639E10</v>
      </c>
      <c r="W283" s="32" t="n">
        <f>5599048639</f>
        <v>5.599048639E9</v>
      </c>
      <c r="X283" s="36" t="n">
        <f>18</f>
        <v>18.0</v>
      </c>
    </row>
    <row r="284">
      <c r="A284" s="27" t="s">
        <v>42</v>
      </c>
      <c r="B284" s="27" t="s">
        <v>896</v>
      </c>
      <c r="C284" s="27" t="s">
        <v>897</v>
      </c>
      <c r="D284" s="27" t="s">
        <v>898</v>
      </c>
      <c r="E284" s="28" t="s">
        <v>46</v>
      </c>
      <c r="F284" s="29" t="s">
        <v>46</v>
      </c>
      <c r="G284" s="30" t="s">
        <v>46</v>
      </c>
      <c r="H284" s="31"/>
      <c r="I284" s="31" t="s">
        <v>47</v>
      </c>
      <c r="J284" s="32" t="n">
        <v>1.0</v>
      </c>
      <c r="K284" s="33" t="n">
        <f>230800</f>
        <v>230800.0</v>
      </c>
      <c r="L284" s="34" t="s">
        <v>48</v>
      </c>
      <c r="M284" s="33" t="n">
        <f>231000</f>
        <v>231000.0</v>
      </c>
      <c r="N284" s="34" t="s">
        <v>48</v>
      </c>
      <c r="O284" s="33" t="n">
        <f>218100</f>
        <v>218100.0</v>
      </c>
      <c r="P284" s="34" t="s">
        <v>114</v>
      </c>
      <c r="Q284" s="33" t="n">
        <f>225200</f>
        <v>225200.0</v>
      </c>
      <c r="R284" s="34" t="s">
        <v>51</v>
      </c>
      <c r="S284" s="35" t="n">
        <f>222655.56</f>
        <v>222655.56</v>
      </c>
      <c r="T284" s="32" t="n">
        <f>51929</f>
        <v>51929.0</v>
      </c>
      <c r="U284" s="32" t="n">
        <f>14113</f>
        <v>14113.0</v>
      </c>
      <c r="V284" s="32" t="n">
        <f>11554820580</f>
        <v>1.155482058E10</v>
      </c>
      <c r="W284" s="32" t="n">
        <f>3135739480</f>
        <v>3.13573948E9</v>
      </c>
      <c r="X284" s="36" t="n">
        <f>18</f>
        <v>18.0</v>
      </c>
    </row>
    <row r="285">
      <c r="A285" s="27" t="s">
        <v>42</v>
      </c>
      <c r="B285" s="27" t="s">
        <v>899</v>
      </c>
      <c r="C285" s="27" t="s">
        <v>900</v>
      </c>
      <c r="D285" s="27" t="s">
        <v>901</v>
      </c>
      <c r="E285" s="28" t="s">
        <v>46</v>
      </c>
      <c r="F285" s="29" t="s">
        <v>46</v>
      </c>
      <c r="G285" s="30" t="s">
        <v>46</v>
      </c>
      <c r="H285" s="31"/>
      <c r="I285" s="31" t="s">
        <v>47</v>
      </c>
      <c r="J285" s="32" t="n">
        <v>1.0</v>
      </c>
      <c r="K285" s="33" t="n">
        <f>505000</f>
        <v>505000.0</v>
      </c>
      <c r="L285" s="34" t="s">
        <v>48</v>
      </c>
      <c r="M285" s="33" t="n">
        <f>515000</f>
        <v>515000.0</v>
      </c>
      <c r="N285" s="34" t="s">
        <v>173</v>
      </c>
      <c r="O285" s="33" t="n">
        <f>490500</f>
        <v>490500.0</v>
      </c>
      <c r="P285" s="34" t="s">
        <v>51</v>
      </c>
      <c r="Q285" s="33" t="n">
        <f>498500</f>
        <v>498500.0</v>
      </c>
      <c r="R285" s="34" t="s">
        <v>51</v>
      </c>
      <c r="S285" s="35" t="n">
        <f>503111.11</f>
        <v>503111.11</v>
      </c>
      <c r="T285" s="32" t="n">
        <f>48752</f>
        <v>48752.0</v>
      </c>
      <c r="U285" s="32" t="n">
        <f>9836</f>
        <v>9836.0</v>
      </c>
      <c r="V285" s="32" t="n">
        <f>24486702356</f>
        <v>2.4486702356E10</v>
      </c>
      <c r="W285" s="32" t="n">
        <f>4934130356</f>
        <v>4.934130356E9</v>
      </c>
      <c r="X285" s="36" t="n">
        <f>18</f>
        <v>18.0</v>
      </c>
    </row>
    <row r="286">
      <c r="A286" s="27" t="s">
        <v>42</v>
      </c>
      <c r="B286" s="27" t="s">
        <v>902</v>
      </c>
      <c r="C286" s="27" t="s">
        <v>903</v>
      </c>
      <c r="D286" s="27" t="s">
        <v>904</v>
      </c>
      <c r="E286" s="28" t="s">
        <v>46</v>
      </c>
      <c r="F286" s="29" t="s">
        <v>46</v>
      </c>
      <c r="G286" s="30" t="s">
        <v>46</v>
      </c>
      <c r="H286" s="31"/>
      <c r="I286" s="31" t="s">
        <v>47</v>
      </c>
      <c r="J286" s="32" t="n">
        <v>1.0</v>
      </c>
      <c r="K286" s="33" t="n">
        <f>183300</f>
        <v>183300.0</v>
      </c>
      <c r="L286" s="34" t="s">
        <v>48</v>
      </c>
      <c r="M286" s="33" t="n">
        <f>188800</f>
        <v>188800.0</v>
      </c>
      <c r="N286" s="34" t="s">
        <v>287</v>
      </c>
      <c r="O286" s="33" t="n">
        <f>177400</f>
        <v>177400.0</v>
      </c>
      <c r="P286" s="34" t="s">
        <v>61</v>
      </c>
      <c r="Q286" s="33" t="n">
        <f>186900</f>
        <v>186900.0</v>
      </c>
      <c r="R286" s="34" t="s">
        <v>51</v>
      </c>
      <c r="S286" s="35" t="n">
        <f>183133.33</f>
        <v>183133.33</v>
      </c>
      <c r="T286" s="32" t="n">
        <f>251965</f>
        <v>251965.0</v>
      </c>
      <c r="U286" s="32" t="n">
        <f>54727</f>
        <v>54727.0</v>
      </c>
      <c r="V286" s="32" t="n">
        <f>46128248459</f>
        <v>4.6128248459E10</v>
      </c>
      <c r="W286" s="32" t="n">
        <f>10013178459</f>
        <v>1.0013178459E10</v>
      </c>
      <c r="X286" s="36" t="n">
        <f>18</f>
        <v>18.0</v>
      </c>
    </row>
    <row r="287">
      <c r="A287" s="27" t="s">
        <v>42</v>
      </c>
      <c r="B287" s="27" t="s">
        <v>905</v>
      </c>
      <c r="C287" s="27" t="s">
        <v>906</v>
      </c>
      <c r="D287" s="27" t="s">
        <v>907</v>
      </c>
      <c r="E287" s="28" t="s">
        <v>46</v>
      </c>
      <c r="F287" s="29" t="s">
        <v>46</v>
      </c>
      <c r="G287" s="30" t="s">
        <v>46</v>
      </c>
      <c r="H287" s="31"/>
      <c r="I287" s="31" t="s">
        <v>47</v>
      </c>
      <c r="J287" s="32" t="n">
        <v>1.0</v>
      </c>
      <c r="K287" s="33" t="n">
        <f>357000</f>
        <v>357000.0</v>
      </c>
      <c r="L287" s="34" t="s">
        <v>48</v>
      </c>
      <c r="M287" s="33" t="n">
        <f>359000</f>
        <v>359000.0</v>
      </c>
      <c r="N287" s="34" t="s">
        <v>48</v>
      </c>
      <c r="O287" s="33" t="n">
        <f>335000</f>
        <v>335000.0</v>
      </c>
      <c r="P287" s="34" t="s">
        <v>84</v>
      </c>
      <c r="Q287" s="33" t="n">
        <f>339000</f>
        <v>339000.0</v>
      </c>
      <c r="R287" s="34" t="s">
        <v>51</v>
      </c>
      <c r="S287" s="35" t="n">
        <f>343138.89</f>
        <v>343138.89</v>
      </c>
      <c r="T287" s="32" t="n">
        <f>46859</f>
        <v>46859.0</v>
      </c>
      <c r="U287" s="32" t="n">
        <f>10073</f>
        <v>10073.0</v>
      </c>
      <c r="V287" s="32" t="n">
        <f>16113931371</f>
        <v>1.6113931371E10</v>
      </c>
      <c r="W287" s="32" t="n">
        <f>3473118871</f>
        <v>3.473118871E9</v>
      </c>
      <c r="X287" s="36" t="n">
        <f>18</f>
        <v>18.0</v>
      </c>
    </row>
    <row r="288">
      <c r="A288" s="27" t="s">
        <v>42</v>
      </c>
      <c r="B288" s="27" t="s">
        <v>908</v>
      </c>
      <c r="C288" s="27" t="s">
        <v>909</v>
      </c>
      <c r="D288" s="27" t="s">
        <v>910</v>
      </c>
      <c r="E288" s="28" t="s">
        <v>46</v>
      </c>
      <c r="F288" s="29" t="s">
        <v>46</v>
      </c>
      <c r="G288" s="30" t="s">
        <v>46</v>
      </c>
      <c r="H288" s="31"/>
      <c r="I288" s="31" t="s">
        <v>47</v>
      </c>
      <c r="J288" s="32" t="n">
        <v>1.0</v>
      </c>
      <c r="K288" s="33" t="n">
        <f>361500</f>
        <v>361500.0</v>
      </c>
      <c r="L288" s="34" t="s">
        <v>48</v>
      </c>
      <c r="M288" s="33" t="n">
        <f>362500</f>
        <v>362500.0</v>
      </c>
      <c r="N288" s="34" t="s">
        <v>48</v>
      </c>
      <c r="O288" s="33" t="n">
        <f>334500</f>
        <v>334500.0</v>
      </c>
      <c r="P288" s="34" t="s">
        <v>84</v>
      </c>
      <c r="Q288" s="33" t="n">
        <f>339500</f>
        <v>339500.0</v>
      </c>
      <c r="R288" s="34" t="s">
        <v>51</v>
      </c>
      <c r="S288" s="35" t="n">
        <f>345250</f>
        <v>345250.0</v>
      </c>
      <c r="T288" s="32" t="n">
        <f>173306</f>
        <v>173306.0</v>
      </c>
      <c r="U288" s="32" t="n">
        <f>40788</f>
        <v>40788.0</v>
      </c>
      <c r="V288" s="32" t="n">
        <f>59835041769</f>
        <v>5.9835041769E10</v>
      </c>
      <c r="W288" s="32" t="n">
        <f>14090522769</f>
        <v>1.4090522769E10</v>
      </c>
      <c r="X288" s="36" t="n">
        <f>18</f>
        <v>18.0</v>
      </c>
    </row>
    <row r="289">
      <c r="A289" s="27" t="s">
        <v>42</v>
      </c>
      <c r="B289" s="27" t="s">
        <v>911</v>
      </c>
      <c r="C289" s="27" t="s">
        <v>912</v>
      </c>
      <c r="D289" s="27" t="s">
        <v>913</v>
      </c>
      <c r="E289" s="28" t="s">
        <v>46</v>
      </c>
      <c r="F289" s="29" t="s">
        <v>46</v>
      </c>
      <c r="G289" s="30" t="s">
        <v>46</v>
      </c>
      <c r="H289" s="31"/>
      <c r="I289" s="31" t="s">
        <v>47</v>
      </c>
      <c r="J289" s="32" t="n">
        <v>1.0</v>
      </c>
      <c r="K289" s="33" t="n">
        <f>645000</f>
        <v>645000.0</v>
      </c>
      <c r="L289" s="34" t="s">
        <v>48</v>
      </c>
      <c r="M289" s="33" t="n">
        <f>657000</f>
        <v>657000.0</v>
      </c>
      <c r="N289" s="34" t="s">
        <v>48</v>
      </c>
      <c r="O289" s="33" t="n">
        <f>621000</f>
        <v>621000.0</v>
      </c>
      <c r="P289" s="34" t="s">
        <v>50</v>
      </c>
      <c r="Q289" s="33" t="n">
        <f>646000</f>
        <v>646000.0</v>
      </c>
      <c r="R289" s="34" t="s">
        <v>51</v>
      </c>
      <c r="S289" s="35" t="n">
        <f>638277.78</f>
        <v>638277.78</v>
      </c>
      <c r="T289" s="32" t="n">
        <f>20078</f>
        <v>20078.0</v>
      </c>
      <c r="U289" s="32" t="n">
        <f>4351</f>
        <v>4351.0</v>
      </c>
      <c r="V289" s="32" t="n">
        <f>12797571584</f>
        <v>1.2797571584E10</v>
      </c>
      <c r="W289" s="32" t="n">
        <f>2768303584</f>
        <v>2.768303584E9</v>
      </c>
      <c r="X289" s="36" t="n">
        <f>18</f>
        <v>18.0</v>
      </c>
    </row>
    <row r="290">
      <c r="A290" s="27" t="s">
        <v>42</v>
      </c>
      <c r="B290" s="27" t="s">
        <v>914</v>
      </c>
      <c r="C290" s="27" t="s">
        <v>915</v>
      </c>
      <c r="D290" s="27" t="s">
        <v>916</v>
      </c>
      <c r="E290" s="28" t="s">
        <v>46</v>
      </c>
      <c r="F290" s="29" t="s">
        <v>46</v>
      </c>
      <c r="G290" s="30" t="s">
        <v>46</v>
      </c>
      <c r="H290" s="31"/>
      <c r="I290" s="31" t="s">
        <v>47</v>
      </c>
      <c r="J290" s="32" t="n">
        <v>1.0</v>
      </c>
      <c r="K290" s="33" t="n">
        <f>307000</f>
        <v>307000.0</v>
      </c>
      <c r="L290" s="34" t="s">
        <v>48</v>
      </c>
      <c r="M290" s="33" t="n">
        <f>311000</f>
        <v>311000.0</v>
      </c>
      <c r="N290" s="34" t="s">
        <v>48</v>
      </c>
      <c r="O290" s="33" t="n">
        <f>296200</f>
        <v>296200.0</v>
      </c>
      <c r="P290" s="34" t="s">
        <v>114</v>
      </c>
      <c r="Q290" s="33" t="n">
        <f>308000</f>
        <v>308000.0</v>
      </c>
      <c r="R290" s="34" t="s">
        <v>51</v>
      </c>
      <c r="S290" s="35" t="n">
        <f>304161.11</f>
        <v>304161.11</v>
      </c>
      <c r="T290" s="32" t="n">
        <f>13204</f>
        <v>13204.0</v>
      </c>
      <c r="U290" s="32" t="n">
        <f>2451</f>
        <v>2451.0</v>
      </c>
      <c r="V290" s="32" t="n">
        <f>4005221545</f>
        <v>4.005221545E9</v>
      </c>
      <c r="W290" s="32" t="n">
        <f>742715445</f>
        <v>7.42715445E8</v>
      </c>
      <c r="X290" s="36" t="n">
        <f>18</f>
        <v>18.0</v>
      </c>
    </row>
    <row r="291">
      <c r="A291" s="27" t="s">
        <v>42</v>
      </c>
      <c r="B291" s="27" t="s">
        <v>917</v>
      </c>
      <c r="C291" s="27" t="s">
        <v>918</v>
      </c>
      <c r="D291" s="27" t="s">
        <v>919</v>
      </c>
      <c r="E291" s="28" t="s">
        <v>46</v>
      </c>
      <c r="F291" s="29" t="s">
        <v>46</v>
      </c>
      <c r="G291" s="30" t="s">
        <v>46</v>
      </c>
      <c r="H291" s="31"/>
      <c r="I291" s="31" t="s">
        <v>47</v>
      </c>
      <c r="J291" s="32" t="n">
        <v>1.0</v>
      </c>
      <c r="K291" s="33" t="n">
        <f>150800</f>
        <v>150800.0</v>
      </c>
      <c r="L291" s="34" t="s">
        <v>48</v>
      </c>
      <c r="M291" s="33" t="n">
        <f>154200</f>
        <v>154200.0</v>
      </c>
      <c r="N291" s="34" t="s">
        <v>51</v>
      </c>
      <c r="O291" s="33" t="n">
        <f>147200</f>
        <v>147200.0</v>
      </c>
      <c r="P291" s="34" t="s">
        <v>114</v>
      </c>
      <c r="Q291" s="33" t="n">
        <f>154100</f>
        <v>154100.0</v>
      </c>
      <c r="R291" s="34" t="s">
        <v>51</v>
      </c>
      <c r="S291" s="35" t="n">
        <f>150255.56</f>
        <v>150255.56</v>
      </c>
      <c r="T291" s="32" t="n">
        <f>92293</f>
        <v>92293.0</v>
      </c>
      <c r="U291" s="32" t="n">
        <f>22556</f>
        <v>22556.0</v>
      </c>
      <c r="V291" s="32" t="n">
        <f>13852046025</f>
        <v>1.3852046025E10</v>
      </c>
      <c r="W291" s="32" t="n">
        <f>3384550525</f>
        <v>3.384550525E9</v>
      </c>
      <c r="X291" s="36" t="n">
        <f>18</f>
        <v>18.0</v>
      </c>
    </row>
    <row r="292">
      <c r="A292" s="27" t="s">
        <v>42</v>
      </c>
      <c r="B292" s="27" t="s">
        <v>920</v>
      </c>
      <c r="C292" s="27" t="s">
        <v>921</v>
      </c>
      <c r="D292" s="27" t="s">
        <v>922</v>
      </c>
      <c r="E292" s="28" t="s">
        <v>46</v>
      </c>
      <c r="F292" s="29" t="s">
        <v>46</v>
      </c>
      <c r="G292" s="30" t="s">
        <v>46</v>
      </c>
      <c r="H292" s="31"/>
      <c r="I292" s="31" t="s">
        <v>47</v>
      </c>
      <c r="J292" s="32" t="n">
        <v>1.0</v>
      </c>
      <c r="K292" s="33" t="n">
        <f>175700</f>
        <v>175700.0</v>
      </c>
      <c r="L292" s="34" t="s">
        <v>48</v>
      </c>
      <c r="M292" s="33" t="n">
        <f>177200</f>
        <v>177200.0</v>
      </c>
      <c r="N292" s="34" t="s">
        <v>48</v>
      </c>
      <c r="O292" s="33" t="n">
        <f>170800</f>
        <v>170800.0</v>
      </c>
      <c r="P292" s="34" t="s">
        <v>50</v>
      </c>
      <c r="Q292" s="33" t="n">
        <f>174900</f>
        <v>174900.0</v>
      </c>
      <c r="R292" s="34" t="s">
        <v>51</v>
      </c>
      <c r="S292" s="35" t="n">
        <f>174388.89</f>
        <v>174388.89</v>
      </c>
      <c r="T292" s="32" t="n">
        <f>83097</f>
        <v>83097.0</v>
      </c>
      <c r="U292" s="32" t="n">
        <f>17693</f>
        <v>17693.0</v>
      </c>
      <c r="V292" s="32" t="n">
        <f>14481873793</f>
        <v>1.4481873793E10</v>
      </c>
      <c r="W292" s="32" t="n">
        <f>3083341393</f>
        <v>3.083341393E9</v>
      </c>
      <c r="X292" s="36" t="n">
        <f>18</f>
        <v>18.0</v>
      </c>
    </row>
    <row r="293">
      <c r="A293" s="27" t="s">
        <v>42</v>
      </c>
      <c r="B293" s="27" t="s">
        <v>923</v>
      </c>
      <c r="C293" s="27" t="s">
        <v>924</v>
      </c>
      <c r="D293" s="27" t="s">
        <v>925</v>
      </c>
      <c r="E293" s="28" t="s">
        <v>46</v>
      </c>
      <c r="F293" s="29" t="s">
        <v>46</v>
      </c>
      <c r="G293" s="30" t="s">
        <v>46</v>
      </c>
      <c r="H293" s="31"/>
      <c r="I293" s="31" t="s">
        <v>47</v>
      </c>
      <c r="J293" s="32" t="n">
        <v>1.0</v>
      </c>
      <c r="K293" s="33" t="n">
        <f>431000</f>
        <v>431000.0</v>
      </c>
      <c r="L293" s="34" t="s">
        <v>48</v>
      </c>
      <c r="M293" s="33" t="n">
        <f>451000</f>
        <v>451000.0</v>
      </c>
      <c r="N293" s="34" t="s">
        <v>84</v>
      </c>
      <c r="O293" s="33" t="n">
        <f>421500</f>
        <v>421500.0</v>
      </c>
      <c r="P293" s="34" t="s">
        <v>114</v>
      </c>
      <c r="Q293" s="33" t="n">
        <f>445500</f>
        <v>445500.0</v>
      </c>
      <c r="R293" s="34" t="s">
        <v>51</v>
      </c>
      <c r="S293" s="35" t="n">
        <f>434611.11</f>
        <v>434611.11</v>
      </c>
      <c r="T293" s="32" t="n">
        <f>33551</f>
        <v>33551.0</v>
      </c>
      <c r="U293" s="32" t="n">
        <f>8966</f>
        <v>8966.0</v>
      </c>
      <c r="V293" s="32" t="n">
        <f>14562273165</f>
        <v>1.4562273165E10</v>
      </c>
      <c r="W293" s="32" t="n">
        <f>3895501165</f>
        <v>3.895501165E9</v>
      </c>
      <c r="X293" s="36" t="n">
        <f>18</f>
        <v>18.0</v>
      </c>
    </row>
    <row r="294">
      <c r="A294" s="27" t="s">
        <v>42</v>
      </c>
      <c r="B294" s="27" t="s">
        <v>926</v>
      </c>
      <c r="C294" s="27" t="s">
        <v>927</v>
      </c>
      <c r="D294" s="27" t="s">
        <v>928</v>
      </c>
      <c r="E294" s="28" t="s">
        <v>46</v>
      </c>
      <c r="F294" s="29" t="s">
        <v>46</v>
      </c>
      <c r="G294" s="30" t="s">
        <v>46</v>
      </c>
      <c r="H294" s="31"/>
      <c r="I294" s="31" t="s">
        <v>47</v>
      </c>
      <c r="J294" s="32" t="n">
        <v>1.0</v>
      </c>
      <c r="K294" s="33" t="n">
        <f>20200</f>
        <v>20200.0</v>
      </c>
      <c r="L294" s="34" t="s">
        <v>48</v>
      </c>
      <c r="M294" s="33" t="n">
        <f>22700</f>
        <v>22700.0</v>
      </c>
      <c r="N294" s="34" t="s">
        <v>309</v>
      </c>
      <c r="O294" s="33" t="n">
        <f>18400</f>
        <v>18400.0</v>
      </c>
      <c r="P294" s="34" t="s">
        <v>50</v>
      </c>
      <c r="Q294" s="33" t="n">
        <f>22510</f>
        <v>22510.0</v>
      </c>
      <c r="R294" s="34" t="s">
        <v>51</v>
      </c>
      <c r="S294" s="35" t="n">
        <f>21157.22</f>
        <v>21157.22</v>
      </c>
      <c r="T294" s="32" t="n">
        <f>5005685</f>
        <v>5005685.0</v>
      </c>
      <c r="U294" s="32" t="n">
        <f>735406</f>
        <v>735406.0</v>
      </c>
      <c r="V294" s="32" t="n">
        <f>107236300811</f>
        <v>1.07236300811E11</v>
      </c>
      <c r="W294" s="32" t="n">
        <f>15588832671</f>
        <v>1.5588832671E10</v>
      </c>
      <c r="X294" s="36" t="n">
        <f>18</f>
        <v>18.0</v>
      </c>
    </row>
    <row r="295">
      <c r="A295" s="27" t="s">
        <v>42</v>
      </c>
      <c r="B295" s="27" t="s">
        <v>929</v>
      </c>
      <c r="C295" s="27" t="s">
        <v>930</v>
      </c>
      <c r="D295" s="27" t="s">
        <v>931</v>
      </c>
      <c r="E295" s="28" t="s">
        <v>46</v>
      </c>
      <c r="F295" s="29" t="s">
        <v>46</v>
      </c>
      <c r="G295" s="30" t="s">
        <v>46</v>
      </c>
      <c r="H295" s="31"/>
      <c r="I295" s="31" t="s">
        <v>47</v>
      </c>
      <c r="J295" s="32" t="n">
        <v>1.0</v>
      </c>
      <c r="K295" s="33" t="n">
        <f>91900</f>
        <v>91900.0</v>
      </c>
      <c r="L295" s="34" t="s">
        <v>48</v>
      </c>
      <c r="M295" s="33" t="n">
        <f>92600</f>
        <v>92600.0</v>
      </c>
      <c r="N295" s="34" t="s">
        <v>48</v>
      </c>
      <c r="O295" s="33" t="n">
        <f>88100</f>
        <v>88100.0</v>
      </c>
      <c r="P295" s="34" t="s">
        <v>480</v>
      </c>
      <c r="Q295" s="33" t="n">
        <f>90600</f>
        <v>90600.0</v>
      </c>
      <c r="R295" s="34" t="s">
        <v>51</v>
      </c>
      <c r="S295" s="35" t="n">
        <f>89900</f>
        <v>89900.0</v>
      </c>
      <c r="T295" s="32" t="n">
        <f>270339</f>
        <v>270339.0</v>
      </c>
      <c r="U295" s="32" t="n">
        <f>66587</f>
        <v>66587.0</v>
      </c>
      <c r="V295" s="32" t="n">
        <f>24285006201</f>
        <v>2.4285006201E10</v>
      </c>
      <c r="W295" s="32" t="n">
        <f>5977628201</f>
        <v>5.977628201E9</v>
      </c>
      <c r="X295" s="36" t="n">
        <f>18</f>
        <v>18.0</v>
      </c>
    </row>
    <row r="296">
      <c r="A296" s="27" t="s">
        <v>42</v>
      </c>
      <c r="B296" s="27" t="s">
        <v>932</v>
      </c>
      <c r="C296" s="27" t="s">
        <v>933</v>
      </c>
      <c r="D296" s="27" t="s">
        <v>934</v>
      </c>
      <c r="E296" s="28" t="s">
        <v>46</v>
      </c>
      <c r="F296" s="29" t="s">
        <v>46</v>
      </c>
      <c r="G296" s="30" t="s">
        <v>46</v>
      </c>
      <c r="H296" s="31"/>
      <c r="I296" s="31" t="s">
        <v>625</v>
      </c>
      <c r="J296" s="32" t="n">
        <v>1.0</v>
      </c>
      <c r="K296" s="33" t="n">
        <f>134100</f>
        <v>134100.0</v>
      </c>
      <c r="L296" s="34" t="s">
        <v>48</v>
      </c>
      <c r="M296" s="33" t="n">
        <f>137900</f>
        <v>137900.0</v>
      </c>
      <c r="N296" s="34" t="s">
        <v>287</v>
      </c>
      <c r="O296" s="33" t="n">
        <f>131800</f>
        <v>131800.0</v>
      </c>
      <c r="P296" s="34" t="s">
        <v>50</v>
      </c>
      <c r="Q296" s="33" t="n">
        <f>136800</f>
        <v>136800.0</v>
      </c>
      <c r="R296" s="34" t="s">
        <v>51</v>
      </c>
      <c r="S296" s="35" t="n">
        <f>134700</f>
        <v>134700.0</v>
      </c>
      <c r="T296" s="32" t="n">
        <f>32788</f>
        <v>32788.0</v>
      </c>
      <c r="U296" s="32" t="n">
        <f>5535</f>
        <v>5535.0</v>
      </c>
      <c r="V296" s="32" t="n">
        <f>4400786865</f>
        <v>4.400786865E9</v>
      </c>
      <c r="W296" s="32" t="n">
        <f>739505365</f>
        <v>7.39505365E8</v>
      </c>
      <c r="X296" s="36" t="n">
        <f>18</f>
        <v>18.0</v>
      </c>
    </row>
    <row r="297">
      <c r="A297" s="27" t="s">
        <v>42</v>
      </c>
      <c r="B297" s="27" t="s">
        <v>935</v>
      </c>
      <c r="C297" s="27" t="s">
        <v>936</v>
      </c>
      <c r="D297" s="27" t="s">
        <v>937</v>
      </c>
      <c r="E297" s="28" t="s">
        <v>46</v>
      </c>
      <c r="F297" s="29" t="s">
        <v>46</v>
      </c>
      <c r="G297" s="30" t="s">
        <v>46</v>
      </c>
      <c r="H297" s="31"/>
      <c r="I297" s="31" t="s">
        <v>47</v>
      </c>
      <c r="J297" s="32" t="n">
        <v>1.0</v>
      </c>
      <c r="K297" s="33" t="n">
        <f>280400</f>
        <v>280400.0</v>
      </c>
      <c r="L297" s="34" t="s">
        <v>48</v>
      </c>
      <c r="M297" s="33" t="n">
        <f>284200</f>
        <v>284200.0</v>
      </c>
      <c r="N297" s="34" t="s">
        <v>84</v>
      </c>
      <c r="O297" s="33" t="n">
        <f>269700</f>
        <v>269700.0</v>
      </c>
      <c r="P297" s="34" t="s">
        <v>71</v>
      </c>
      <c r="Q297" s="33" t="n">
        <f>283900</f>
        <v>283900.0</v>
      </c>
      <c r="R297" s="34" t="s">
        <v>51</v>
      </c>
      <c r="S297" s="35" t="n">
        <f>277266.67</f>
        <v>277266.67</v>
      </c>
      <c r="T297" s="32" t="n">
        <f>68664</f>
        <v>68664.0</v>
      </c>
      <c r="U297" s="32" t="n">
        <f>11607</f>
        <v>11607.0</v>
      </c>
      <c r="V297" s="32" t="n">
        <f>18996366002</f>
        <v>1.8996366002E10</v>
      </c>
      <c r="W297" s="32" t="n">
        <f>3208928902</f>
        <v>3.208928902E9</v>
      </c>
      <c r="X297" s="36" t="n">
        <f>18</f>
        <v>18.0</v>
      </c>
    </row>
    <row r="298">
      <c r="A298" s="27" t="s">
        <v>42</v>
      </c>
      <c r="B298" s="27" t="s">
        <v>938</v>
      </c>
      <c r="C298" s="27" t="s">
        <v>939</v>
      </c>
      <c r="D298" s="27" t="s">
        <v>940</v>
      </c>
      <c r="E298" s="28" t="s">
        <v>46</v>
      </c>
      <c r="F298" s="29" t="s">
        <v>46</v>
      </c>
      <c r="G298" s="30" t="s">
        <v>46</v>
      </c>
      <c r="H298" s="31"/>
      <c r="I298" s="31" t="s">
        <v>47</v>
      </c>
      <c r="J298" s="32" t="n">
        <v>1.0</v>
      </c>
      <c r="K298" s="33" t="n">
        <f>136900</f>
        <v>136900.0</v>
      </c>
      <c r="L298" s="34" t="s">
        <v>48</v>
      </c>
      <c r="M298" s="33" t="n">
        <f>142400</f>
        <v>142400.0</v>
      </c>
      <c r="N298" s="34" t="s">
        <v>51</v>
      </c>
      <c r="O298" s="33" t="n">
        <f>135800</f>
        <v>135800.0</v>
      </c>
      <c r="P298" s="34" t="s">
        <v>114</v>
      </c>
      <c r="Q298" s="33" t="n">
        <f>141600</f>
        <v>141600.0</v>
      </c>
      <c r="R298" s="34" t="s">
        <v>51</v>
      </c>
      <c r="S298" s="35" t="n">
        <f>139372.22</f>
        <v>139372.22</v>
      </c>
      <c r="T298" s="32" t="n">
        <f>14661</f>
        <v>14661.0</v>
      </c>
      <c r="U298" s="32" t="n">
        <f>2628</f>
        <v>2628.0</v>
      </c>
      <c r="V298" s="32" t="n">
        <f>2040277222</f>
        <v>2.040277222E9</v>
      </c>
      <c r="W298" s="32" t="n">
        <f>365168022</f>
        <v>3.65168022E8</v>
      </c>
      <c r="X298" s="36" t="n">
        <f>18</f>
        <v>18.0</v>
      </c>
    </row>
    <row r="299">
      <c r="A299" s="27" t="s">
        <v>42</v>
      </c>
      <c r="B299" s="27" t="s">
        <v>941</v>
      </c>
      <c r="C299" s="27" t="s">
        <v>942</v>
      </c>
      <c r="D299" s="27" t="s">
        <v>943</v>
      </c>
      <c r="E299" s="28" t="s">
        <v>46</v>
      </c>
      <c r="F299" s="29" t="s">
        <v>46</v>
      </c>
      <c r="G299" s="30" t="s">
        <v>46</v>
      </c>
      <c r="H299" s="31"/>
      <c r="I299" s="31" t="s">
        <v>625</v>
      </c>
      <c r="J299" s="32" t="n">
        <v>1.0</v>
      </c>
      <c r="K299" s="33" t="n">
        <f>118400</f>
        <v>118400.0</v>
      </c>
      <c r="L299" s="34" t="s">
        <v>48</v>
      </c>
      <c r="M299" s="33" t="n">
        <f>120500</f>
        <v>120500.0</v>
      </c>
      <c r="N299" s="34" t="s">
        <v>51</v>
      </c>
      <c r="O299" s="33" t="n">
        <f>114000</f>
        <v>114000.0</v>
      </c>
      <c r="P299" s="34" t="s">
        <v>114</v>
      </c>
      <c r="Q299" s="33" t="n">
        <f>120500</f>
        <v>120500.0</v>
      </c>
      <c r="R299" s="34" t="s">
        <v>51</v>
      </c>
      <c r="S299" s="35" t="n">
        <f>117805.56</f>
        <v>117805.56</v>
      </c>
      <c r="T299" s="32" t="n">
        <f>20122</f>
        <v>20122.0</v>
      </c>
      <c r="U299" s="32" t="n">
        <f>3268</f>
        <v>3268.0</v>
      </c>
      <c r="V299" s="32" t="n">
        <f>2367824070</f>
        <v>2.36782407E9</v>
      </c>
      <c r="W299" s="32" t="n">
        <f>383125570</f>
        <v>3.8312557E8</v>
      </c>
      <c r="X299" s="36" t="n">
        <f>18</f>
        <v>18.0</v>
      </c>
    </row>
    <row r="300">
      <c r="A300" s="27" t="s">
        <v>42</v>
      </c>
      <c r="B300" s="27" t="s">
        <v>944</v>
      </c>
      <c r="C300" s="27" t="s">
        <v>945</v>
      </c>
      <c r="D300" s="27" t="s">
        <v>946</v>
      </c>
      <c r="E300" s="28" t="s">
        <v>46</v>
      </c>
      <c r="F300" s="29" t="s">
        <v>46</v>
      </c>
      <c r="G300" s="30" t="s">
        <v>46</v>
      </c>
      <c r="H300" s="31"/>
      <c r="I300" s="31" t="s">
        <v>47</v>
      </c>
      <c r="J300" s="32" t="n">
        <v>1.0</v>
      </c>
      <c r="K300" s="33" t="n">
        <f>178200</f>
        <v>178200.0</v>
      </c>
      <c r="L300" s="34" t="s">
        <v>48</v>
      </c>
      <c r="M300" s="33" t="n">
        <f>178200</f>
        <v>178200.0</v>
      </c>
      <c r="N300" s="34" t="s">
        <v>48</v>
      </c>
      <c r="O300" s="33" t="n">
        <f>165400</f>
        <v>165400.0</v>
      </c>
      <c r="P300" s="34" t="s">
        <v>114</v>
      </c>
      <c r="Q300" s="33" t="n">
        <f>173400</f>
        <v>173400.0</v>
      </c>
      <c r="R300" s="34" t="s">
        <v>51</v>
      </c>
      <c r="S300" s="35" t="n">
        <f>173177.78</f>
        <v>173177.78</v>
      </c>
      <c r="T300" s="32" t="n">
        <f>274936</f>
        <v>274936.0</v>
      </c>
      <c r="U300" s="32" t="n">
        <f>65893</f>
        <v>65893.0</v>
      </c>
      <c r="V300" s="32" t="n">
        <f>47587224129</f>
        <v>4.7587224129E10</v>
      </c>
      <c r="W300" s="32" t="n">
        <f>11380377629</f>
        <v>1.1380377629E10</v>
      </c>
      <c r="X300" s="36" t="n">
        <f>18</f>
        <v>18.0</v>
      </c>
    </row>
    <row r="301">
      <c r="A301" s="27" t="s">
        <v>42</v>
      </c>
      <c r="B301" s="27" t="s">
        <v>947</v>
      </c>
      <c r="C301" s="27" t="s">
        <v>948</v>
      </c>
      <c r="D301" s="27" t="s">
        <v>949</v>
      </c>
      <c r="E301" s="28" t="s">
        <v>46</v>
      </c>
      <c r="F301" s="29" t="s">
        <v>46</v>
      </c>
      <c r="G301" s="30" t="s">
        <v>46</v>
      </c>
      <c r="H301" s="31"/>
      <c r="I301" s="31" t="s">
        <v>625</v>
      </c>
      <c r="J301" s="32" t="n">
        <v>1.0</v>
      </c>
      <c r="K301" s="33" t="n">
        <f>86000</f>
        <v>86000.0</v>
      </c>
      <c r="L301" s="34" t="s">
        <v>48</v>
      </c>
      <c r="M301" s="33" t="n">
        <f>91200</f>
        <v>91200.0</v>
      </c>
      <c r="N301" s="34" t="s">
        <v>309</v>
      </c>
      <c r="O301" s="33" t="n">
        <f>84000</f>
        <v>84000.0</v>
      </c>
      <c r="P301" s="34" t="s">
        <v>50</v>
      </c>
      <c r="Q301" s="33" t="n">
        <f>88900</f>
        <v>88900.0</v>
      </c>
      <c r="R301" s="34" t="s">
        <v>51</v>
      </c>
      <c r="S301" s="35" t="n">
        <f>87544.44</f>
        <v>87544.44</v>
      </c>
      <c r="T301" s="32" t="n">
        <f>23923</f>
        <v>23923.0</v>
      </c>
      <c r="U301" s="32" t="n">
        <f>1981</f>
        <v>1981.0</v>
      </c>
      <c r="V301" s="32" t="n">
        <f>2091269211</f>
        <v>2.091269211E9</v>
      </c>
      <c r="W301" s="32" t="n">
        <f>172526711</f>
        <v>1.72526711E8</v>
      </c>
      <c r="X301" s="36" t="n">
        <f>18</f>
        <v>18.0</v>
      </c>
    </row>
    <row r="302">
      <c r="A302" s="27" t="s">
        <v>42</v>
      </c>
      <c r="B302" s="27" t="s">
        <v>950</v>
      </c>
      <c r="C302" s="27" t="s">
        <v>951</v>
      </c>
      <c r="D302" s="27" t="s">
        <v>952</v>
      </c>
      <c r="E302" s="28" t="s">
        <v>46</v>
      </c>
      <c r="F302" s="29" t="s">
        <v>46</v>
      </c>
      <c r="G302" s="30" t="s">
        <v>46</v>
      </c>
      <c r="H302" s="31"/>
      <c r="I302" s="31" t="s">
        <v>47</v>
      </c>
      <c r="J302" s="32" t="n">
        <v>1.0</v>
      </c>
      <c r="K302" s="33" t="n">
        <f>178000</f>
        <v>178000.0</v>
      </c>
      <c r="L302" s="34" t="s">
        <v>48</v>
      </c>
      <c r="M302" s="33" t="n">
        <f>179000</f>
        <v>179000.0</v>
      </c>
      <c r="N302" s="34" t="s">
        <v>287</v>
      </c>
      <c r="O302" s="33" t="n">
        <f>168400</f>
        <v>168400.0</v>
      </c>
      <c r="P302" s="34" t="s">
        <v>50</v>
      </c>
      <c r="Q302" s="33" t="n">
        <f>178500</f>
        <v>178500.0</v>
      </c>
      <c r="R302" s="34" t="s">
        <v>51</v>
      </c>
      <c r="S302" s="35" t="n">
        <f>174461.11</f>
        <v>174461.11</v>
      </c>
      <c r="T302" s="32" t="n">
        <f>131950</f>
        <v>131950.0</v>
      </c>
      <c r="U302" s="32" t="n">
        <f>30400</f>
        <v>30400.0</v>
      </c>
      <c r="V302" s="32" t="n">
        <f>22985427214</f>
        <v>2.2985427214E10</v>
      </c>
      <c r="W302" s="32" t="n">
        <f>5289875814</f>
        <v>5.289875814E9</v>
      </c>
      <c r="X302" s="36" t="n">
        <f>18</f>
        <v>18.0</v>
      </c>
    </row>
    <row r="303">
      <c r="A303" s="27" t="s">
        <v>42</v>
      </c>
      <c r="B303" s="27" t="s">
        <v>953</v>
      </c>
      <c r="C303" s="27" t="s">
        <v>954</v>
      </c>
      <c r="D303" s="27" t="s">
        <v>955</v>
      </c>
      <c r="E303" s="28" t="s">
        <v>46</v>
      </c>
      <c r="F303" s="29" t="s">
        <v>46</v>
      </c>
      <c r="G303" s="30" t="s">
        <v>46</v>
      </c>
      <c r="H303" s="31"/>
      <c r="I303" s="31" t="s">
        <v>625</v>
      </c>
      <c r="J303" s="32" t="n">
        <v>1.0</v>
      </c>
      <c r="K303" s="33" t="n">
        <f>56100</f>
        <v>56100.0</v>
      </c>
      <c r="L303" s="34" t="s">
        <v>48</v>
      </c>
      <c r="M303" s="33" t="n">
        <f>59800</f>
        <v>59800.0</v>
      </c>
      <c r="N303" s="34" t="s">
        <v>287</v>
      </c>
      <c r="O303" s="33" t="n">
        <f>54800</f>
        <v>54800.0</v>
      </c>
      <c r="P303" s="34" t="s">
        <v>50</v>
      </c>
      <c r="Q303" s="33" t="n">
        <f>58700</f>
        <v>58700.0</v>
      </c>
      <c r="R303" s="34" t="s">
        <v>51</v>
      </c>
      <c r="S303" s="35" t="n">
        <f>57188.89</f>
        <v>57188.89</v>
      </c>
      <c r="T303" s="32" t="n">
        <f>116794</f>
        <v>116794.0</v>
      </c>
      <c r="U303" s="32" t="n">
        <f>24319</f>
        <v>24319.0</v>
      </c>
      <c r="V303" s="32" t="n">
        <f>6700122809</f>
        <v>6.700122809E9</v>
      </c>
      <c r="W303" s="32" t="n">
        <f>1398473909</f>
        <v>1.398473909E9</v>
      </c>
      <c r="X303" s="36" t="n">
        <f>18</f>
        <v>18.0</v>
      </c>
    </row>
    <row r="304">
      <c r="A304" s="27" t="s">
        <v>42</v>
      </c>
      <c r="B304" s="27" t="s">
        <v>956</v>
      </c>
      <c r="C304" s="27" t="s">
        <v>957</v>
      </c>
      <c r="D304" s="27" t="s">
        <v>958</v>
      </c>
      <c r="E304" s="28" t="s">
        <v>46</v>
      </c>
      <c r="F304" s="29" t="s">
        <v>46</v>
      </c>
      <c r="G304" s="30" t="s">
        <v>46</v>
      </c>
      <c r="H304" s="31"/>
      <c r="I304" s="31" t="s">
        <v>625</v>
      </c>
      <c r="J304" s="32" t="n">
        <v>1.0</v>
      </c>
      <c r="K304" s="33" t="n">
        <f>130700</f>
        <v>130700.0</v>
      </c>
      <c r="L304" s="34" t="s">
        <v>48</v>
      </c>
      <c r="M304" s="33" t="n">
        <f>136900</f>
        <v>136900.0</v>
      </c>
      <c r="N304" s="34" t="s">
        <v>51</v>
      </c>
      <c r="O304" s="33" t="n">
        <f>129200</f>
        <v>129200.0</v>
      </c>
      <c r="P304" s="34" t="s">
        <v>50</v>
      </c>
      <c r="Q304" s="33" t="n">
        <f>136800</f>
        <v>136800.0</v>
      </c>
      <c r="R304" s="34" t="s">
        <v>51</v>
      </c>
      <c r="S304" s="35" t="n">
        <f>132733.33</f>
        <v>132733.33</v>
      </c>
      <c r="T304" s="32" t="n">
        <f>11488</f>
        <v>11488.0</v>
      </c>
      <c r="U304" s="32" t="n">
        <f>1523</f>
        <v>1523.0</v>
      </c>
      <c r="V304" s="32" t="n">
        <f>1521140243</f>
        <v>1.521140243E9</v>
      </c>
      <c r="W304" s="32" t="n">
        <f>200864743</f>
        <v>2.00864743E8</v>
      </c>
      <c r="X304" s="36" t="n">
        <f>18</f>
        <v>18.0</v>
      </c>
    </row>
    <row r="305">
      <c r="A305" s="27" t="s">
        <v>42</v>
      </c>
      <c r="B305" s="27" t="s">
        <v>959</v>
      </c>
      <c r="C305" s="27" t="s">
        <v>960</v>
      </c>
      <c r="D305" s="27" t="s">
        <v>961</v>
      </c>
      <c r="E305" s="28" t="s">
        <v>46</v>
      </c>
      <c r="F305" s="29" t="s">
        <v>46</v>
      </c>
      <c r="G305" s="30" t="s">
        <v>46</v>
      </c>
      <c r="H305" s="31"/>
      <c r="I305" s="31" t="s">
        <v>47</v>
      </c>
      <c r="J305" s="32" t="n">
        <v>1.0</v>
      </c>
      <c r="K305" s="33" t="n">
        <f>575000</f>
        <v>575000.0</v>
      </c>
      <c r="L305" s="34" t="s">
        <v>48</v>
      </c>
      <c r="M305" s="33" t="n">
        <f>578000</f>
        <v>578000.0</v>
      </c>
      <c r="N305" s="34" t="s">
        <v>48</v>
      </c>
      <c r="O305" s="33" t="n">
        <f>540000</f>
        <v>540000.0</v>
      </c>
      <c r="P305" s="34" t="s">
        <v>50</v>
      </c>
      <c r="Q305" s="33" t="n">
        <f>562000</f>
        <v>562000.0</v>
      </c>
      <c r="R305" s="34" t="s">
        <v>51</v>
      </c>
      <c r="S305" s="35" t="n">
        <f>557000</f>
        <v>557000.0</v>
      </c>
      <c r="T305" s="32" t="n">
        <f>35303</f>
        <v>35303.0</v>
      </c>
      <c r="U305" s="32" t="n">
        <f>7036</f>
        <v>7036.0</v>
      </c>
      <c r="V305" s="32" t="n">
        <f>19648423307</f>
        <v>1.9648423307E10</v>
      </c>
      <c r="W305" s="32" t="n">
        <f>3914051307</f>
        <v>3.914051307E9</v>
      </c>
      <c r="X305" s="36" t="n">
        <f>18</f>
        <v>18.0</v>
      </c>
    </row>
    <row r="306">
      <c r="A306" s="27" t="s">
        <v>42</v>
      </c>
      <c r="B306" s="27" t="s">
        <v>962</v>
      </c>
      <c r="C306" s="27" t="s">
        <v>963</v>
      </c>
      <c r="D306" s="27" t="s">
        <v>964</v>
      </c>
      <c r="E306" s="28" t="s">
        <v>46</v>
      </c>
      <c r="F306" s="29" t="s">
        <v>46</v>
      </c>
      <c r="G306" s="30" t="s">
        <v>46</v>
      </c>
      <c r="H306" s="31"/>
      <c r="I306" s="31" t="s">
        <v>625</v>
      </c>
      <c r="J306" s="32" t="n">
        <v>1.0</v>
      </c>
      <c r="K306" s="33" t="n">
        <f>82600</f>
        <v>82600.0</v>
      </c>
      <c r="L306" s="34" t="s">
        <v>48</v>
      </c>
      <c r="M306" s="33" t="n">
        <f>85700</f>
        <v>85700.0</v>
      </c>
      <c r="N306" s="34" t="s">
        <v>309</v>
      </c>
      <c r="O306" s="33" t="n">
        <f>80900</f>
        <v>80900.0</v>
      </c>
      <c r="P306" s="34" t="s">
        <v>84</v>
      </c>
      <c r="Q306" s="33" t="n">
        <f>83100</f>
        <v>83100.0</v>
      </c>
      <c r="R306" s="34" t="s">
        <v>51</v>
      </c>
      <c r="S306" s="35" t="n">
        <f>83127.78</f>
        <v>83127.78</v>
      </c>
      <c r="T306" s="32" t="n">
        <f>28854</f>
        <v>28854.0</v>
      </c>
      <c r="U306" s="32" t="n">
        <f>3785</f>
        <v>3785.0</v>
      </c>
      <c r="V306" s="32" t="n">
        <f>2399042562</f>
        <v>2.399042562E9</v>
      </c>
      <c r="W306" s="32" t="n">
        <f>313755362</f>
        <v>3.13755362E8</v>
      </c>
      <c r="X306" s="36" t="n">
        <f>18</f>
        <v>18.0</v>
      </c>
    </row>
    <row r="307">
      <c r="A307" s="27" t="s">
        <v>42</v>
      </c>
      <c r="B307" s="27" t="s">
        <v>965</v>
      </c>
      <c r="C307" s="27" t="s">
        <v>966</v>
      </c>
      <c r="D307" s="27" t="s">
        <v>967</v>
      </c>
      <c r="E307" s="28" t="s">
        <v>46</v>
      </c>
      <c r="F307" s="29" t="s">
        <v>46</v>
      </c>
      <c r="G307" s="30" t="s">
        <v>46</v>
      </c>
      <c r="H307" s="31"/>
      <c r="I307" s="31" t="s">
        <v>47</v>
      </c>
      <c r="J307" s="32" t="n">
        <v>1.0</v>
      </c>
      <c r="K307" s="33" t="n">
        <f>49000</f>
        <v>49000.0</v>
      </c>
      <c r="L307" s="34" t="s">
        <v>48</v>
      </c>
      <c r="M307" s="33" t="n">
        <f>50100</f>
        <v>50100.0</v>
      </c>
      <c r="N307" s="34" t="s">
        <v>173</v>
      </c>
      <c r="O307" s="33" t="n">
        <f>47300</f>
        <v>47300.0</v>
      </c>
      <c r="P307" s="34" t="s">
        <v>50</v>
      </c>
      <c r="Q307" s="33" t="n">
        <f>49800</f>
        <v>49800.0</v>
      </c>
      <c r="R307" s="34" t="s">
        <v>51</v>
      </c>
      <c r="S307" s="35" t="n">
        <f>49041.67</f>
        <v>49041.67</v>
      </c>
      <c r="T307" s="32" t="n">
        <f>157324</f>
        <v>157324.0</v>
      </c>
      <c r="U307" s="32" t="n">
        <f>30901</f>
        <v>30901.0</v>
      </c>
      <c r="V307" s="32" t="n">
        <f>7707653624</f>
        <v>7.707653624E9</v>
      </c>
      <c r="W307" s="32" t="n">
        <f>1515010724</f>
        <v>1.515010724E9</v>
      </c>
      <c r="X307" s="36" t="n">
        <f>18</f>
        <v>18.0</v>
      </c>
    </row>
    <row r="308">
      <c r="A308" s="27" t="s">
        <v>42</v>
      </c>
      <c r="B308" s="27" t="s">
        <v>968</v>
      </c>
      <c r="C308" s="27" t="s">
        <v>969</v>
      </c>
      <c r="D308" s="27" t="s">
        <v>970</v>
      </c>
      <c r="E308" s="28" t="s">
        <v>46</v>
      </c>
      <c r="F308" s="29" t="s">
        <v>46</v>
      </c>
      <c r="G308" s="30" t="s">
        <v>46</v>
      </c>
      <c r="H308" s="31"/>
      <c r="I308" s="31" t="s">
        <v>47</v>
      </c>
      <c r="J308" s="32" t="n">
        <v>1.0</v>
      </c>
      <c r="K308" s="33" t="n">
        <f>135500</f>
        <v>135500.0</v>
      </c>
      <c r="L308" s="34" t="s">
        <v>48</v>
      </c>
      <c r="M308" s="33" t="n">
        <f>138300</f>
        <v>138300.0</v>
      </c>
      <c r="N308" s="34" t="s">
        <v>173</v>
      </c>
      <c r="O308" s="33" t="n">
        <f>127300</f>
        <v>127300.0</v>
      </c>
      <c r="P308" s="34" t="s">
        <v>114</v>
      </c>
      <c r="Q308" s="33" t="n">
        <f>134300</f>
        <v>134300.0</v>
      </c>
      <c r="R308" s="34" t="s">
        <v>51</v>
      </c>
      <c r="S308" s="35" t="n">
        <f>133750</f>
        <v>133750.0</v>
      </c>
      <c r="T308" s="32" t="n">
        <f>16557</f>
        <v>16557.0</v>
      </c>
      <c r="U308" s="32" t="n">
        <f>3057</f>
        <v>3057.0</v>
      </c>
      <c r="V308" s="32" t="n">
        <f>2213912438</f>
        <v>2.213912438E9</v>
      </c>
      <c r="W308" s="32" t="n">
        <f>406104238</f>
        <v>4.06104238E8</v>
      </c>
      <c r="X308" s="36" t="n">
        <f>18</f>
        <v>18.0</v>
      </c>
    </row>
    <row r="309">
      <c r="A309" s="27" t="s">
        <v>42</v>
      </c>
      <c r="B309" s="27" t="s">
        <v>971</v>
      </c>
      <c r="C309" s="27" t="s">
        <v>972</v>
      </c>
      <c r="D309" s="27" t="s">
        <v>973</v>
      </c>
      <c r="E309" s="28" t="s">
        <v>46</v>
      </c>
      <c r="F309" s="29" t="s">
        <v>46</v>
      </c>
      <c r="G309" s="30" t="s">
        <v>46</v>
      </c>
      <c r="H309" s="31"/>
      <c r="I309" s="31" t="s">
        <v>47</v>
      </c>
      <c r="J309" s="32" t="n">
        <v>1.0</v>
      </c>
      <c r="K309" s="33" t="n">
        <f>458000</f>
        <v>458000.0</v>
      </c>
      <c r="L309" s="34" t="s">
        <v>48</v>
      </c>
      <c r="M309" s="33" t="n">
        <f>458000</f>
        <v>458000.0</v>
      </c>
      <c r="N309" s="34" t="s">
        <v>48</v>
      </c>
      <c r="O309" s="33" t="n">
        <f>437000</f>
        <v>437000.0</v>
      </c>
      <c r="P309" s="34" t="s">
        <v>114</v>
      </c>
      <c r="Q309" s="33" t="n">
        <f>457500</f>
        <v>457500.0</v>
      </c>
      <c r="R309" s="34" t="s">
        <v>51</v>
      </c>
      <c r="S309" s="35" t="n">
        <f>449500</f>
        <v>449500.0</v>
      </c>
      <c r="T309" s="32" t="n">
        <f>26624</f>
        <v>26624.0</v>
      </c>
      <c r="U309" s="32" t="n">
        <f>6132</f>
        <v>6132.0</v>
      </c>
      <c r="V309" s="32" t="n">
        <f>11939416920</f>
        <v>1.193941692E10</v>
      </c>
      <c r="W309" s="32" t="n">
        <f>2747942920</f>
        <v>2.74794292E9</v>
      </c>
      <c r="X309" s="36" t="n">
        <f>18</f>
        <v>18.0</v>
      </c>
    </row>
    <row r="310">
      <c r="A310" s="27" t="s">
        <v>42</v>
      </c>
      <c r="B310" s="27" t="s">
        <v>974</v>
      </c>
      <c r="C310" s="27" t="s">
        <v>975</v>
      </c>
      <c r="D310" s="27" t="s">
        <v>976</v>
      </c>
      <c r="E310" s="28" t="s">
        <v>46</v>
      </c>
      <c r="F310" s="29" t="s">
        <v>46</v>
      </c>
      <c r="G310" s="30" t="s">
        <v>46</v>
      </c>
      <c r="H310" s="31"/>
      <c r="I310" s="31" t="s">
        <v>47</v>
      </c>
      <c r="J310" s="32" t="n">
        <v>1.0</v>
      </c>
      <c r="K310" s="33" t="n">
        <f>181500</f>
        <v>181500.0</v>
      </c>
      <c r="L310" s="34" t="s">
        <v>48</v>
      </c>
      <c r="M310" s="33" t="n">
        <f>182300</f>
        <v>182300.0</v>
      </c>
      <c r="N310" s="34" t="s">
        <v>48</v>
      </c>
      <c r="O310" s="33" t="n">
        <f>167800</f>
        <v>167800.0</v>
      </c>
      <c r="P310" s="34" t="s">
        <v>50</v>
      </c>
      <c r="Q310" s="33" t="n">
        <f>178600</f>
        <v>178600.0</v>
      </c>
      <c r="R310" s="34" t="s">
        <v>51</v>
      </c>
      <c r="S310" s="35" t="n">
        <f>173811.11</f>
        <v>173811.11</v>
      </c>
      <c r="T310" s="32" t="n">
        <f>48942</f>
        <v>48942.0</v>
      </c>
      <c r="U310" s="32" t="n">
        <f>7010</f>
        <v>7010.0</v>
      </c>
      <c r="V310" s="32" t="n">
        <f>8478155488</f>
        <v>8.478155488E9</v>
      </c>
      <c r="W310" s="32" t="n">
        <f>1214275788</f>
        <v>1.214275788E9</v>
      </c>
      <c r="X310" s="36" t="n">
        <f>18</f>
        <v>18.0</v>
      </c>
    </row>
    <row r="311">
      <c r="A311" s="27" t="s">
        <v>42</v>
      </c>
      <c r="B311" s="27" t="s">
        <v>977</v>
      </c>
      <c r="C311" s="27" t="s">
        <v>978</v>
      </c>
      <c r="D311" s="27" t="s">
        <v>979</v>
      </c>
      <c r="E311" s="28" t="s">
        <v>46</v>
      </c>
      <c r="F311" s="29" t="s">
        <v>46</v>
      </c>
      <c r="G311" s="30" t="s">
        <v>46</v>
      </c>
      <c r="H311" s="31"/>
      <c r="I311" s="31" t="s">
        <v>625</v>
      </c>
      <c r="J311" s="32" t="n">
        <v>1.0</v>
      </c>
      <c r="K311" s="33" t="n">
        <f>114700</f>
        <v>114700.0</v>
      </c>
      <c r="L311" s="34" t="s">
        <v>48</v>
      </c>
      <c r="M311" s="33" t="n">
        <f>120300</f>
        <v>120300.0</v>
      </c>
      <c r="N311" s="34" t="s">
        <v>51</v>
      </c>
      <c r="O311" s="33" t="n">
        <f>112700</f>
        <v>112700.0</v>
      </c>
      <c r="P311" s="34" t="s">
        <v>50</v>
      </c>
      <c r="Q311" s="33" t="n">
        <f>120000</f>
        <v>120000.0</v>
      </c>
      <c r="R311" s="34" t="s">
        <v>51</v>
      </c>
      <c r="S311" s="35" t="n">
        <f>116544.44</f>
        <v>116544.44</v>
      </c>
      <c r="T311" s="32" t="n">
        <f>18185</f>
        <v>18185.0</v>
      </c>
      <c r="U311" s="32" t="n">
        <f>2972</f>
        <v>2972.0</v>
      </c>
      <c r="V311" s="32" t="n">
        <f>2114347236</f>
        <v>2.114347236E9</v>
      </c>
      <c r="W311" s="32" t="n">
        <f>345798836</f>
        <v>3.45798836E8</v>
      </c>
      <c r="X311" s="36" t="n">
        <f>18</f>
        <v>18.0</v>
      </c>
    </row>
    <row r="312">
      <c r="A312" s="27" t="s">
        <v>42</v>
      </c>
      <c r="B312" s="27" t="s">
        <v>980</v>
      </c>
      <c r="C312" s="27" t="s">
        <v>981</v>
      </c>
      <c r="D312" s="27" t="s">
        <v>982</v>
      </c>
      <c r="E312" s="28" t="s">
        <v>46</v>
      </c>
      <c r="F312" s="29" t="s">
        <v>46</v>
      </c>
      <c r="G312" s="30" t="s">
        <v>46</v>
      </c>
      <c r="H312" s="31"/>
      <c r="I312" s="31" t="s">
        <v>47</v>
      </c>
      <c r="J312" s="32" t="n">
        <v>1.0</v>
      </c>
      <c r="K312" s="33" t="n">
        <f>116600</f>
        <v>116600.0</v>
      </c>
      <c r="L312" s="34" t="s">
        <v>48</v>
      </c>
      <c r="M312" s="33" t="n">
        <f>121000</f>
        <v>121000.0</v>
      </c>
      <c r="N312" s="34" t="s">
        <v>173</v>
      </c>
      <c r="O312" s="33" t="n">
        <f>113500</f>
        <v>113500.0</v>
      </c>
      <c r="P312" s="34" t="s">
        <v>50</v>
      </c>
      <c r="Q312" s="33" t="n">
        <f>119500</f>
        <v>119500.0</v>
      </c>
      <c r="R312" s="34" t="s">
        <v>51</v>
      </c>
      <c r="S312" s="35" t="n">
        <f>117566.67</f>
        <v>117566.67</v>
      </c>
      <c r="T312" s="32" t="n">
        <f>46938</f>
        <v>46938.0</v>
      </c>
      <c r="U312" s="32" t="n">
        <f>8027</f>
        <v>8027.0</v>
      </c>
      <c r="V312" s="32" t="n">
        <f>5520980973</f>
        <v>5.520980973E9</v>
      </c>
      <c r="W312" s="32" t="n">
        <f>943343573</f>
        <v>9.43343573E8</v>
      </c>
      <c r="X312" s="36" t="n">
        <f>18</f>
        <v>18.0</v>
      </c>
    </row>
    <row r="313">
      <c r="A313" s="27" t="s">
        <v>42</v>
      </c>
      <c r="B313" s="27" t="s">
        <v>983</v>
      </c>
      <c r="C313" s="27" t="s">
        <v>984</v>
      </c>
      <c r="D313" s="27" t="s">
        <v>985</v>
      </c>
      <c r="E313" s="28" t="s">
        <v>46</v>
      </c>
      <c r="F313" s="29" t="s">
        <v>46</v>
      </c>
      <c r="G313" s="30" t="s">
        <v>46</v>
      </c>
      <c r="H313" s="31"/>
      <c r="I313" s="31" t="s">
        <v>625</v>
      </c>
      <c r="J313" s="32" t="n">
        <v>1.0</v>
      </c>
      <c r="K313" s="33" t="n">
        <f>141100</f>
        <v>141100.0</v>
      </c>
      <c r="L313" s="34" t="s">
        <v>48</v>
      </c>
      <c r="M313" s="33" t="n">
        <f>142400</f>
        <v>142400.0</v>
      </c>
      <c r="N313" s="34" t="s">
        <v>84</v>
      </c>
      <c r="O313" s="33" t="n">
        <f>133300</f>
        <v>133300.0</v>
      </c>
      <c r="P313" s="34" t="s">
        <v>114</v>
      </c>
      <c r="Q313" s="33" t="n">
        <f>141700</f>
        <v>141700.0</v>
      </c>
      <c r="R313" s="34" t="s">
        <v>51</v>
      </c>
      <c r="S313" s="35" t="n">
        <f>138933.33</f>
        <v>138933.33</v>
      </c>
      <c r="T313" s="32" t="n">
        <f>45570</f>
        <v>45570.0</v>
      </c>
      <c r="U313" s="32" t="n">
        <f>11410</f>
        <v>11410.0</v>
      </c>
      <c r="V313" s="32" t="n">
        <f>6321340683</f>
        <v>6.321340683E9</v>
      </c>
      <c r="W313" s="32" t="n">
        <f>1582315283</f>
        <v>1.582315283E9</v>
      </c>
      <c r="X313" s="36" t="n">
        <f>18</f>
        <v>18.0</v>
      </c>
    </row>
    <row r="314">
      <c r="A314" s="27" t="s">
        <v>42</v>
      </c>
      <c r="B314" s="27" t="s">
        <v>986</v>
      </c>
      <c r="C314" s="27" t="s">
        <v>987</v>
      </c>
      <c r="D314" s="27" t="s">
        <v>988</v>
      </c>
      <c r="E314" s="28" t="s">
        <v>46</v>
      </c>
      <c r="F314" s="29" t="s">
        <v>46</v>
      </c>
      <c r="G314" s="30" t="s">
        <v>46</v>
      </c>
      <c r="H314" s="31"/>
      <c r="I314" s="31" t="s">
        <v>47</v>
      </c>
      <c r="J314" s="32" t="n">
        <v>1.0</v>
      </c>
      <c r="K314" s="33" t="n">
        <f>719000</f>
        <v>719000.0</v>
      </c>
      <c r="L314" s="34" t="s">
        <v>48</v>
      </c>
      <c r="M314" s="33" t="n">
        <f>722000</f>
        <v>722000.0</v>
      </c>
      <c r="N314" s="34" t="s">
        <v>48</v>
      </c>
      <c r="O314" s="33" t="n">
        <f>675000</f>
        <v>675000.0</v>
      </c>
      <c r="P314" s="34" t="s">
        <v>50</v>
      </c>
      <c r="Q314" s="33" t="n">
        <f>694000</f>
        <v>694000.0</v>
      </c>
      <c r="R314" s="34" t="s">
        <v>51</v>
      </c>
      <c r="S314" s="35" t="n">
        <f>698111.11</f>
        <v>698111.11</v>
      </c>
      <c r="T314" s="32" t="n">
        <f>145871</f>
        <v>145871.0</v>
      </c>
      <c r="U314" s="32" t="n">
        <f>44591</f>
        <v>44591.0</v>
      </c>
      <c r="V314" s="32" t="n">
        <f>101797830381</f>
        <v>1.01797830381E11</v>
      </c>
      <c r="W314" s="32" t="n">
        <f>31118286381</f>
        <v>3.1118286381E10</v>
      </c>
      <c r="X314" s="36" t="n">
        <f>18</f>
        <v>18.0</v>
      </c>
    </row>
    <row r="315">
      <c r="A315" s="27" t="s">
        <v>42</v>
      </c>
      <c r="B315" s="27" t="s">
        <v>989</v>
      </c>
      <c r="C315" s="27" t="s">
        <v>990</v>
      </c>
      <c r="D315" s="27" t="s">
        <v>991</v>
      </c>
      <c r="E315" s="28" t="s">
        <v>46</v>
      </c>
      <c r="F315" s="29" t="s">
        <v>46</v>
      </c>
      <c r="G315" s="30" t="s">
        <v>46</v>
      </c>
      <c r="H315" s="31"/>
      <c r="I315" s="31" t="s">
        <v>47</v>
      </c>
      <c r="J315" s="32" t="n">
        <v>1.0</v>
      </c>
      <c r="K315" s="33" t="n">
        <f>698000</f>
        <v>698000.0</v>
      </c>
      <c r="L315" s="34" t="s">
        <v>48</v>
      </c>
      <c r="M315" s="33" t="n">
        <f>701000</f>
        <v>701000.0</v>
      </c>
      <c r="N315" s="34" t="s">
        <v>48</v>
      </c>
      <c r="O315" s="33" t="n">
        <f>646000</f>
        <v>646000.0</v>
      </c>
      <c r="P315" s="34" t="s">
        <v>480</v>
      </c>
      <c r="Q315" s="33" t="n">
        <f>660000</f>
        <v>660000.0</v>
      </c>
      <c r="R315" s="34" t="s">
        <v>51</v>
      </c>
      <c r="S315" s="35" t="n">
        <f>668944.44</f>
        <v>668944.44</v>
      </c>
      <c r="T315" s="32" t="n">
        <f>112299</f>
        <v>112299.0</v>
      </c>
      <c r="U315" s="32" t="n">
        <f>23085</f>
        <v>23085.0</v>
      </c>
      <c r="V315" s="32" t="n">
        <f>75057016167</f>
        <v>7.5057016167E10</v>
      </c>
      <c r="W315" s="32" t="n">
        <f>15419971167</f>
        <v>1.5419971167E10</v>
      </c>
      <c r="X315" s="36" t="n">
        <f>18</f>
        <v>18.0</v>
      </c>
    </row>
    <row r="316">
      <c r="A316" s="27" t="s">
        <v>42</v>
      </c>
      <c r="B316" s="27" t="s">
        <v>992</v>
      </c>
      <c r="C316" s="27" t="s">
        <v>993</v>
      </c>
      <c r="D316" s="27" t="s">
        <v>994</v>
      </c>
      <c r="E316" s="28" t="s">
        <v>46</v>
      </c>
      <c r="F316" s="29" t="s">
        <v>46</v>
      </c>
      <c r="G316" s="30" t="s">
        <v>46</v>
      </c>
      <c r="H316" s="31"/>
      <c r="I316" s="31" t="s">
        <v>47</v>
      </c>
      <c r="J316" s="32" t="n">
        <v>1.0</v>
      </c>
      <c r="K316" s="33" t="n">
        <f>111000</f>
        <v>111000.0</v>
      </c>
      <c r="L316" s="34" t="s">
        <v>48</v>
      </c>
      <c r="M316" s="33" t="n">
        <f>111600</f>
        <v>111600.0</v>
      </c>
      <c r="N316" s="34" t="s">
        <v>48</v>
      </c>
      <c r="O316" s="33" t="n">
        <f>105800</f>
        <v>105800.0</v>
      </c>
      <c r="P316" s="34" t="s">
        <v>114</v>
      </c>
      <c r="Q316" s="33" t="n">
        <f>110800</f>
        <v>110800.0</v>
      </c>
      <c r="R316" s="34" t="s">
        <v>51</v>
      </c>
      <c r="S316" s="35" t="n">
        <f>108738.89</f>
        <v>108738.89</v>
      </c>
      <c r="T316" s="32" t="n">
        <f>477327</f>
        <v>477327.0</v>
      </c>
      <c r="U316" s="32" t="n">
        <f>118687</f>
        <v>118687.0</v>
      </c>
      <c r="V316" s="32" t="n">
        <f>51831603512</f>
        <v>5.1831603512E10</v>
      </c>
      <c r="W316" s="32" t="n">
        <f>12885426312</f>
        <v>1.2885426312E10</v>
      </c>
      <c r="X316" s="36" t="n">
        <f>18</f>
        <v>18.0</v>
      </c>
    </row>
    <row r="317">
      <c r="A317" s="27" t="s">
        <v>42</v>
      </c>
      <c r="B317" s="27" t="s">
        <v>995</v>
      </c>
      <c r="C317" s="27" t="s">
        <v>996</v>
      </c>
      <c r="D317" s="27" t="s">
        <v>997</v>
      </c>
      <c r="E317" s="28" t="s">
        <v>46</v>
      </c>
      <c r="F317" s="29" t="s">
        <v>46</v>
      </c>
      <c r="G317" s="30" t="s">
        <v>46</v>
      </c>
      <c r="H317" s="31"/>
      <c r="I317" s="31" t="s">
        <v>47</v>
      </c>
      <c r="J317" s="32" t="n">
        <v>1.0</v>
      </c>
      <c r="K317" s="33" t="n">
        <f>195300</f>
        <v>195300.0</v>
      </c>
      <c r="L317" s="34" t="s">
        <v>48</v>
      </c>
      <c r="M317" s="33" t="n">
        <f>205700</f>
        <v>205700.0</v>
      </c>
      <c r="N317" s="34" t="s">
        <v>84</v>
      </c>
      <c r="O317" s="33" t="n">
        <f>186500</f>
        <v>186500.0</v>
      </c>
      <c r="P317" s="34" t="s">
        <v>50</v>
      </c>
      <c r="Q317" s="33" t="n">
        <f>203500</f>
        <v>203500.0</v>
      </c>
      <c r="R317" s="34" t="s">
        <v>51</v>
      </c>
      <c r="S317" s="35" t="n">
        <f>195983.33</f>
        <v>195983.33</v>
      </c>
      <c r="T317" s="32" t="n">
        <f>228440</f>
        <v>228440.0</v>
      </c>
      <c r="U317" s="32" t="n">
        <f>52624</f>
        <v>52624.0</v>
      </c>
      <c r="V317" s="32" t="n">
        <f>44963988599</f>
        <v>4.4963988599E10</v>
      </c>
      <c r="W317" s="32" t="n">
        <f>10348599599</f>
        <v>1.0348599599E10</v>
      </c>
      <c r="X317" s="36" t="n">
        <f>18</f>
        <v>18.0</v>
      </c>
    </row>
    <row r="318">
      <c r="A318" s="27" t="s">
        <v>42</v>
      </c>
      <c r="B318" s="27" t="s">
        <v>998</v>
      </c>
      <c r="C318" s="27" t="s">
        <v>999</v>
      </c>
      <c r="D318" s="27" t="s">
        <v>1000</v>
      </c>
      <c r="E318" s="28" t="s">
        <v>46</v>
      </c>
      <c r="F318" s="29" t="s">
        <v>46</v>
      </c>
      <c r="G318" s="30" t="s">
        <v>46</v>
      </c>
      <c r="H318" s="31"/>
      <c r="I318" s="31" t="s">
        <v>47</v>
      </c>
      <c r="J318" s="32" t="n">
        <v>1.0</v>
      </c>
      <c r="K318" s="33" t="n">
        <f>450000</f>
        <v>450000.0</v>
      </c>
      <c r="L318" s="34" t="s">
        <v>48</v>
      </c>
      <c r="M318" s="33" t="n">
        <f>450000</f>
        <v>450000.0</v>
      </c>
      <c r="N318" s="34" t="s">
        <v>48</v>
      </c>
      <c r="O318" s="33" t="n">
        <f>419500</f>
        <v>419500.0</v>
      </c>
      <c r="P318" s="34" t="s">
        <v>114</v>
      </c>
      <c r="Q318" s="33" t="n">
        <f>430500</f>
        <v>430500.0</v>
      </c>
      <c r="R318" s="34" t="s">
        <v>51</v>
      </c>
      <c r="S318" s="35" t="n">
        <f>429166.67</f>
        <v>429166.67</v>
      </c>
      <c r="T318" s="32" t="n">
        <f>79130</f>
        <v>79130.0</v>
      </c>
      <c r="U318" s="32" t="n">
        <f>20341</f>
        <v>20341.0</v>
      </c>
      <c r="V318" s="32" t="n">
        <f>33949016322</f>
        <v>3.3949016322E10</v>
      </c>
      <c r="W318" s="32" t="n">
        <f>8712739822</f>
        <v>8.712739822E9</v>
      </c>
      <c r="X318" s="36" t="n">
        <f>18</f>
        <v>18.0</v>
      </c>
    </row>
    <row r="319">
      <c r="A319" s="27" t="s">
        <v>42</v>
      </c>
      <c r="B319" s="27" t="s">
        <v>1001</v>
      </c>
      <c r="C319" s="27" t="s">
        <v>1002</v>
      </c>
      <c r="D319" s="27" t="s">
        <v>1003</v>
      </c>
      <c r="E319" s="28" t="s">
        <v>46</v>
      </c>
      <c r="F319" s="29" t="s">
        <v>46</v>
      </c>
      <c r="G319" s="30" t="s">
        <v>46</v>
      </c>
      <c r="H319" s="31"/>
      <c r="I319" s="31" t="s">
        <v>47</v>
      </c>
      <c r="J319" s="32" t="n">
        <v>1.0</v>
      </c>
      <c r="K319" s="33" t="n">
        <f>162200</f>
        <v>162200.0</v>
      </c>
      <c r="L319" s="34" t="s">
        <v>48</v>
      </c>
      <c r="M319" s="33" t="n">
        <f>162600</f>
        <v>162600.0</v>
      </c>
      <c r="N319" s="34" t="s">
        <v>48</v>
      </c>
      <c r="O319" s="33" t="n">
        <f>153700</f>
        <v>153700.0</v>
      </c>
      <c r="P319" s="34" t="s">
        <v>71</v>
      </c>
      <c r="Q319" s="33" t="n">
        <f>160400</f>
        <v>160400.0</v>
      </c>
      <c r="R319" s="34" t="s">
        <v>51</v>
      </c>
      <c r="S319" s="35" t="n">
        <f>158238.89</f>
        <v>158238.89</v>
      </c>
      <c r="T319" s="32" t="n">
        <f>96948</f>
        <v>96948.0</v>
      </c>
      <c r="U319" s="32" t="n">
        <f>16827</f>
        <v>16827.0</v>
      </c>
      <c r="V319" s="32" t="n">
        <f>15311572663</f>
        <v>1.5311572663E10</v>
      </c>
      <c r="W319" s="32" t="n">
        <f>2655490263</f>
        <v>2.655490263E9</v>
      </c>
      <c r="X319" s="36" t="n">
        <f>18</f>
        <v>18.0</v>
      </c>
    </row>
    <row r="320">
      <c r="A320" s="27" t="s">
        <v>42</v>
      </c>
      <c r="B320" s="27" t="s">
        <v>1004</v>
      </c>
      <c r="C320" s="27" t="s">
        <v>1005</v>
      </c>
      <c r="D320" s="27" t="s">
        <v>1006</v>
      </c>
      <c r="E320" s="28" t="s">
        <v>46</v>
      </c>
      <c r="F320" s="29" t="s">
        <v>46</v>
      </c>
      <c r="G320" s="30" t="s">
        <v>46</v>
      </c>
      <c r="H320" s="31"/>
      <c r="I320" s="31" t="s">
        <v>47</v>
      </c>
      <c r="J320" s="32" t="n">
        <v>1.0</v>
      </c>
      <c r="K320" s="33" t="n">
        <f>186300</f>
        <v>186300.0</v>
      </c>
      <c r="L320" s="34" t="s">
        <v>48</v>
      </c>
      <c r="M320" s="33" t="n">
        <f>195500</f>
        <v>195500.0</v>
      </c>
      <c r="N320" s="34" t="s">
        <v>287</v>
      </c>
      <c r="O320" s="33" t="n">
        <f>181900</f>
        <v>181900.0</v>
      </c>
      <c r="P320" s="34" t="s">
        <v>114</v>
      </c>
      <c r="Q320" s="33" t="n">
        <f>193400</f>
        <v>193400.0</v>
      </c>
      <c r="R320" s="34" t="s">
        <v>51</v>
      </c>
      <c r="S320" s="35" t="n">
        <f>188361.11</f>
        <v>188361.11</v>
      </c>
      <c r="T320" s="32" t="n">
        <f>44080</f>
        <v>44080.0</v>
      </c>
      <c r="U320" s="32" t="n">
        <f>11739</f>
        <v>11739.0</v>
      </c>
      <c r="V320" s="32" t="n">
        <f>8293579827</f>
        <v>8.293579827E9</v>
      </c>
      <c r="W320" s="32" t="n">
        <f>2200392527</f>
        <v>2.200392527E9</v>
      </c>
      <c r="X320" s="36" t="n">
        <f>18</f>
        <v>18.0</v>
      </c>
    </row>
    <row r="321">
      <c r="A321" s="27" t="s">
        <v>42</v>
      </c>
      <c r="B321" s="27" t="s">
        <v>1007</v>
      </c>
      <c r="C321" s="27" t="s">
        <v>1008</v>
      </c>
      <c r="D321" s="27" t="s">
        <v>1009</v>
      </c>
      <c r="E321" s="28" t="s">
        <v>46</v>
      </c>
      <c r="F321" s="29" t="s">
        <v>46</v>
      </c>
      <c r="G321" s="30" t="s">
        <v>46</v>
      </c>
      <c r="H321" s="31"/>
      <c r="I321" s="31" t="s">
        <v>47</v>
      </c>
      <c r="J321" s="32" t="n">
        <v>1.0</v>
      </c>
      <c r="K321" s="33" t="n">
        <f>126700</f>
        <v>126700.0</v>
      </c>
      <c r="L321" s="34" t="s">
        <v>48</v>
      </c>
      <c r="M321" s="33" t="n">
        <f>128400</f>
        <v>128400.0</v>
      </c>
      <c r="N321" s="34" t="s">
        <v>48</v>
      </c>
      <c r="O321" s="33" t="n">
        <f>119300</f>
        <v>119300.0</v>
      </c>
      <c r="P321" s="34" t="s">
        <v>114</v>
      </c>
      <c r="Q321" s="33" t="n">
        <f>123200</f>
        <v>123200.0</v>
      </c>
      <c r="R321" s="34" t="s">
        <v>51</v>
      </c>
      <c r="S321" s="35" t="n">
        <f>123733.33</f>
        <v>123733.33</v>
      </c>
      <c r="T321" s="32" t="n">
        <f>63820</f>
        <v>63820.0</v>
      </c>
      <c r="U321" s="32" t="n">
        <f>16125</f>
        <v>16125.0</v>
      </c>
      <c r="V321" s="32" t="n">
        <f>7864449423</f>
        <v>7.864449423E9</v>
      </c>
      <c r="W321" s="32" t="n">
        <f>1982024523</f>
        <v>1.982024523E9</v>
      </c>
      <c r="X321" s="36" t="n">
        <f>18</f>
        <v>18.0</v>
      </c>
    </row>
    <row r="322">
      <c r="A322" s="27" t="s">
        <v>42</v>
      </c>
      <c r="B322" s="27" t="s">
        <v>1010</v>
      </c>
      <c r="C322" s="27" t="s">
        <v>1011</v>
      </c>
      <c r="D322" s="27" t="s">
        <v>1012</v>
      </c>
      <c r="E322" s="28" t="s">
        <v>46</v>
      </c>
      <c r="F322" s="29" t="s">
        <v>46</v>
      </c>
      <c r="G322" s="30" t="s">
        <v>46</v>
      </c>
      <c r="H322" s="31"/>
      <c r="I322" s="31" t="s">
        <v>47</v>
      </c>
      <c r="J322" s="32" t="n">
        <v>1.0</v>
      </c>
      <c r="K322" s="33" t="n">
        <f>165200</f>
        <v>165200.0</v>
      </c>
      <c r="L322" s="34" t="s">
        <v>48</v>
      </c>
      <c r="M322" s="33" t="n">
        <f>168000</f>
        <v>168000.0</v>
      </c>
      <c r="N322" s="34" t="s">
        <v>48</v>
      </c>
      <c r="O322" s="33" t="n">
        <f>156400</f>
        <v>156400.0</v>
      </c>
      <c r="P322" s="34" t="s">
        <v>51</v>
      </c>
      <c r="Q322" s="33" t="n">
        <f>157000</f>
        <v>157000.0</v>
      </c>
      <c r="R322" s="34" t="s">
        <v>51</v>
      </c>
      <c r="S322" s="35" t="n">
        <f>162844.44</f>
        <v>162844.44</v>
      </c>
      <c r="T322" s="32" t="n">
        <f>246275</f>
        <v>246275.0</v>
      </c>
      <c r="U322" s="32" t="n">
        <f>56492</f>
        <v>56492.0</v>
      </c>
      <c r="V322" s="32" t="n">
        <f>40056860414</f>
        <v>4.0056860414E10</v>
      </c>
      <c r="W322" s="32" t="n">
        <f>9170714514</f>
        <v>9.170714514E9</v>
      </c>
      <c r="X322" s="36" t="n">
        <f>18</f>
        <v>18.0</v>
      </c>
    </row>
    <row r="323">
      <c r="A323" s="27" t="s">
        <v>42</v>
      </c>
      <c r="B323" s="27" t="s">
        <v>1013</v>
      </c>
      <c r="C323" s="27" t="s">
        <v>1014</v>
      </c>
      <c r="D323" s="27" t="s">
        <v>1015</v>
      </c>
      <c r="E323" s="28" t="s">
        <v>46</v>
      </c>
      <c r="F323" s="29" t="s">
        <v>46</v>
      </c>
      <c r="G323" s="30" t="s">
        <v>46</v>
      </c>
      <c r="H323" s="31"/>
      <c r="I323" s="31" t="s">
        <v>47</v>
      </c>
      <c r="J323" s="32" t="n">
        <v>1.0</v>
      </c>
      <c r="K323" s="33" t="n">
        <f>158500</f>
        <v>158500.0</v>
      </c>
      <c r="L323" s="34" t="s">
        <v>48</v>
      </c>
      <c r="M323" s="33" t="n">
        <f>159700</f>
        <v>159700.0</v>
      </c>
      <c r="N323" s="34" t="s">
        <v>48</v>
      </c>
      <c r="O323" s="33" t="n">
        <f>152900</f>
        <v>152900.0</v>
      </c>
      <c r="P323" s="34" t="s">
        <v>114</v>
      </c>
      <c r="Q323" s="33" t="n">
        <f>155800</f>
        <v>155800.0</v>
      </c>
      <c r="R323" s="34" t="s">
        <v>51</v>
      </c>
      <c r="S323" s="35" t="n">
        <f>155800</f>
        <v>155800.0</v>
      </c>
      <c r="T323" s="32" t="n">
        <f>73912</f>
        <v>73912.0</v>
      </c>
      <c r="U323" s="32" t="n">
        <f>15733</f>
        <v>15733.0</v>
      </c>
      <c r="V323" s="32" t="n">
        <f>11502656746</f>
        <v>1.1502656746E10</v>
      </c>
      <c r="W323" s="32" t="n">
        <f>2445677946</f>
        <v>2.445677946E9</v>
      </c>
      <c r="X323" s="36" t="n">
        <f>18</f>
        <v>18.0</v>
      </c>
    </row>
    <row r="324">
      <c r="A324" s="27" t="s">
        <v>42</v>
      </c>
      <c r="B324" s="27" t="s">
        <v>1016</v>
      </c>
      <c r="C324" s="27" t="s">
        <v>1017</v>
      </c>
      <c r="D324" s="27" t="s">
        <v>1018</v>
      </c>
      <c r="E324" s="28" t="s">
        <v>46</v>
      </c>
      <c r="F324" s="29" t="s">
        <v>46</v>
      </c>
      <c r="G324" s="30" t="s">
        <v>46</v>
      </c>
      <c r="H324" s="31"/>
      <c r="I324" s="31" t="s">
        <v>47</v>
      </c>
      <c r="J324" s="32" t="n">
        <v>1.0</v>
      </c>
      <c r="K324" s="33" t="n">
        <f>39500</f>
        <v>39500.0</v>
      </c>
      <c r="L324" s="34" t="s">
        <v>48</v>
      </c>
      <c r="M324" s="33" t="n">
        <f>45200</f>
        <v>45200.0</v>
      </c>
      <c r="N324" s="34" t="s">
        <v>287</v>
      </c>
      <c r="O324" s="33" t="n">
        <f>39450</f>
        <v>39450.0</v>
      </c>
      <c r="P324" s="34" t="s">
        <v>48</v>
      </c>
      <c r="Q324" s="33" t="n">
        <f>44600</f>
        <v>44600.0</v>
      </c>
      <c r="R324" s="34" t="s">
        <v>51</v>
      </c>
      <c r="S324" s="35" t="n">
        <f>43505.56</f>
        <v>43505.56</v>
      </c>
      <c r="T324" s="32" t="n">
        <f>938153</f>
        <v>938153.0</v>
      </c>
      <c r="U324" s="32" t="n">
        <f>279230</f>
        <v>279230.0</v>
      </c>
      <c r="V324" s="32" t="n">
        <f>40640407518</f>
        <v>4.0640407518E10</v>
      </c>
      <c r="W324" s="32" t="n">
        <f>12015912418</f>
        <v>1.2015912418E10</v>
      </c>
      <c r="X324" s="36" t="n">
        <f>18</f>
        <v>18.0</v>
      </c>
    </row>
    <row r="325">
      <c r="A325" s="27" t="s">
        <v>42</v>
      </c>
      <c r="B325" s="27" t="s">
        <v>1019</v>
      </c>
      <c r="C325" s="27" t="s">
        <v>1020</v>
      </c>
      <c r="D325" s="27" t="s">
        <v>1021</v>
      </c>
      <c r="E325" s="28" t="s">
        <v>46</v>
      </c>
      <c r="F325" s="29" t="s">
        <v>46</v>
      </c>
      <c r="G325" s="30" t="s">
        <v>46</v>
      </c>
      <c r="H325" s="31"/>
      <c r="I325" s="31" t="s">
        <v>47</v>
      </c>
      <c r="J325" s="32" t="n">
        <v>1.0</v>
      </c>
      <c r="K325" s="33" t="n">
        <f>483000</f>
        <v>483000.0</v>
      </c>
      <c r="L325" s="34" t="s">
        <v>48</v>
      </c>
      <c r="M325" s="33" t="n">
        <f>508000</f>
        <v>508000.0</v>
      </c>
      <c r="N325" s="34" t="s">
        <v>84</v>
      </c>
      <c r="O325" s="33" t="n">
        <f>475500</f>
        <v>475500.0</v>
      </c>
      <c r="P325" s="34" t="s">
        <v>50</v>
      </c>
      <c r="Q325" s="33" t="n">
        <f>504000</f>
        <v>504000.0</v>
      </c>
      <c r="R325" s="34" t="s">
        <v>51</v>
      </c>
      <c r="S325" s="35" t="n">
        <f>489916.67</f>
        <v>489916.67</v>
      </c>
      <c r="T325" s="32" t="n">
        <f>41377</f>
        <v>41377.0</v>
      </c>
      <c r="U325" s="32" t="n">
        <f>8370</f>
        <v>8370.0</v>
      </c>
      <c r="V325" s="32" t="n">
        <f>20225123408</f>
        <v>2.0225123408E10</v>
      </c>
      <c r="W325" s="32" t="n">
        <f>4084844908</f>
        <v>4.084844908E9</v>
      </c>
      <c r="X325" s="36" t="n">
        <f>18</f>
        <v>18.0</v>
      </c>
    </row>
    <row r="326">
      <c r="A326" s="27" t="s">
        <v>42</v>
      </c>
      <c r="B326" s="27" t="s">
        <v>1022</v>
      </c>
      <c r="C326" s="27" t="s">
        <v>1023</v>
      </c>
      <c r="D326" s="27" t="s">
        <v>1024</v>
      </c>
      <c r="E326" s="28" t="s">
        <v>46</v>
      </c>
      <c r="F326" s="29" t="s">
        <v>46</v>
      </c>
      <c r="G326" s="30" t="s">
        <v>46</v>
      </c>
      <c r="H326" s="31"/>
      <c r="I326" s="31" t="s">
        <v>47</v>
      </c>
      <c r="J326" s="32" t="n">
        <v>1.0</v>
      </c>
      <c r="K326" s="33" t="n">
        <f>164900</f>
        <v>164900.0</v>
      </c>
      <c r="L326" s="34" t="s">
        <v>48</v>
      </c>
      <c r="M326" s="33" t="n">
        <f>169600</f>
        <v>169600.0</v>
      </c>
      <c r="N326" s="34" t="s">
        <v>335</v>
      </c>
      <c r="O326" s="33" t="n">
        <f>159700</f>
        <v>159700.0</v>
      </c>
      <c r="P326" s="34" t="s">
        <v>114</v>
      </c>
      <c r="Q326" s="33" t="n">
        <f>162900</f>
        <v>162900.0</v>
      </c>
      <c r="R326" s="34" t="s">
        <v>51</v>
      </c>
      <c r="S326" s="35" t="n">
        <f>164816.67</f>
        <v>164816.67</v>
      </c>
      <c r="T326" s="32" t="n">
        <f>80300</f>
        <v>80300.0</v>
      </c>
      <c r="U326" s="32" t="n">
        <f>19844</f>
        <v>19844.0</v>
      </c>
      <c r="V326" s="32" t="n">
        <f>13255345559</f>
        <v>1.3255345559E10</v>
      </c>
      <c r="W326" s="32" t="n">
        <f>3259786259</f>
        <v>3.259786259E9</v>
      </c>
      <c r="X326" s="36" t="n">
        <f>18</f>
        <v>18.0</v>
      </c>
    </row>
    <row r="327">
      <c r="A327" s="27" t="s">
        <v>42</v>
      </c>
      <c r="B327" s="27" t="s">
        <v>1025</v>
      </c>
      <c r="C327" s="27" t="s">
        <v>1026</v>
      </c>
      <c r="D327" s="27" t="s">
        <v>1027</v>
      </c>
      <c r="E327" s="28" t="s">
        <v>46</v>
      </c>
      <c r="F327" s="29" t="s">
        <v>46</v>
      </c>
      <c r="G327" s="30" t="s">
        <v>46</v>
      </c>
      <c r="H327" s="31"/>
      <c r="I327" s="31" t="s">
        <v>47</v>
      </c>
      <c r="J327" s="32" t="n">
        <v>1.0</v>
      </c>
      <c r="K327" s="33" t="n">
        <f>315000</f>
        <v>315000.0</v>
      </c>
      <c r="L327" s="34" t="s">
        <v>48</v>
      </c>
      <c r="M327" s="33" t="n">
        <f>320500</f>
        <v>320500.0</v>
      </c>
      <c r="N327" s="34" t="s">
        <v>85</v>
      </c>
      <c r="O327" s="33" t="n">
        <f>305500</f>
        <v>305500.0</v>
      </c>
      <c r="P327" s="34" t="s">
        <v>114</v>
      </c>
      <c r="Q327" s="33" t="n">
        <f>309000</f>
        <v>309000.0</v>
      </c>
      <c r="R327" s="34" t="s">
        <v>51</v>
      </c>
      <c r="S327" s="35" t="n">
        <f>311722.22</f>
        <v>311722.22</v>
      </c>
      <c r="T327" s="32" t="n">
        <f>55935</f>
        <v>55935.0</v>
      </c>
      <c r="U327" s="32" t="n">
        <f>12017</f>
        <v>12017.0</v>
      </c>
      <c r="V327" s="32" t="n">
        <f>17423539912</f>
        <v>1.7423539912E10</v>
      </c>
      <c r="W327" s="32" t="n">
        <f>3737021912</f>
        <v>3.737021912E9</v>
      </c>
      <c r="X327" s="36" t="n">
        <f>18</f>
        <v>18.0</v>
      </c>
    </row>
    <row r="328">
      <c r="A328" s="27" t="s">
        <v>42</v>
      </c>
      <c r="B328" s="27" t="s">
        <v>1028</v>
      </c>
      <c r="C328" s="27" t="s">
        <v>1029</v>
      </c>
      <c r="D328" s="27" t="s">
        <v>1030</v>
      </c>
      <c r="E328" s="28" t="s">
        <v>46</v>
      </c>
      <c r="F328" s="29" t="s">
        <v>46</v>
      </c>
      <c r="G328" s="30" t="s">
        <v>46</v>
      </c>
      <c r="H328" s="31"/>
      <c r="I328" s="31" t="s">
        <v>47</v>
      </c>
      <c r="J328" s="32" t="n">
        <v>1.0</v>
      </c>
      <c r="K328" s="33" t="n">
        <f>179500</f>
        <v>179500.0</v>
      </c>
      <c r="L328" s="34" t="s">
        <v>48</v>
      </c>
      <c r="M328" s="33" t="n">
        <f>181700</f>
        <v>181700.0</v>
      </c>
      <c r="N328" s="34" t="s">
        <v>48</v>
      </c>
      <c r="O328" s="33" t="n">
        <f>171000</f>
        <v>171000.0</v>
      </c>
      <c r="P328" s="34" t="s">
        <v>114</v>
      </c>
      <c r="Q328" s="33" t="n">
        <f>178100</f>
        <v>178100.0</v>
      </c>
      <c r="R328" s="34" t="s">
        <v>51</v>
      </c>
      <c r="S328" s="35" t="n">
        <f>176083.33</f>
        <v>176083.33</v>
      </c>
      <c r="T328" s="32" t="n">
        <f>46573</f>
        <v>46573.0</v>
      </c>
      <c r="U328" s="32" t="n">
        <f>10377</f>
        <v>10377.0</v>
      </c>
      <c r="V328" s="32" t="n">
        <f>8186284976</f>
        <v>8.186284976E9</v>
      </c>
      <c r="W328" s="32" t="n">
        <f>1821296276</f>
        <v>1.821296276E9</v>
      </c>
      <c r="X328" s="36" t="n">
        <f>18</f>
        <v>18.0</v>
      </c>
    </row>
    <row r="329">
      <c r="A329" s="27" t="s">
        <v>42</v>
      </c>
      <c r="B329" s="27" t="s">
        <v>1031</v>
      </c>
      <c r="C329" s="27" t="s">
        <v>1032</v>
      </c>
      <c r="D329" s="27" t="s">
        <v>1033</v>
      </c>
      <c r="E329" s="28" t="s">
        <v>46</v>
      </c>
      <c r="F329" s="29" t="s">
        <v>46</v>
      </c>
      <c r="G329" s="30" t="s">
        <v>46</v>
      </c>
      <c r="H329" s="31"/>
      <c r="I329" s="31" t="s">
        <v>47</v>
      </c>
      <c r="J329" s="32" t="n">
        <v>1.0</v>
      </c>
      <c r="K329" s="33" t="n">
        <f>821000</f>
        <v>821000.0</v>
      </c>
      <c r="L329" s="34" t="s">
        <v>48</v>
      </c>
      <c r="M329" s="33" t="n">
        <f>824000</f>
        <v>824000.0</v>
      </c>
      <c r="N329" s="34" t="s">
        <v>287</v>
      </c>
      <c r="O329" s="33" t="n">
        <f>778000</f>
        <v>778000.0</v>
      </c>
      <c r="P329" s="34" t="s">
        <v>480</v>
      </c>
      <c r="Q329" s="33" t="n">
        <f>812000</f>
        <v>812000.0</v>
      </c>
      <c r="R329" s="34" t="s">
        <v>51</v>
      </c>
      <c r="S329" s="35" t="n">
        <f>801000</f>
        <v>801000.0</v>
      </c>
      <c r="T329" s="32" t="n">
        <f>39165</f>
        <v>39165.0</v>
      </c>
      <c r="U329" s="32" t="n">
        <f>7794</f>
        <v>7794.0</v>
      </c>
      <c r="V329" s="32" t="n">
        <f>31379932067</f>
        <v>3.1379932067E10</v>
      </c>
      <c r="W329" s="32" t="n">
        <f>6232101067</f>
        <v>6.232101067E9</v>
      </c>
      <c r="X329" s="36" t="n">
        <f>18</f>
        <v>18.0</v>
      </c>
    </row>
    <row r="330">
      <c r="A330" s="27" t="s">
        <v>42</v>
      </c>
      <c r="B330" s="27" t="s">
        <v>1034</v>
      </c>
      <c r="C330" s="27" t="s">
        <v>1035</v>
      </c>
      <c r="D330" s="27" t="s">
        <v>1036</v>
      </c>
      <c r="E330" s="28" t="s">
        <v>46</v>
      </c>
      <c r="F330" s="29" t="s">
        <v>46</v>
      </c>
      <c r="G330" s="30" t="s">
        <v>46</v>
      </c>
      <c r="H330" s="31"/>
      <c r="I330" s="31" t="s">
        <v>47</v>
      </c>
      <c r="J330" s="32" t="n">
        <v>1.0</v>
      </c>
      <c r="K330" s="33" t="n">
        <f>96900</f>
        <v>96900.0</v>
      </c>
      <c r="L330" s="34" t="s">
        <v>48</v>
      </c>
      <c r="M330" s="33" t="n">
        <f>97900</f>
        <v>97900.0</v>
      </c>
      <c r="N330" s="34" t="s">
        <v>48</v>
      </c>
      <c r="O330" s="33" t="n">
        <f>91700</f>
        <v>91700.0</v>
      </c>
      <c r="P330" s="34" t="s">
        <v>114</v>
      </c>
      <c r="Q330" s="33" t="n">
        <f>96700</f>
        <v>96700.0</v>
      </c>
      <c r="R330" s="34" t="s">
        <v>51</v>
      </c>
      <c r="S330" s="35" t="n">
        <f>94627.78</f>
        <v>94627.78</v>
      </c>
      <c r="T330" s="32" t="n">
        <f>78032</f>
        <v>78032.0</v>
      </c>
      <c r="U330" s="32" t="n">
        <f>16869</f>
        <v>16869.0</v>
      </c>
      <c r="V330" s="32" t="n">
        <f>7370841176</f>
        <v>7.370841176E9</v>
      </c>
      <c r="W330" s="32" t="n">
        <f>1592995376</f>
        <v>1.592995376E9</v>
      </c>
      <c r="X330" s="36" t="n">
        <f>18</f>
        <v>18.0</v>
      </c>
    </row>
    <row r="331">
      <c r="A331" s="27" t="s">
        <v>42</v>
      </c>
      <c r="B331" s="27" t="s">
        <v>1037</v>
      </c>
      <c r="C331" s="27" t="s">
        <v>1038</v>
      </c>
      <c r="D331" s="27" t="s">
        <v>1039</v>
      </c>
      <c r="E331" s="28" t="s">
        <v>46</v>
      </c>
      <c r="F331" s="29" t="s">
        <v>46</v>
      </c>
      <c r="G331" s="30" t="s">
        <v>46</v>
      </c>
      <c r="H331" s="31"/>
      <c r="I331" s="31" t="s">
        <v>47</v>
      </c>
      <c r="J331" s="32" t="n">
        <v>1.0</v>
      </c>
      <c r="K331" s="33" t="n">
        <f>800000</f>
        <v>800000.0</v>
      </c>
      <c r="L331" s="34" t="s">
        <v>48</v>
      </c>
      <c r="M331" s="33" t="n">
        <f>801000</f>
        <v>801000.0</v>
      </c>
      <c r="N331" s="34" t="s">
        <v>48</v>
      </c>
      <c r="O331" s="33" t="n">
        <f>758000</f>
        <v>758000.0</v>
      </c>
      <c r="P331" s="34" t="s">
        <v>50</v>
      </c>
      <c r="Q331" s="33" t="n">
        <f>778000</f>
        <v>778000.0</v>
      </c>
      <c r="R331" s="34" t="s">
        <v>51</v>
      </c>
      <c r="S331" s="35" t="n">
        <f>777777.78</f>
        <v>777777.78</v>
      </c>
      <c r="T331" s="32" t="n">
        <f>32585</f>
        <v>32585.0</v>
      </c>
      <c r="U331" s="32" t="n">
        <f>4615</f>
        <v>4615.0</v>
      </c>
      <c r="V331" s="32" t="n">
        <f>25353790095</f>
        <v>2.5353790095E10</v>
      </c>
      <c r="W331" s="32" t="n">
        <f>3589472095</f>
        <v>3.589472095E9</v>
      </c>
      <c r="X331" s="36" t="n">
        <f>18</f>
        <v>18.0</v>
      </c>
    </row>
    <row r="332">
      <c r="A332" s="27" t="s">
        <v>42</v>
      </c>
      <c r="B332" s="27" t="s">
        <v>1040</v>
      </c>
      <c r="C332" s="27" t="s">
        <v>1041</v>
      </c>
      <c r="D332" s="27" t="s">
        <v>1042</v>
      </c>
      <c r="E332" s="28" t="s">
        <v>46</v>
      </c>
      <c r="F332" s="29" t="s">
        <v>46</v>
      </c>
      <c r="G332" s="30" t="s">
        <v>46</v>
      </c>
      <c r="H332" s="31"/>
      <c r="I332" s="31" t="s">
        <v>47</v>
      </c>
      <c r="J332" s="32" t="n">
        <v>1.0</v>
      </c>
      <c r="K332" s="33" t="n">
        <f>153600</f>
        <v>153600.0</v>
      </c>
      <c r="L332" s="34" t="s">
        <v>48</v>
      </c>
      <c r="M332" s="33" t="n">
        <f>158800</f>
        <v>158800.0</v>
      </c>
      <c r="N332" s="34" t="s">
        <v>101</v>
      </c>
      <c r="O332" s="33" t="n">
        <f>151100</f>
        <v>151100.0</v>
      </c>
      <c r="P332" s="34" t="s">
        <v>114</v>
      </c>
      <c r="Q332" s="33" t="n">
        <f>154500</f>
        <v>154500.0</v>
      </c>
      <c r="R332" s="34" t="s">
        <v>51</v>
      </c>
      <c r="S332" s="35" t="n">
        <f>154755.56</f>
        <v>154755.56</v>
      </c>
      <c r="T332" s="32" t="n">
        <f>44624</f>
        <v>44624.0</v>
      </c>
      <c r="U332" s="32" t="n">
        <f>8182</f>
        <v>8182.0</v>
      </c>
      <c r="V332" s="32" t="n">
        <f>6908504390</f>
        <v>6.90850439E9</v>
      </c>
      <c r="W332" s="32" t="n">
        <f>1262491890</f>
        <v>1.26249189E9</v>
      </c>
      <c r="X332" s="36" t="n">
        <f>18</f>
        <v>18.0</v>
      </c>
    </row>
    <row r="333">
      <c r="A333" s="27" t="s">
        <v>42</v>
      </c>
      <c r="B333" s="27" t="s">
        <v>1043</v>
      </c>
      <c r="C333" s="27" t="s">
        <v>1044</v>
      </c>
      <c r="D333" s="27" t="s">
        <v>1045</v>
      </c>
      <c r="E333" s="28" t="s">
        <v>46</v>
      </c>
      <c r="F333" s="29" t="s">
        <v>46</v>
      </c>
      <c r="G333" s="30" t="s">
        <v>46</v>
      </c>
      <c r="H333" s="31"/>
      <c r="I333" s="31" t="s">
        <v>625</v>
      </c>
      <c r="J333" s="32" t="n">
        <v>1.0</v>
      </c>
      <c r="K333" s="33" t="n">
        <f>227400</f>
        <v>227400.0</v>
      </c>
      <c r="L333" s="34" t="s">
        <v>48</v>
      </c>
      <c r="M333" s="33" t="n">
        <f>230000</f>
        <v>230000.0</v>
      </c>
      <c r="N333" s="34" t="s">
        <v>287</v>
      </c>
      <c r="O333" s="33" t="n">
        <f>219100</f>
        <v>219100.0</v>
      </c>
      <c r="P333" s="34" t="s">
        <v>114</v>
      </c>
      <c r="Q333" s="33" t="n">
        <f>226000</f>
        <v>226000.0</v>
      </c>
      <c r="R333" s="34" t="s">
        <v>51</v>
      </c>
      <c r="S333" s="35" t="n">
        <f>224411.11</f>
        <v>224411.11</v>
      </c>
      <c r="T333" s="32" t="n">
        <f>12081</f>
        <v>12081.0</v>
      </c>
      <c r="U333" s="32" t="n">
        <f>2400</f>
        <v>2400.0</v>
      </c>
      <c r="V333" s="32" t="n">
        <f>2709273925</f>
        <v>2.709273925E9</v>
      </c>
      <c r="W333" s="32" t="n">
        <f>535952225</f>
        <v>5.35952225E8</v>
      </c>
      <c r="X333" s="36" t="n">
        <f>18</f>
        <v>18.0</v>
      </c>
    </row>
    <row r="334">
      <c r="A334" s="27" t="s">
        <v>42</v>
      </c>
      <c r="B334" s="27" t="s">
        <v>1046</v>
      </c>
      <c r="C334" s="27" t="s">
        <v>1047</v>
      </c>
      <c r="D334" s="27" t="s">
        <v>1048</v>
      </c>
      <c r="E334" s="28" t="s">
        <v>46</v>
      </c>
      <c r="F334" s="29" t="s">
        <v>46</v>
      </c>
      <c r="G334" s="30" t="s">
        <v>46</v>
      </c>
      <c r="H334" s="31"/>
      <c r="I334" s="31" t="s">
        <v>47</v>
      </c>
      <c r="J334" s="32" t="n">
        <v>1.0</v>
      </c>
      <c r="K334" s="33" t="n">
        <f>298100</f>
        <v>298100.0</v>
      </c>
      <c r="L334" s="34" t="s">
        <v>48</v>
      </c>
      <c r="M334" s="33" t="n">
        <f>308500</f>
        <v>308500.0</v>
      </c>
      <c r="N334" s="34" t="s">
        <v>51</v>
      </c>
      <c r="O334" s="33" t="n">
        <f>294200</f>
        <v>294200.0</v>
      </c>
      <c r="P334" s="34" t="s">
        <v>50</v>
      </c>
      <c r="Q334" s="33" t="n">
        <f>306000</f>
        <v>306000.0</v>
      </c>
      <c r="R334" s="34" t="s">
        <v>51</v>
      </c>
      <c r="S334" s="35" t="n">
        <f>299538.89</f>
        <v>299538.89</v>
      </c>
      <c r="T334" s="32" t="n">
        <f>173046</f>
        <v>173046.0</v>
      </c>
      <c r="U334" s="32" t="n">
        <f>39039</f>
        <v>39039.0</v>
      </c>
      <c r="V334" s="32" t="n">
        <f>51931713422</f>
        <v>5.1931713422E10</v>
      </c>
      <c r="W334" s="32" t="n">
        <f>11706199822</f>
        <v>1.1706199822E10</v>
      </c>
      <c r="X334" s="36" t="n">
        <f>18</f>
        <v>18.0</v>
      </c>
    </row>
    <row r="335">
      <c r="A335" s="27" t="s">
        <v>42</v>
      </c>
      <c r="B335" s="27" t="s">
        <v>1049</v>
      </c>
      <c r="C335" s="27" t="s">
        <v>1050</v>
      </c>
      <c r="D335" s="27" t="s">
        <v>1051</v>
      </c>
      <c r="E335" s="28" t="s">
        <v>46</v>
      </c>
      <c r="F335" s="29" t="s">
        <v>46</v>
      </c>
      <c r="G335" s="30" t="s">
        <v>46</v>
      </c>
      <c r="H335" s="31"/>
      <c r="I335" s="31" t="s">
        <v>47</v>
      </c>
      <c r="J335" s="32" t="n">
        <v>1.0</v>
      </c>
      <c r="K335" s="33" t="n">
        <f>62000</f>
        <v>62000.0</v>
      </c>
      <c r="L335" s="34" t="s">
        <v>48</v>
      </c>
      <c r="M335" s="33" t="n">
        <f>67500</f>
        <v>67500.0</v>
      </c>
      <c r="N335" s="34" t="s">
        <v>319</v>
      </c>
      <c r="O335" s="33" t="n">
        <f>61000</f>
        <v>61000.0</v>
      </c>
      <c r="P335" s="34" t="s">
        <v>130</v>
      </c>
      <c r="Q335" s="33" t="n">
        <f>67200</f>
        <v>67200.0</v>
      </c>
      <c r="R335" s="34" t="s">
        <v>51</v>
      </c>
      <c r="S335" s="35" t="n">
        <f>65266.67</f>
        <v>65266.67</v>
      </c>
      <c r="T335" s="32" t="n">
        <f>467980</f>
        <v>467980.0</v>
      </c>
      <c r="U335" s="32" t="n">
        <f>155909</f>
        <v>155909.0</v>
      </c>
      <c r="V335" s="32" t="n">
        <f>30460197525</f>
        <v>3.0460197525E10</v>
      </c>
      <c r="W335" s="32" t="n">
        <f>10122933125</f>
        <v>1.0122933125E10</v>
      </c>
      <c r="X335" s="36" t="n">
        <f>18</f>
        <v>18.0</v>
      </c>
    </row>
    <row r="336">
      <c r="A336" s="27" t="s">
        <v>42</v>
      </c>
      <c r="B336" s="27" t="s">
        <v>1052</v>
      </c>
      <c r="C336" s="27" t="s">
        <v>1053</v>
      </c>
      <c r="D336" s="27" t="s">
        <v>1054</v>
      </c>
      <c r="E336" s="28" t="s">
        <v>46</v>
      </c>
      <c r="F336" s="29" t="s">
        <v>46</v>
      </c>
      <c r="G336" s="30" t="s">
        <v>46</v>
      </c>
      <c r="H336" s="31"/>
      <c r="I336" s="31" t="s">
        <v>47</v>
      </c>
      <c r="J336" s="32" t="n">
        <v>1.0</v>
      </c>
      <c r="K336" s="33" t="n">
        <f>111500</f>
        <v>111500.0</v>
      </c>
      <c r="L336" s="34" t="s">
        <v>48</v>
      </c>
      <c r="M336" s="33" t="n">
        <f>113100</f>
        <v>113100.0</v>
      </c>
      <c r="N336" s="34" t="s">
        <v>61</v>
      </c>
      <c r="O336" s="33" t="n">
        <f>110400</f>
        <v>110400.0</v>
      </c>
      <c r="P336" s="34" t="s">
        <v>49</v>
      </c>
      <c r="Q336" s="33" t="n">
        <f>112000</f>
        <v>112000.0</v>
      </c>
      <c r="R336" s="34" t="s">
        <v>51</v>
      </c>
      <c r="S336" s="35" t="n">
        <f>111961.11</f>
        <v>111961.11</v>
      </c>
      <c r="T336" s="32" t="n">
        <f>115784</f>
        <v>115784.0</v>
      </c>
      <c r="U336" s="32" t="n">
        <f>28967</f>
        <v>28967.0</v>
      </c>
      <c r="V336" s="32" t="n">
        <f>12944821137</f>
        <v>1.2944821137E10</v>
      </c>
      <c r="W336" s="32" t="n">
        <f>3237153237</f>
        <v>3.237153237E9</v>
      </c>
      <c r="X336" s="36" t="n">
        <f>18</f>
        <v>18.0</v>
      </c>
    </row>
    <row r="337">
      <c r="A337" s="27" t="s">
        <v>42</v>
      </c>
      <c r="B337" s="27" t="s">
        <v>1055</v>
      </c>
      <c r="C337" s="27" t="s">
        <v>1056</v>
      </c>
      <c r="D337" s="27" t="s">
        <v>1057</v>
      </c>
      <c r="E337" s="28" t="s">
        <v>46</v>
      </c>
      <c r="F337" s="29" t="s">
        <v>46</v>
      </c>
      <c r="G337" s="30" t="s">
        <v>46</v>
      </c>
      <c r="H337" s="31"/>
      <c r="I337" s="31" t="s">
        <v>47</v>
      </c>
      <c r="J337" s="32" t="n">
        <v>1.0</v>
      </c>
      <c r="K337" s="33" t="n">
        <f>153200</f>
        <v>153200.0</v>
      </c>
      <c r="L337" s="34" t="s">
        <v>48</v>
      </c>
      <c r="M337" s="33" t="n">
        <f>158000</f>
        <v>158000.0</v>
      </c>
      <c r="N337" s="34" t="s">
        <v>84</v>
      </c>
      <c r="O337" s="33" t="n">
        <f>147600</f>
        <v>147600.0</v>
      </c>
      <c r="P337" s="34" t="s">
        <v>50</v>
      </c>
      <c r="Q337" s="33" t="n">
        <f>157200</f>
        <v>157200.0</v>
      </c>
      <c r="R337" s="34" t="s">
        <v>51</v>
      </c>
      <c r="S337" s="35" t="n">
        <f>152944.44</f>
        <v>152944.44</v>
      </c>
      <c r="T337" s="32" t="n">
        <f>111967</f>
        <v>111967.0</v>
      </c>
      <c r="U337" s="32" t="n">
        <f>26383</f>
        <v>26383.0</v>
      </c>
      <c r="V337" s="32" t="n">
        <f>17137053699</f>
        <v>1.7137053699E10</v>
      </c>
      <c r="W337" s="32" t="n">
        <f>4039887899</f>
        <v>4.039887899E9</v>
      </c>
      <c r="X337" s="36" t="n">
        <f>18</f>
        <v>18.0</v>
      </c>
    </row>
    <row r="338">
      <c r="A338" s="27" t="s">
        <v>42</v>
      </c>
      <c r="B338" s="27" t="s">
        <v>1058</v>
      </c>
      <c r="C338" s="27" t="s">
        <v>1059</v>
      </c>
      <c r="D338" s="27" t="s">
        <v>1060</v>
      </c>
      <c r="E338" s="28" t="s">
        <v>46</v>
      </c>
      <c r="F338" s="29" t="s">
        <v>46</v>
      </c>
      <c r="G338" s="30" t="s">
        <v>46</v>
      </c>
      <c r="H338" s="31"/>
      <c r="I338" s="31" t="s">
        <v>47</v>
      </c>
      <c r="J338" s="32" t="n">
        <v>1.0</v>
      </c>
      <c r="K338" s="33" t="n">
        <f>126000</f>
        <v>126000.0</v>
      </c>
      <c r="L338" s="34" t="s">
        <v>48</v>
      </c>
      <c r="M338" s="33" t="n">
        <f>126900</f>
        <v>126900.0</v>
      </c>
      <c r="N338" s="34" t="s">
        <v>49</v>
      </c>
      <c r="O338" s="33" t="n">
        <f>119300</f>
        <v>119300.0</v>
      </c>
      <c r="P338" s="34" t="s">
        <v>84</v>
      </c>
      <c r="Q338" s="33" t="n">
        <f>121100</f>
        <v>121100.0</v>
      </c>
      <c r="R338" s="34" t="s">
        <v>51</v>
      </c>
      <c r="S338" s="35" t="n">
        <f>124666.67</f>
        <v>124666.67</v>
      </c>
      <c r="T338" s="32" t="n">
        <f>15972</f>
        <v>15972.0</v>
      </c>
      <c r="U338" s="32" t="n">
        <f>723</f>
        <v>723.0</v>
      </c>
      <c r="V338" s="32" t="n">
        <f>1979787650</f>
        <v>1.97978765E9</v>
      </c>
      <c r="W338" s="32" t="n">
        <f>89468150</f>
        <v>8.946815E7</v>
      </c>
      <c r="X338" s="36" t="n">
        <f>18</f>
        <v>18.0</v>
      </c>
    </row>
    <row r="339">
      <c r="A339" s="27" t="s">
        <v>42</v>
      </c>
      <c r="B339" s="27" t="s">
        <v>1061</v>
      </c>
      <c r="C339" s="27" t="s">
        <v>1062</v>
      </c>
      <c r="D339" s="27" t="s">
        <v>1063</v>
      </c>
      <c r="E339" s="28" t="s">
        <v>46</v>
      </c>
      <c r="F339" s="29" t="s">
        <v>46</v>
      </c>
      <c r="G339" s="30" t="s">
        <v>46</v>
      </c>
      <c r="H339" s="31"/>
      <c r="I339" s="31" t="s">
        <v>625</v>
      </c>
      <c r="J339" s="32" t="n">
        <v>1.0</v>
      </c>
      <c r="K339" s="33" t="n">
        <f>70700</f>
        <v>70700.0</v>
      </c>
      <c r="L339" s="34" t="s">
        <v>48</v>
      </c>
      <c r="M339" s="33" t="n">
        <f>71500</f>
        <v>71500.0</v>
      </c>
      <c r="N339" s="34" t="s">
        <v>51</v>
      </c>
      <c r="O339" s="33" t="n">
        <f>68000</f>
        <v>68000.0</v>
      </c>
      <c r="P339" s="34" t="s">
        <v>50</v>
      </c>
      <c r="Q339" s="33" t="n">
        <f>71400</f>
        <v>71400.0</v>
      </c>
      <c r="R339" s="34" t="s">
        <v>51</v>
      </c>
      <c r="S339" s="35" t="n">
        <f>69733.33</f>
        <v>69733.33</v>
      </c>
      <c r="T339" s="32" t="n">
        <f>4147</f>
        <v>4147.0</v>
      </c>
      <c r="U339" s="32" t="n">
        <f>25</f>
        <v>25.0</v>
      </c>
      <c r="V339" s="32" t="n">
        <f>289189800</f>
        <v>2.891898E8</v>
      </c>
      <c r="W339" s="32" t="n">
        <f>1738900</f>
        <v>1738900.0</v>
      </c>
      <c r="X339" s="36" t="n">
        <f>18</f>
        <v>18.0</v>
      </c>
    </row>
    <row r="340">
      <c r="A340" s="27" t="s">
        <v>42</v>
      </c>
      <c r="B340" s="27" t="s">
        <v>1064</v>
      </c>
      <c r="C340" s="27" t="s">
        <v>1065</v>
      </c>
      <c r="D340" s="27" t="s">
        <v>1066</v>
      </c>
      <c r="E340" s="28" t="s">
        <v>46</v>
      </c>
      <c r="F340" s="29" t="s">
        <v>46</v>
      </c>
      <c r="G340" s="30" t="s">
        <v>46</v>
      </c>
      <c r="H340" s="31"/>
      <c r="I340" s="31" t="s">
        <v>625</v>
      </c>
      <c r="J340" s="32" t="n">
        <v>1.0</v>
      </c>
      <c r="K340" s="33" t="n">
        <f>108200</f>
        <v>108200.0</v>
      </c>
      <c r="L340" s="34" t="s">
        <v>48</v>
      </c>
      <c r="M340" s="33" t="n">
        <f>108500</f>
        <v>108500.0</v>
      </c>
      <c r="N340" s="34" t="s">
        <v>130</v>
      </c>
      <c r="O340" s="33" t="n">
        <f>106100</f>
        <v>106100.0</v>
      </c>
      <c r="P340" s="34" t="s">
        <v>50</v>
      </c>
      <c r="Q340" s="33" t="n">
        <f>107800</f>
        <v>107800.0</v>
      </c>
      <c r="R340" s="34" t="s">
        <v>51</v>
      </c>
      <c r="S340" s="35" t="n">
        <f>107561.11</f>
        <v>107561.11</v>
      </c>
      <c r="T340" s="32" t="n">
        <f>6066</f>
        <v>6066.0</v>
      </c>
      <c r="U340" s="32" t="n">
        <f>7</f>
        <v>7.0</v>
      </c>
      <c r="V340" s="32" t="n">
        <f>652974900</f>
        <v>6.529749E8</v>
      </c>
      <c r="W340" s="32" t="n">
        <f>750900</f>
        <v>750900.0</v>
      </c>
      <c r="X340" s="36" t="n">
        <f>18</f>
        <v>18.0</v>
      </c>
    </row>
    <row r="341">
      <c r="A341" s="27" t="s">
        <v>42</v>
      </c>
      <c r="B341" s="27" t="s">
        <v>1067</v>
      </c>
      <c r="C341" s="27" t="s">
        <v>1068</v>
      </c>
      <c r="D341" s="27" t="s">
        <v>1069</v>
      </c>
      <c r="E341" s="28" t="s">
        <v>46</v>
      </c>
      <c r="F341" s="29" t="s">
        <v>46</v>
      </c>
      <c r="G341" s="30" t="s">
        <v>46</v>
      </c>
      <c r="H341" s="31"/>
      <c r="I341" s="31" t="s">
        <v>625</v>
      </c>
      <c r="J341" s="32" t="n">
        <v>1.0</v>
      </c>
      <c r="K341" s="33" t="n">
        <f>129400</f>
        <v>129400.0</v>
      </c>
      <c r="L341" s="34" t="s">
        <v>48</v>
      </c>
      <c r="M341" s="33" t="n">
        <f>130200</f>
        <v>130200.0</v>
      </c>
      <c r="N341" s="34" t="s">
        <v>130</v>
      </c>
      <c r="O341" s="33" t="n">
        <f>126500</f>
        <v>126500.0</v>
      </c>
      <c r="P341" s="34" t="s">
        <v>50</v>
      </c>
      <c r="Q341" s="33" t="n">
        <f>127300</f>
        <v>127300.0</v>
      </c>
      <c r="R341" s="34" t="s">
        <v>51</v>
      </c>
      <c r="S341" s="35" t="n">
        <f>128066.67</f>
        <v>128066.67</v>
      </c>
      <c r="T341" s="32" t="n">
        <f>20708</f>
        <v>20708.0</v>
      </c>
      <c r="U341" s="32" t="n">
        <f>829</f>
        <v>829.0</v>
      </c>
      <c r="V341" s="32" t="n">
        <f>2651295950</f>
        <v>2.65129595E9</v>
      </c>
      <c r="W341" s="32" t="n">
        <f>106048950</f>
        <v>1.0604895E8</v>
      </c>
      <c r="X341" s="36" t="n">
        <f>18</f>
        <v>18.0</v>
      </c>
    </row>
    <row r="342">
      <c r="A342" s="27" t="s">
        <v>42</v>
      </c>
      <c r="B342" s="27" t="s">
        <v>1070</v>
      </c>
      <c r="C342" s="27" t="s">
        <v>1071</v>
      </c>
      <c r="D342" s="27" t="s">
        <v>1072</v>
      </c>
      <c r="E342" s="28" t="s">
        <v>46</v>
      </c>
      <c r="F342" s="29" t="s">
        <v>46</v>
      </c>
      <c r="G342" s="30" t="s">
        <v>46</v>
      </c>
      <c r="H342" s="31"/>
      <c r="I342" s="31" t="s">
        <v>625</v>
      </c>
      <c r="J342" s="32" t="n">
        <v>1.0</v>
      </c>
      <c r="K342" s="33" t="n">
        <f>103400</f>
        <v>103400.0</v>
      </c>
      <c r="L342" s="34" t="s">
        <v>48</v>
      </c>
      <c r="M342" s="33" t="n">
        <f>105100</f>
        <v>105100.0</v>
      </c>
      <c r="N342" s="34" t="s">
        <v>173</v>
      </c>
      <c r="O342" s="33" t="n">
        <f>102800</f>
        <v>102800.0</v>
      </c>
      <c r="P342" s="34" t="s">
        <v>50</v>
      </c>
      <c r="Q342" s="33" t="n">
        <f>104500</f>
        <v>104500.0</v>
      </c>
      <c r="R342" s="34" t="s">
        <v>51</v>
      </c>
      <c r="S342" s="35" t="n">
        <f>104183.33</f>
        <v>104183.33</v>
      </c>
      <c r="T342" s="32" t="n">
        <f>6339</f>
        <v>6339.0</v>
      </c>
      <c r="U342" s="32" t="n">
        <f>11</f>
        <v>11.0</v>
      </c>
      <c r="V342" s="32" t="n">
        <f>660080400</f>
        <v>6.600804E8</v>
      </c>
      <c r="W342" s="32" t="n">
        <f>1145800</f>
        <v>1145800.0</v>
      </c>
      <c r="X342" s="36" t="n">
        <f>18</f>
        <v>18.0</v>
      </c>
    </row>
    <row r="343">
      <c r="A343" s="27" t="s">
        <v>42</v>
      </c>
      <c r="B343" s="27" t="s">
        <v>1073</v>
      </c>
      <c r="C343" s="27" t="s">
        <v>1074</v>
      </c>
      <c r="D343" s="27" t="s">
        <v>1075</v>
      </c>
      <c r="E343" s="28" t="s">
        <v>46</v>
      </c>
      <c r="F343" s="29" t="s">
        <v>46</v>
      </c>
      <c r="G343" s="30" t="s">
        <v>46</v>
      </c>
      <c r="H343" s="31"/>
      <c r="I343" s="31" t="s">
        <v>625</v>
      </c>
      <c r="J343" s="32" t="n">
        <v>1.0</v>
      </c>
      <c r="K343" s="33" t="n">
        <f>95300</f>
        <v>95300.0</v>
      </c>
      <c r="L343" s="34" t="s">
        <v>48</v>
      </c>
      <c r="M343" s="33" t="n">
        <f>96700</f>
        <v>96700.0</v>
      </c>
      <c r="N343" s="34" t="s">
        <v>49</v>
      </c>
      <c r="O343" s="33" t="n">
        <f>94600</f>
        <v>94600.0</v>
      </c>
      <c r="P343" s="34" t="s">
        <v>287</v>
      </c>
      <c r="Q343" s="33" t="n">
        <f>94600</f>
        <v>94600.0</v>
      </c>
      <c r="R343" s="34" t="s">
        <v>51</v>
      </c>
      <c r="S343" s="35" t="n">
        <f>95377.78</f>
        <v>95377.78</v>
      </c>
      <c r="T343" s="32" t="n">
        <f>31309</f>
        <v>31309.0</v>
      </c>
      <c r="U343" s="32" t="n">
        <f>519</f>
        <v>519.0</v>
      </c>
      <c r="V343" s="32" t="n">
        <f>2984471650</f>
        <v>2.98447165E9</v>
      </c>
      <c r="W343" s="32" t="n">
        <f>49234950</f>
        <v>4.923495E7</v>
      </c>
      <c r="X343" s="36" t="n">
        <f>18</f>
        <v>18.0</v>
      </c>
    </row>
    <row r="344">
      <c r="A344" s="27" t="s">
        <v>42</v>
      </c>
      <c r="B344" s="27" t="s">
        <v>1076</v>
      </c>
      <c r="C344" s="27" t="s">
        <v>1077</v>
      </c>
      <c r="D344" s="27" t="s">
        <v>1078</v>
      </c>
      <c r="E344" s="28" t="s">
        <v>46</v>
      </c>
      <c r="F344" s="29" t="s">
        <v>46</v>
      </c>
      <c r="G344" s="30" t="s">
        <v>46</v>
      </c>
      <c r="H344" s="31"/>
      <c r="I344" s="31" t="s">
        <v>625</v>
      </c>
      <c r="J344" s="32" t="n">
        <v>1.0</v>
      </c>
      <c r="K344" s="33" t="n">
        <f>103200</f>
        <v>103200.0</v>
      </c>
      <c r="L344" s="34" t="s">
        <v>48</v>
      </c>
      <c r="M344" s="33" t="n">
        <f>104800</f>
        <v>104800.0</v>
      </c>
      <c r="N344" s="34" t="s">
        <v>48</v>
      </c>
      <c r="O344" s="33" t="n">
        <f>98100</f>
        <v>98100.0</v>
      </c>
      <c r="P344" s="34" t="s">
        <v>84</v>
      </c>
      <c r="Q344" s="33" t="n">
        <f>99600</f>
        <v>99600.0</v>
      </c>
      <c r="R344" s="34" t="s">
        <v>51</v>
      </c>
      <c r="S344" s="35" t="n">
        <f>102738.89</f>
        <v>102738.89</v>
      </c>
      <c r="T344" s="32" t="n">
        <f>11553</f>
        <v>11553.0</v>
      </c>
      <c r="U344" s="32" t="n">
        <f>40</f>
        <v>40.0</v>
      </c>
      <c r="V344" s="32" t="n">
        <f>1183147200</f>
        <v>1.1831472E9</v>
      </c>
      <c r="W344" s="32" t="n">
        <f>4120000</f>
        <v>4120000.0</v>
      </c>
      <c r="X344" s="36" t="n">
        <f>18</f>
        <v>18.0</v>
      </c>
    </row>
  </sheetData>
  <mergeCells count="3">
    <mergeCell ref="N1:X3"/>
    <mergeCell ref="A2:M2"/>
    <mergeCell ref="A3:M3"/>
  </mergeCells>
  <phoneticPr fontId="3"/>
  <printOptions horizontalCentered="1"/>
  <pageMargins bottom="0.59055118110236227" footer="0.27559055118110237" header="0.27559055118110237" left="0.39370078740157483" right="0.39370078740157483" top="0.39370078740157483"/>
  <pageSetup fitToHeight="0" orientation="landscape" paperSize="9" r:id="rId1" scale="32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BO_EM0004</vt:lpstr>
      <vt:lpstr>BO_EM0004!Print_Titles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2018-10-04T04:21:09Z</dcterms:created>
  <dcterms:modified xsi:type="dcterms:W3CDTF">2020-05-11T08:48:14Z</dcterms:modified>
</cp:coreProperties>
</file>