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<sst xmlns="http://schemas.openxmlformats.org/spreadsheetml/2006/main" count="4190" uniqueCount="1110">
  <si>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</si>
  <si>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</si>
  <si>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</si>
  <si>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</si>
  <si>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</si>
  <si>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</si>
  <si>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</si>
  <si>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</si>
  <si>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</si>
  <si>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</si>
  <si>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</si>
  <si>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</si>
  <si>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</si>
  <si>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</si>
  <si>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</si>
  <si>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</si>
  <si>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</si>
  <si>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</si>
  <si>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</si>
  <si>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</si>
  <si>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</si>
  <si>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</si>
  <si>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</si>
  <si>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</si>
  <si>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</si>
  <si>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</si>
  <si>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</si>
  <si>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</si>
  <si>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</si>
  <si>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</si>
  <si>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</si>
  <si>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</si>
  <si>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</si>
  <si>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</si>
  <si>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</si>
  <si>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</si>
  <si>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</si>
  <si>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</si>
  <si>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</si>
  <si>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</si>
  <si>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</si>
  <si>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</si>
  <si>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2021/06</t>
  </si>
  <si>
    <t>1305</t>
  </si>
  <si>
    <t>ダイワ上場投信－トピックス　受益証券</t>
  </si>
  <si>
    <t>Daiwa ETF-TOPIX</t>
  </si>
  <si>
    <t/>
  </si>
  <si>
    <t>貸借</t>
  </si>
  <si>
    <t>1</t>
  </si>
  <si>
    <t>16</t>
  </si>
  <si>
    <t>21</t>
  </si>
  <si>
    <t>30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</si>
  <si>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</si>
  <si>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</si>
  <si>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</si>
  <si>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</si>
  <si>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</si>
  <si>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</si>
  <si>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</si>
  <si>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</si>
  <si>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</si>
  <si>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1311</t>
  </si>
  <si>
    <t>ＮＥＸＴ　ＦＵＮＤＳ　ＴＯＰＩＸ　Ｃｏｒｅ　３０連動型上場投信　受益証券</t>
  </si>
  <si>
    <t>NEXT FUNDS TOPIX Core 30 Exchange Traded Fund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</si>
  <si>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</si>
  <si>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</si>
  <si>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</si>
  <si>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>14</t>
  </si>
  <si>
    <t>1313</t>
  </si>
  <si>
    <t>サムスンＫＯＤＥＸ２００証券上場指数投資信託[株式]　受益証券</t>
  </si>
  <si>
    <t>SAMSUNG KODEX200 SECURITIES EXCHANGE TRADED FUND [STOCK]</t>
  </si>
  <si>
    <t>25</t>
  </si>
  <si>
    <t>10</t>
  </si>
  <si>
    <t>29</t>
  </si>
  <si>
    <t>1319</t>
  </si>
  <si>
    <t>ＮＥＸＴ　ＦＵＮＤＳ　日経３００株価指数連動型上場投信　受益証券</t>
  </si>
  <si>
    <t>NEXT FUNDS Nikkei 300 Index Exchange Traded Fund</t>
  </si>
  <si>
    <t>1320</t>
  </si>
  <si>
    <t>ダイワ上場投信－日経２２５　受益証券</t>
  </si>
  <si>
    <t>Daiwa ETF-Nikkei 225</t>
  </si>
  <si>
    <t>15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</si>
  <si>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</si>
  <si>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</si>
  <si>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</si>
  <si>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</si>
  <si>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</si>
  <si>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</si>
  <si>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</si>
  <si>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</si>
  <si>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</si>
  <si>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7</t>
  </si>
  <si>
    <t>1324</t>
  </si>
  <si>
    <t>ＮＥＸＴ　ＦＵＮＤＳ　ロシア株式指数・ＲＴＳ連動型上場投信　受益証券</t>
  </si>
  <si>
    <t>NEXT FUNDS Russia RTS Linked Exchange Traded Fund</t>
  </si>
  <si>
    <t>8</t>
  </si>
  <si>
    <t>1325</t>
  </si>
  <si>
    <t>ＮＥＸＴ　ＦＵＮＤＳ　ブラジル株式指数・ボベスパ連動型上場投信　受益証券</t>
  </si>
  <si>
    <t>NEXT FUNDS Ibovespa Linked Exchange Traded Fund</t>
  </si>
  <si>
    <t>9</t>
  </si>
  <si>
    <t>1326</t>
  </si>
  <si>
    <t>ＳＰＤＲゴールド・シェア　受益証券</t>
  </si>
  <si>
    <t>SPDR Gold Shares</t>
  </si>
  <si>
    <t>1327</t>
  </si>
  <si>
    <t>イージーＥＴＦ　Ｓ＆Ｐ　ＧＳＣＩ　商品指数　キャップド・コモディティ　３５／２０　クラスＡ米ドル建受益証券</t>
  </si>
  <si>
    <t>S&amp;P GSCI Energy &amp; Metals Capped Component 35/20 THEAM Easy UCITS ETF Class A USD Unit</t>
  </si>
  <si>
    <t>11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</si>
  <si>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</si>
  <si>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</si>
  <si>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</si>
  <si>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</si>
  <si>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</si>
  <si>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</si>
  <si>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</si>
  <si>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</si>
  <si>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</si>
  <si>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</si>
  <si>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</si>
  <si>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</si>
  <si>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1344</t>
  </si>
  <si>
    <t>ＭＡＸＩＳ　トピックス・コア３０上場投信　受益証券</t>
  </si>
  <si>
    <t>MAXIS TOPIX Core30 ETF</t>
  </si>
  <si>
    <t>確</t>
  </si>
  <si>
    <t>3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</si>
  <si>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</si>
  <si>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</si>
  <si>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</si>
  <si>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</si>
  <si>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</si>
  <si>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</si>
  <si>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</si>
  <si>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</si>
  <si>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</si>
  <si>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</si>
  <si>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</si>
  <si>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</si>
  <si>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</si>
  <si>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</si>
  <si>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</si>
  <si>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</si>
  <si>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</si>
  <si>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</si>
  <si>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</si>
  <si>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</si>
  <si>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</si>
  <si>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</si>
  <si>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</si>
  <si>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</si>
  <si>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</si>
  <si>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</si>
  <si>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</si>
  <si>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</si>
  <si>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</si>
  <si>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</si>
  <si>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</si>
  <si>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</si>
  <si>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</si>
  <si>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</si>
  <si>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</si>
  <si>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</si>
  <si>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</si>
  <si>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</si>
  <si>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</si>
  <si>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</si>
  <si>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</si>
  <si>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</si>
  <si>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</si>
  <si>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</si>
  <si>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</si>
  <si>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</si>
  <si>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</si>
  <si>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</si>
  <si>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4</t>
  </si>
  <si>
    <t>1387</t>
  </si>
  <si>
    <t>ＵＢＳ　ＥＴＦ　ユーロ圏株（ＭＳＣＩ　ＥＭＵ）　受益証券</t>
  </si>
  <si>
    <t>UBS ETF MSCI EMU UCITS ETF-JDR</t>
  </si>
  <si>
    <t>17</t>
  </si>
  <si>
    <t>1388</t>
  </si>
  <si>
    <t>ＵＢＳ　ＥＴＦ　ユーロ圏小型株（ＭＳＣＩ　ＥＭＵ小型株）　受益証券</t>
  </si>
  <si>
    <t>UBS ETF MSCI EMU Small Cap UCITS ETF-JDR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</si>
  <si>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</si>
  <si>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</si>
  <si>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</si>
  <si>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</si>
  <si>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</si>
  <si>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</si>
  <si>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18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</si>
  <si>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</si>
  <si>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</si>
  <si>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</si>
  <si>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</si>
  <si>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</si>
  <si>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</si>
  <si>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</si>
  <si>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</si>
  <si>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</si>
  <si>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</si>
  <si>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</si>
  <si>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</si>
  <si>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2</t>
  </si>
  <si>
    <t>24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</si>
  <si>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</si>
  <si>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</si>
  <si>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</si>
  <si>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</si>
  <si>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</si>
  <si>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</si>
  <si>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</si>
  <si>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</si>
  <si>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</si>
  <si>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</si>
  <si>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</si>
  <si>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</si>
  <si>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</si>
  <si>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</si>
  <si>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</si>
  <si>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</si>
  <si>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</si>
  <si>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</si>
  <si>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</si>
  <si>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</si>
  <si>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</si>
  <si>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1460</t>
  </si>
  <si>
    <t>ＭＡＸＩＳ　ＪＡＰＡＮ　クオリティ１５０上場投信　受益証券</t>
  </si>
  <si>
    <t>MAXIS JAPAN Quality 150 Index ETF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</si>
  <si>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</si>
  <si>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</si>
  <si>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</si>
  <si>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</si>
  <si>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</si>
  <si>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</si>
  <si>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</si>
  <si>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</si>
  <si>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</si>
  <si>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</si>
  <si>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</si>
  <si>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</si>
  <si>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</si>
  <si>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</si>
  <si>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</si>
  <si>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28</t>
  </si>
  <si>
    <t>1469</t>
  </si>
  <si>
    <t>ＪＰＸ日経４００ベア２倍上場投信（ダブルインバース）　受益証券</t>
  </si>
  <si>
    <t>JPX-Nikkei 400 Bear -2x Double Inverse ETF</t>
  </si>
  <si>
    <t>1470</t>
  </si>
  <si>
    <t>ＮＥＸＴ　ＦＵＮＤＳ　ＪＰＸ日経４００レバレッジ・インデックス連動型上場投信　受益証券</t>
  </si>
  <si>
    <t>NEXT FUNDS JPX-Nikkei 400 Leveraged Index Exchange Traded Fund</t>
  </si>
  <si>
    <t xml:space="preserve">上場廃止  </t>
  </si>
  <si>
    <t xml:space="preserve">Removal  </t>
  </si>
  <si>
    <t xml:space="preserve">2021/06/29  </t>
  </si>
  <si>
    <t>整</t>
  </si>
  <si>
    <t>1471</t>
  </si>
  <si>
    <t>ＮＥＸＴ　ＦＵＮＤＳ　ＪＰＸ日経４００インバース・インデックス連動型上場投信　受益証券</t>
  </si>
  <si>
    <t>NEXT FUNDS JPX-Nikkei 400 Inverse Index Exchange Traded Fund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</si>
  <si>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</si>
  <si>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</si>
  <si>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</si>
  <si>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</si>
  <si>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</si>
  <si>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</si>
  <si>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</si>
  <si>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</si>
  <si>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</si>
  <si>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</si>
  <si>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</si>
  <si>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</si>
  <si>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</si>
  <si>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</si>
  <si>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</si>
  <si>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</si>
  <si>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</si>
  <si>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</si>
  <si>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</si>
  <si>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</si>
  <si>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</si>
  <si>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</si>
  <si>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</si>
  <si>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</si>
  <si>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</si>
  <si>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</si>
  <si>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</si>
  <si>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</si>
  <si>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</si>
  <si>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</si>
  <si>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</si>
  <si>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</si>
  <si>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</si>
  <si>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</si>
  <si>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</si>
  <si>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</si>
  <si>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</si>
  <si>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</si>
  <si>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</si>
  <si>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</si>
  <si>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</si>
  <si>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</si>
  <si>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</si>
  <si>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</si>
  <si>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</si>
  <si>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</si>
  <si>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</si>
  <si>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</si>
  <si>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</si>
  <si>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</si>
  <si>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</si>
  <si>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</si>
  <si>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</si>
  <si>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</si>
  <si>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</si>
  <si>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</si>
  <si>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</si>
  <si>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</si>
  <si>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</si>
  <si>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</si>
  <si>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</si>
  <si>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</si>
  <si>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</si>
  <si>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</si>
  <si>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</si>
  <si>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</si>
  <si>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</si>
  <si>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</si>
  <si>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</si>
  <si>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</si>
  <si>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</si>
  <si>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</si>
  <si>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</si>
  <si>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</si>
  <si>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</si>
  <si>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</si>
  <si>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</si>
  <si>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</si>
  <si>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</si>
  <si>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</si>
  <si>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</si>
  <si>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</si>
  <si>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</si>
  <si>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</si>
  <si>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</si>
  <si>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</si>
  <si>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</si>
  <si>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</si>
  <si>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</si>
  <si>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</si>
  <si>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</si>
  <si>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</si>
  <si>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</si>
  <si>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</si>
  <si>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ＮＡＳＤＡＱ－１００連動型上場投信　受益証券</t>
  </si>
  <si>
    <t>NEXT FUNDS NASDAQ-100 Exchange Traded Fund</t>
  </si>
  <si>
    <t>1546</t>
  </si>
  <si>
    <t>ＮＥＸＴ　ＦＵＮＤＳ　ダウ・ジョーンズ工業株３０種平均株価連動型上場投信　受益証券</t>
  </si>
  <si>
    <t>NEXT FUNDS Dow Jones Industrial Average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</si>
  <si>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</si>
  <si>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</si>
  <si>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</si>
  <si>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</si>
  <si>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</si>
  <si>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</si>
  <si>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</si>
  <si>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</si>
  <si>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</si>
  <si>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</si>
  <si>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</si>
  <si>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</si>
  <si>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</si>
  <si>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</si>
  <si>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</si>
  <si>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</si>
  <si>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</si>
  <si>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</si>
  <si>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</si>
  <si>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</si>
  <si>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</si>
  <si>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</si>
  <si>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</si>
  <si>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</si>
  <si>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</si>
  <si>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</si>
  <si>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</si>
  <si>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</si>
  <si>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</si>
  <si>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</si>
  <si>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</si>
  <si>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　受益証券</t>
  </si>
  <si>
    <t>Listed Index Fund Emerging Bond</t>
  </si>
  <si>
    <t>1567</t>
  </si>
  <si>
    <t>ＭＡＸＩＳトピックスリスクコントロール（５％）上場投信　受益証券</t>
  </si>
  <si>
    <t>MAXIS TOPIX Risk Control (5%) ETF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</si>
  <si>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</si>
  <si>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</si>
  <si>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</si>
  <si>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</si>
  <si>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</si>
  <si>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</si>
  <si>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</si>
  <si>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</si>
  <si>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</si>
  <si>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</si>
  <si>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</si>
  <si>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</si>
  <si>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</si>
  <si>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</si>
  <si>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</si>
  <si>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22</t>
  </si>
  <si>
    <t>1573</t>
  </si>
  <si>
    <t>中国Ｈ株ベア上場投信　受益証券</t>
  </si>
  <si>
    <t>China Bear -1x HSCEI ETF</t>
  </si>
  <si>
    <t>1574</t>
  </si>
  <si>
    <t>ＭＡＸＩＳトピックスリスクコントロール（１０％）上場投信　受益証券</t>
  </si>
  <si>
    <t>MAXIS TOPIX Risk Control (10%) ETF</t>
  </si>
  <si>
    <t>1575</t>
  </si>
  <si>
    <t>ＣｈｉｎａＡＭＣ　ＣＳＩ　３００　Ｉｎｄｅｘ　ＥＴＦ－ＪＤＲ　受益証券</t>
  </si>
  <si>
    <t>ChinaAMC CSI 300 Index ETF-JDR</t>
  </si>
  <si>
    <t>23</t>
  </si>
  <si>
    <t>1576</t>
  </si>
  <si>
    <t>南方　ＦＴＳＥ　中国Ａ株５０　ＥＴＦ　受益証券</t>
  </si>
  <si>
    <t>CSOP FTSE CHINA A50 ETF</t>
  </si>
  <si>
    <t xml:space="preserve">2021/06/09  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</si>
  <si>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</si>
  <si>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</si>
  <si>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</si>
  <si>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</si>
  <si>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</si>
  <si>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</si>
  <si>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</si>
  <si>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</si>
  <si>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</si>
  <si>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</si>
  <si>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</si>
  <si>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</si>
  <si>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</si>
  <si>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</si>
  <si>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</si>
  <si>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</si>
  <si>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</si>
  <si>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</si>
  <si>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</si>
  <si>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</si>
  <si>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</si>
  <si>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</si>
  <si>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</si>
  <si>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</si>
  <si>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</si>
  <si>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</si>
  <si>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</si>
  <si>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</si>
  <si>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</si>
  <si>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</si>
  <si>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</si>
  <si>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</si>
  <si>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</si>
  <si>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</si>
  <si>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</si>
  <si>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</si>
  <si>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</si>
  <si>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</si>
  <si>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</si>
  <si>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1598</t>
  </si>
  <si>
    <t>ＮＥＸＴ　ＦＵＮＤＳ　Ｒ／Ｎファンダメンタル・インデックス上場投信　受益証券</t>
  </si>
  <si>
    <t>NEXT FUNDS Russell/Nomura Fundamental Index ETF</t>
  </si>
  <si>
    <t>1599</t>
  </si>
  <si>
    <t>ダイワ上場投信－ＪＰＸ日経４００　受益証券</t>
  </si>
  <si>
    <t>Daiwa ETF JPX-Nikkei 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</si>
  <si>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</si>
  <si>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</si>
  <si>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</si>
  <si>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</si>
  <si>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</si>
  <si>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</si>
  <si>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</si>
  <si>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</si>
  <si>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</si>
  <si>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</si>
  <si>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</si>
  <si>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</si>
  <si>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</si>
  <si>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</si>
  <si>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</si>
  <si>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</si>
  <si>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</si>
  <si>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</si>
  <si>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</si>
  <si>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</si>
  <si>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</si>
  <si>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</si>
  <si>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</si>
  <si>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</si>
  <si>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</si>
  <si>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</si>
  <si>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</si>
  <si>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</si>
  <si>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</si>
  <si>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</si>
  <si>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</si>
  <si>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</si>
  <si>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</si>
  <si>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</si>
  <si>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</si>
  <si>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</si>
  <si>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</si>
  <si>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</si>
  <si>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</si>
  <si>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</si>
  <si>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</si>
  <si>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</si>
  <si>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</si>
  <si>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</si>
  <si>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</si>
  <si>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</si>
  <si>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</si>
  <si>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</si>
  <si>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</si>
  <si>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</si>
  <si>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</si>
  <si>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</si>
  <si>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</si>
  <si>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</si>
  <si>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</si>
  <si>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</si>
  <si>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</si>
  <si>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</si>
  <si>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</si>
  <si>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</si>
  <si>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</si>
  <si>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</si>
  <si>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</si>
  <si>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</si>
  <si>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</si>
  <si>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</si>
  <si>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</si>
  <si>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</si>
  <si>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</si>
  <si>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</si>
  <si>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</si>
  <si>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</si>
  <si>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</si>
  <si>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</si>
  <si>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</si>
  <si>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</si>
  <si>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</si>
  <si>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</si>
  <si>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</si>
  <si>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</si>
  <si>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</si>
  <si>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</si>
  <si>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</si>
  <si>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</si>
  <si>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</si>
  <si>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</si>
  <si>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</si>
  <si>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</si>
  <si>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</si>
  <si>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</si>
  <si>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</si>
  <si>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</si>
  <si>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</si>
  <si>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</si>
  <si>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</si>
  <si>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</si>
  <si>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</si>
  <si>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</si>
  <si>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</si>
  <si>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</si>
  <si>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</si>
  <si>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</si>
  <si>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</si>
  <si>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</si>
  <si>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</si>
  <si>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</si>
  <si>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</si>
  <si>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</si>
  <si>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</si>
  <si>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</si>
  <si>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</si>
  <si>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</si>
  <si>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</si>
  <si>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</si>
  <si>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</si>
  <si>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</si>
  <si>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</si>
  <si>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</si>
  <si>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</si>
  <si>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</si>
  <si>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</si>
  <si>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</si>
  <si>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</si>
  <si>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</si>
  <si>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</si>
  <si>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</si>
  <si>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</si>
  <si>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</si>
  <si>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</si>
  <si>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</si>
  <si>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</si>
  <si>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</si>
  <si>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</si>
  <si>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</si>
  <si>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</si>
  <si>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</si>
  <si>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</si>
  <si>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</si>
  <si>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</si>
  <si>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</si>
  <si>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</si>
  <si>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</si>
  <si>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</si>
  <si>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</si>
  <si>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</si>
  <si>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</si>
  <si>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</si>
  <si>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</si>
  <si>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</si>
  <si>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</si>
  <si>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</si>
  <si>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</si>
  <si>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</si>
  <si>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</si>
  <si>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</si>
  <si>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</si>
  <si>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</si>
  <si>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</si>
  <si>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</si>
  <si>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</si>
  <si>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</si>
  <si>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</si>
  <si>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</si>
  <si>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</si>
  <si>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</si>
  <si>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</si>
  <si>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</si>
  <si>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</si>
  <si>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</si>
  <si>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</si>
  <si>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</si>
  <si>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</si>
  <si>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</si>
  <si>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</si>
  <si>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</si>
  <si>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</si>
  <si>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</si>
  <si>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</si>
  <si>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</si>
  <si>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</si>
  <si>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</si>
  <si>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2035</t>
  </si>
  <si>
    <t>ＮＥＸＴ　ＮＯＴＥＳ　日経平均ＶＩ先物指数　ＥＴＮ　受益証券</t>
  </si>
  <si>
    <t>NEXT NOTES Nikkei 225 VI Futures Index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</si>
  <si>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</si>
  <si>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</si>
  <si>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</si>
  <si>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</si>
  <si>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</si>
  <si>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</si>
  <si>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</si>
  <si>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</si>
  <si>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</si>
  <si>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</si>
  <si>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</si>
  <si>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</si>
  <si>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</si>
  <si>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</si>
  <si>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</si>
  <si>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</si>
  <si>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</si>
  <si>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</si>
  <si>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</si>
  <si>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</si>
  <si>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</si>
  <si>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</si>
  <si>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</si>
  <si>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</si>
  <si>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</si>
  <si>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</si>
  <si>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</si>
  <si>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</si>
  <si>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</si>
  <si>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</si>
  <si>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</si>
  <si>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</si>
  <si>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</si>
  <si>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</si>
  <si>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</si>
  <si>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</si>
  <si>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</si>
  <si>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</si>
  <si>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</si>
  <si>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</si>
  <si>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</si>
  <si>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</si>
  <si>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</si>
  <si>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</si>
  <si>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</si>
  <si>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</si>
  <si>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</si>
  <si>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</si>
  <si>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</si>
  <si>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</si>
  <si>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</si>
  <si>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</si>
  <si>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</si>
  <si>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</si>
  <si>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</si>
  <si>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</si>
  <si>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</si>
  <si>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</si>
  <si>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</si>
  <si>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</si>
  <si>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</si>
  <si>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</si>
  <si>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</si>
  <si>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</si>
  <si>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</si>
  <si>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</si>
  <si>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</si>
  <si>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</si>
  <si>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</si>
  <si>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</si>
  <si>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</si>
  <si>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</si>
  <si>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</si>
  <si>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</si>
  <si>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</si>
  <si>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</si>
  <si>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</si>
  <si>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</si>
  <si>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</si>
  <si>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</si>
  <si>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</si>
  <si>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</si>
  <si>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</si>
  <si>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</si>
  <si>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</si>
  <si>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</si>
  <si>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</si>
  <si>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</si>
  <si>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</si>
  <si>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</si>
  <si>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</si>
  <si>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</si>
  <si>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</si>
  <si>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</si>
  <si>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</si>
  <si>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</si>
  <si>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</si>
  <si>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</si>
  <si>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</si>
  <si>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</si>
  <si>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</si>
  <si>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</si>
  <si>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</si>
  <si>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</si>
  <si>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</si>
  <si>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</si>
  <si>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</si>
  <si>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</si>
  <si>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</si>
  <si>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</si>
  <si>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</si>
  <si>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</si>
  <si>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</si>
  <si>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</si>
  <si>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</si>
  <si>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</si>
  <si>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</si>
  <si>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</si>
  <si>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</si>
  <si>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</si>
  <si>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</si>
  <si>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</si>
  <si>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</si>
  <si>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</si>
  <si>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</si>
  <si>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</si>
  <si>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</si>
  <si>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</si>
  <si>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</si>
  <si>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</si>
  <si>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</si>
  <si>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</si>
  <si>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</si>
  <si>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</si>
  <si>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</si>
  <si>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</si>
  <si>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ブルームバーグ・バークレイズ米国投資適格社債（１－１０年）インデックス（為替ヘッジあり）連動型上場投信　受益証券</t>
  </si>
  <si>
    <t>NEXT FUNDS Bloomberg Barclays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</si>
  <si>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</si>
  <si>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</si>
  <si>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</si>
  <si>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</si>
  <si>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</si>
  <si>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</si>
  <si>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</si>
  <si>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</si>
  <si>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</si>
  <si>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</si>
  <si>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</si>
  <si>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</si>
  <si>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</si>
  <si>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</si>
  <si>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</si>
  <si>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</si>
  <si>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</si>
  <si>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</si>
  <si>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</si>
  <si>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</si>
  <si>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</si>
  <si>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</si>
  <si>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</si>
  <si>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</si>
  <si>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</si>
  <si>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</si>
  <si>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</si>
  <si>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</si>
  <si>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</si>
  <si>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</si>
  <si>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</si>
  <si>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</si>
  <si>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</si>
  <si>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</si>
  <si>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</si>
  <si>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</si>
  <si>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</si>
  <si>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</si>
  <si>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</si>
  <si>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</si>
  <si>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</si>
  <si>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</si>
  <si>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</si>
  <si>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</si>
  <si>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</si>
  <si>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</si>
  <si>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</si>
  <si>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</si>
  <si>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</si>
  <si>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</si>
  <si>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</si>
  <si>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</si>
  <si>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</si>
  <si>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</si>
  <si>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</si>
  <si>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</si>
  <si>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</si>
  <si>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</si>
  <si>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</si>
  <si>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iFreeETF-Nikkei225(Quarterly Dividend Type)</t>
  </si>
  <si>
    <t>2625</t>
  </si>
  <si>
    <t>ｉＦｒｅｅＥＴＦ　ＴＯＰＩＸ（年４回決算型）　受益証券</t>
  </si>
  <si>
    <t>iFreeETF-TOPIX(Quarterly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</si>
  <si>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</si>
  <si>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</si>
  <si>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</si>
  <si>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</si>
  <si>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</si>
  <si>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</si>
  <si>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</si>
  <si>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</si>
  <si>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</si>
  <si>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</si>
  <si>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</si>
  <si>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</si>
  <si>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</si>
  <si>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</si>
  <si>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</si>
  <si>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</si>
  <si>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</si>
  <si>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</si>
  <si>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</si>
  <si>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</si>
  <si>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</si>
  <si>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</si>
  <si>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</si>
  <si>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</si>
  <si>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</si>
  <si>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</si>
  <si>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</si>
  <si>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</si>
  <si>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</si>
  <si>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</si>
  <si>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</si>
  <si>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</si>
  <si>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</si>
  <si>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</si>
  <si>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　ＥＳＧ－日本株式　ＥＴＦ　受益証券</t>
  </si>
  <si>
    <t>Global X CleanTech ESG Japan ETF</t>
  </si>
  <si>
    <t>2638</t>
  </si>
  <si>
    <t>グローバルＸ　ロボティクス＆ＡＩ－日本株式　ＥＴＦ　受益証券</t>
  </si>
  <si>
    <t>Global X Japan Robotics &amp; AI ETF</t>
  </si>
  <si>
    <t xml:space="preserve">新規上場  </t>
  </si>
  <si>
    <t xml:space="preserve">New Listing  </t>
  </si>
  <si>
    <t xml:space="preserve">2021/06/23  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</si>
  <si>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</si>
  <si>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</si>
  <si>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</si>
  <si>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</si>
  <si>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</si>
  <si>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</si>
  <si>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</si>
  <si>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　ＥＳＧ－日本株式　ＥＴＦ　受益証券</t>
  </si>
  <si>
    <t>Global X Japan Global Leaders ESG ETF</t>
  </si>
  <si>
    <t>2642</t>
  </si>
  <si>
    <t>ＳＭＴ　ＥＴＦカーボン・エフィシェント日本株　受益証券</t>
  </si>
  <si>
    <t>SMT ETF Carbon Efficient Index Japan Equity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</si>
  <si>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</si>
  <si>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</si>
  <si>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</si>
  <si>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</si>
  <si>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</si>
  <si>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</si>
  <si>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</si>
  <si>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</si>
  <si>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</si>
  <si>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</si>
  <si>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</si>
  <si>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</si>
  <si>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 xml:space="preserve">2021/06/22  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</si>
  <si>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</si>
  <si>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</si>
  <si>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</si>
  <si>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</si>
  <si>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</si>
  <si>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</si>
  <si>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</si>
  <si>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</si>
  <si>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</si>
  <si>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</si>
  <si>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</si>
  <si>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</si>
  <si>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</si>
  <si>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</si>
  <si>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</si>
  <si>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</si>
  <si>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</si>
  <si>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</si>
  <si>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</si>
  <si>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</si>
  <si>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</si>
  <si>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</si>
  <si>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</si>
  <si>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</si>
  <si>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</si>
  <si>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</si>
  <si>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</si>
  <si>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</si>
  <si>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</si>
  <si>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</si>
  <si>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</si>
  <si>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</si>
  <si>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</si>
  <si>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</si>
  <si>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</si>
  <si>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</si>
  <si>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</si>
  <si>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</si>
  <si>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</si>
  <si>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</si>
  <si>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</si>
  <si>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</si>
  <si>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3298</t>
  </si>
  <si>
    <t>インベスコ・オフィス・ジェイリート投資法人　投資証券</t>
  </si>
  <si>
    <t>Invesco Office J-REIT,Inc.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</si>
  <si>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</si>
  <si>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</si>
  <si>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</si>
  <si>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</si>
  <si>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</si>
  <si>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</si>
  <si>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</si>
  <si>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</si>
  <si>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</si>
  <si>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</si>
  <si>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</si>
  <si>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</si>
  <si>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</si>
  <si>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</si>
  <si>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</si>
  <si>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</si>
  <si>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</si>
  <si>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</si>
  <si>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</si>
  <si>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</si>
  <si>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</si>
  <si>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</si>
  <si>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</si>
  <si>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</si>
  <si>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</si>
  <si>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</si>
  <si>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</si>
  <si>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</si>
  <si>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</si>
  <si>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</si>
  <si>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</si>
  <si>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</si>
  <si>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</si>
  <si>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</si>
  <si>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</si>
  <si>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</si>
  <si>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</si>
  <si>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</si>
  <si>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</si>
  <si>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</si>
  <si>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</si>
  <si>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</si>
  <si>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</si>
  <si>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</si>
  <si>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</si>
  <si>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</si>
  <si>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</si>
  <si>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</si>
  <si>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</si>
  <si>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</si>
  <si>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</si>
  <si>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</si>
  <si>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</si>
  <si>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</si>
  <si>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</si>
  <si>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伊藤忠アドバンス・ロジスティクス投資法人　投資証券</t>
  </si>
  <si>
    <t>ITOCHU 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</si>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</sst>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50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2051</f>
        <v>2051.0</v>
      </c>
      <c r="L7" s="34" t="s">
        <v>48</v>
      </c>
      <c r="M7" s="33" t="n">
        <f>2106</f>
        <v>2106.0</v>
      </c>
      <c r="N7" s="34" t="s">
        <v>49</v>
      </c>
      <c r="O7" s="33" t="n">
        <f>2007</f>
        <v>2007.0</v>
      </c>
      <c r="P7" s="34" t="s">
        <v>50</v>
      </c>
      <c r="Q7" s="33" t="n">
        <f>2065</f>
        <v>2065.0</v>
      </c>
      <c r="R7" s="34" t="s">
        <v>51</v>
      </c>
      <c r="S7" s="35" t="n">
        <f>2074</f>
        <v>2074.0</v>
      </c>
      <c r="T7" s="32" t="n">
        <f>6579860</f>
        <v>6579860.0</v>
      </c>
      <c r="U7" s="32" t="n">
        <f>474620</f>
        <v>474620.0</v>
      </c>
      <c r="V7" s="32" t="n">
        <f>13634853459</f>
        <v>1.3634853459E10</v>
      </c>
      <c r="W7" s="32" t="n">
        <f>981666189</f>
        <v>9.81666189E8</v>
      </c>
      <c r="X7" s="36" t="n">
        <f>22</f>
        <v>22.0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2029</f>
        <v>2029.0</v>
      </c>
      <c r="L8" s="34" t="s">
        <v>48</v>
      </c>
      <c r="M8" s="33" t="n">
        <f>2082</f>
        <v>2082.0</v>
      </c>
      <c r="N8" s="34" t="s">
        <v>49</v>
      </c>
      <c r="O8" s="33" t="n">
        <f>1983</f>
        <v>1983.0</v>
      </c>
      <c r="P8" s="34" t="s">
        <v>50</v>
      </c>
      <c r="Q8" s="33" t="n">
        <f>2040</f>
        <v>2040.0</v>
      </c>
      <c r="R8" s="34" t="s">
        <v>51</v>
      </c>
      <c r="S8" s="35" t="n">
        <f>2050</f>
        <v>2050.0</v>
      </c>
      <c r="T8" s="32" t="n">
        <f>54735160</f>
        <v>5.473516E7</v>
      </c>
      <c r="U8" s="32" t="n">
        <f>20396890</f>
        <v>2.039689E7</v>
      </c>
      <c r="V8" s="32" t="n">
        <f>111195084975</f>
        <v>1.11195084975E11</v>
      </c>
      <c r="W8" s="32" t="n">
        <f>40980136805</f>
        <v>4.0980136805E10</v>
      </c>
      <c r="X8" s="36" t="n">
        <f>22</f>
        <v>22.0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2005</f>
        <v>2005.0</v>
      </c>
      <c r="L9" s="34" t="s">
        <v>48</v>
      </c>
      <c r="M9" s="33" t="n">
        <f>2058</f>
        <v>2058.0</v>
      </c>
      <c r="N9" s="34" t="s">
        <v>49</v>
      </c>
      <c r="O9" s="33" t="n">
        <f>1963</f>
        <v>1963.0</v>
      </c>
      <c r="P9" s="34" t="s">
        <v>50</v>
      </c>
      <c r="Q9" s="33" t="n">
        <f>2022</f>
        <v>2022.0</v>
      </c>
      <c r="R9" s="34" t="s">
        <v>51</v>
      </c>
      <c r="S9" s="35" t="n">
        <f>2028.14</f>
        <v>2028.14</v>
      </c>
      <c r="T9" s="32" t="n">
        <f>8138400</f>
        <v>8138400.0</v>
      </c>
      <c r="U9" s="32" t="n">
        <f>775800</f>
        <v>775800.0</v>
      </c>
      <c r="V9" s="32" t="n">
        <f>16467926993</f>
        <v>1.6467926993E10</v>
      </c>
      <c r="W9" s="32" t="n">
        <f>1575086493</f>
        <v>1.575086493E9</v>
      </c>
      <c r="X9" s="36" t="n">
        <f>22</f>
        <v>22.0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47700</f>
        <v>47700.0</v>
      </c>
      <c r="L10" s="34" t="s">
        <v>48</v>
      </c>
      <c r="M10" s="33" t="n">
        <f>47900</f>
        <v>47900.0</v>
      </c>
      <c r="N10" s="34" t="s">
        <v>48</v>
      </c>
      <c r="O10" s="33" t="n">
        <f>43850</f>
        <v>43850.0</v>
      </c>
      <c r="P10" s="34" t="s">
        <v>50</v>
      </c>
      <c r="Q10" s="33" t="n">
        <f>45050</f>
        <v>45050.0</v>
      </c>
      <c r="R10" s="34" t="s">
        <v>51</v>
      </c>
      <c r="S10" s="35" t="n">
        <f>45825</f>
        <v>45825.0</v>
      </c>
      <c r="T10" s="32" t="n">
        <f>8609</f>
        <v>8609.0</v>
      </c>
      <c r="U10" s="32" t="str">
        <f>"－"</f>
        <v>－</v>
      </c>
      <c r="V10" s="32" t="n">
        <f>393882600</f>
        <v>3.938826E8</v>
      </c>
      <c r="W10" s="32" t="str">
        <f>"－"</f>
        <v>－</v>
      </c>
      <c r="X10" s="36" t="n">
        <f>22</f>
        <v>22.0</v>
      </c>
    </row>
    <row r="11">
      <c r="A11" s="27" t="s">
        <v>42</v>
      </c>
      <c r="B11" s="27" t="s">
        <v>61</v>
      </c>
      <c r="C11" s="27" t="s">
        <v>62</v>
      </c>
      <c r="D11" s="27" t="s">
        <v>63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914</f>
        <v>914.0</v>
      </c>
      <c r="L11" s="34" t="s">
        <v>48</v>
      </c>
      <c r="M11" s="33" t="n">
        <f>932</f>
        <v>932.0</v>
      </c>
      <c r="N11" s="34" t="s">
        <v>49</v>
      </c>
      <c r="O11" s="33" t="n">
        <f>889</f>
        <v>889.0</v>
      </c>
      <c r="P11" s="34" t="s">
        <v>50</v>
      </c>
      <c r="Q11" s="33" t="n">
        <f>912</f>
        <v>912.0</v>
      </c>
      <c r="R11" s="34" t="s">
        <v>51</v>
      </c>
      <c r="S11" s="35" t="n">
        <f>918.64</f>
        <v>918.64</v>
      </c>
      <c r="T11" s="32" t="n">
        <f>134700</f>
        <v>134700.0</v>
      </c>
      <c r="U11" s="32" t="n">
        <f>20</f>
        <v>20.0</v>
      </c>
      <c r="V11" s="32" t="n">
        <f>123435530</f>
        <v>1.2343553E8</v>
      </c>
      <c r="W11" s="32" t="n">
        <f>18560</f>
        <v>18560.0</v>
      </c>
      <c r="X11" s="36" t="n">
        <f>22</f>
        <v>22.0</v>
      </c>
    </row>
    <row r="12">
      <c r="A12" s="27" t="s">
        <v>42</v>
      </c>
      <c r="B12" s="27" t="s">
        <v>64</v>
      </c>
      <c r="C12" s="27" t="s">
        <v>65</v>
      </c>
      <c r="D12" s="27" t="s">
        <v>66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21410</f>
        <v>21410.0</v>
      </c>
      <c r="L12" s="34" t="s">
        <v>48</v>
      </c>
      <c r="M12" s="33" t="n">
        <f>22650</f>
        <v>22650.0</v>
      </c>
      <c r="N12" s="34" t="s">
        <v>67</v>
      </c>
      <c r="O12" s="33" t="n">
        <f>20740</f>
        <v>20740.0</v>
      </c>
      <c r="P12" s="34" t="s">
        <v>50</v>
      </c>
      <c r="Q12" s="33" t="n">
        <f>21860</f>
        <v>21860.0</v>
      </c>
      <c r="R12" s="34" t="s">
        <v>51</v>
      </c>
      <c r="S12" s="35" t="n">
        <f>21726.36</f>
        <v>21726.36</v>
      </c>
      <c r="T12" s="32" t="n">
        <f>2098</f>
        <v>2098.0</v>
      </c>
      <c r="U12" s="32" t="n">
        <f>6</f>
        <v>6.0</v>
      </c>
      <c r="V12" s="32" t="n">
        <f>45570680</f>
        <v>4.557068E7</v>
      </c>
      <c r="W12" s="32" t="n">
        <f>131240</f>
        <v>131240.0</v>
      </c>
      <c r="X12" s="36" t="n">
        <f>22</f>
        <v>22.0</v>
      </c>
    </row>
    <row r="13">
      <c r="A13" s="27" t="s">
        <v>42</v>
      </c>
      <c r="B13" s="27" t="s">
        <v>68</v>
      </c>
      <c r="C13" s="27" t="s">
        <v>69</v>
      </c>
      <c r="D13" s="27" t="s">
        <v>70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4200</f>
        <v>4200.0</v>
      </c>
      <c r="L13" s="34" t="s">
        <v>48</v>
      </c>
      <c r="M13" s="33" t="n">
        <f>4395</f>
        <v>4395.0</v>
      </c>
      <c r="N13" s="34" t="s">
        <v>71</v>
      </c>
      <c r="O13" s="33" t="n">
        <f>4165</f>
        <v>4165.0</v>
      </c>
      <c r="P13" s="34" t="s">
        <v>72</v>
      </c>
      <c r="Q13" s="33" t="n">
        <f>4315</f>
        <v>4315.0</v>
      </c>
      <c r="R13" s="34" t="s">
        <v>73</v>
      </c>
      <c r="S13" s="35" t="n">
        <f>4272.65</f>
        <v>4272.65</v>
      </c>
      <c r="T13" s="32" t="n">
        <f>1910</f>
        <v>1910.0</v>
      </c>
      <c r="U13" s="32" t="n">
        <f>20</f>
        <v>20.0</v>
      </c>
      <c r="V13" s="32" t="n">
        <f>8150350</f>
        <v>8150350.0</v>
      </c>
      <c r="W13" s="32" t="n">
        <f>86100</f>
        <v>86100.0</v>
      </c>
      <c r="X13" s="36" t="n">
        <f>17</f>
        <v>17.0</v>
      </c>
    </row>
    <row r="14">
      <c r="A14" s="27" t="s">
        <v>42</v>
      </c>
      <c r="B14" s="27" t="s">
        <v>74</v>
      </c>
      <c r="C14" s="27" t="s">
        <v>75</v>
      </c>
      <c r="D14" s="27" t="s">
        <v>76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377</f>
        <v>377.0</v>
      </c>
      <c r="L14" s="34" t="s">
        <v>48</v>
      </c>
      <c r="M14" s="33" t="n">
        <f>389</f>
        <v>389.0</v>
      </c>
      <c r="N14" s="34" t="s">
        <v>51</v>
      </c>
      <c r="O14" s="33" t="n">
        <f>372</f>
        <v>372.0</v>
      </c>
      <c r="P14" s="34" t="s">
        <v>50</v>
      </c>
      <c r="Q14" s="33" t="n">
        <f>384</f>
        <v>384.0</v>
      </c>
      <c r="R14" s="34" t="s">
        <v>51</v>
      </c>
      <c r="S14" s="35" t="n">
        <f>382.29</f>
        <v>382.29</v>
      </c>
      <c r="T14" s="32" t="n">
        <f>82000</f>
        <v>82000.0</v>
      </c>
      <c r="U14" s="32" t="n">
        <f>2000</f>
        <v>2000.0</v>
      </c>
      <c r="V14" s="32" t="n">
        <f>31250000</f>
        <v>3.125E7</v>
      </c>
      <c r="W14" s="32" t="n">
        <f>765000</f>
        <v>765000.0</v>
      </c>
      <c r="X14" s="36" t="n">
        <f>21</f>
        <v>21.0</v>
      </c>
    </row>
    <row r="15">
      <c r="A15" s="27" t="s">
        <v>42</v>
      </c>
      <c r="B15" s="27" t="s">
        <v>77</v>
      </c>
      <c r="C15" s="27" t="s">
        <v>78</v>
      </c>
      <c r="D15" s="27" t="s">
        <v>79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30050</f>
        <v>30050.0</v>
      </c>
      <c r="L15" s="34" t="s">
        <v>48</v>
      </c>
      <c r="M15" s="33" t="n">
        <f>30550</f>
        <v>30550.0</v>
      </c>
      <c r="N15" s="34" t="s">
        <v>80</v>
      </c>
      <c r="O15" s="33" t="n">
        <f>28780</f>
        <v>28780.0</v>
      </c>
      <c r="P15" s="34" t="s">
        <v>50</v>
      </c>
      <c r="Q15" s="33" t="n">
        <f>29840</f>
        <v>29840.0</v>
      </c>
      <c r="R15" s="34" t="s">
        <v>51</v>
      </c>
      <c r="S15" s="35" t="n">
        <f>29970.45</f>
        <v>29970.45</v>
      </c>
      <c r="T15" s="32" t="n">
        <f>1715363</f>
        <v>1715363.0</v>
      </c>
      <c r="U15" s="32" t="n">
        <f>477250</f>
        <v>477250.0</v>
      </c>
      <c r="V15" s="32" t="n">
        <f>51160888292</f>
        <v>5.1160888292E10</v>
      </c>
      <c r="W15" s="32" t="n">
        <f>14317349192</f>
        <v>1.4317349192E10</v>
      </c>
      <c r="X15" s="36" t="n">
        <f>22</f>
        <v>22.0</v>
      </c>
    </row>
    <row r="16">
      <c r="A16" s="27" t="s">
        <v>42</v>
      </c>
      <c r="B16" s="27" t="s">
        <v>81</v>
      </c>
      <c r="C16" s="27" t="s">
        <v>82</v>
      </c>
      <c r="D16" s="27" t="s">
        <v>83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30100</f>
        <v>30100.0</v>
      </c>
      <c r="L16" s="34" t="s">
        <v>48</v>
      </c>
      <c r="M16" s="33" t="n">
        <f>30600</f>
        <v>30600.0</v>
      </c>
      <c r="N16" s="34" t="s">
        <v>80</v>
      </c>
      <c r="O16" s="33" t="n">
        <f>28830</f>
        <v>28830.0</v>
      </c>
      <c r="P16" s="34" t="s">
        <v>50</v>
      </c>
      <c r="Q16" s="33" t="n">
        <f>29890</f>
        <v>29890.0</v>
      </c>
      <c r="R16" s="34" t="s">
        <v>51</v>
      </c>
      <c r="S16" s="35" t="n">
        <f>30041.36</f>
        <v>30041.36</v>
      </c>
      <c r="T16" s="32" t="n">
        <f>6604772</f>
        <v>6604772.0</v>
      </c>
      <c r="U16" s="32" t="n">
        <f>225527</f>
        <v>225527.0</v>
      </c>
      <c r="V16" s="32" t="n">
        <f>197366126808</f>
        <v>1.97366126808E11</v>
      </c>
      <c r="W16" s="32" t="n">
        <f>6800360378</f>
        <v>6.800360378E9</v>
      </c>
      <c r="X16" s="36" t="n">
        <f>22</f>
        <v>22.0</v>
      </c>
    </row>
    <row r="17">
      <c r="A17" s="27" t="s">
        <v>42</v>
      </c>
      <c r="B17" s="27" t="s">
        <v>84</v>
      </c>
      <c r="C17" s="27" t="s">
        <v>85</v>
      </c>
      <c r="D17" s="27" t="s">
        <v>86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8960</f>
        <v>8960.0</v>
      </c>
      <c r="L17" s="34" t="s">
        <v>48</v>
      </c>
      <c r="M17" s="33" t="n">
        <f>9000</f>
        <v>9000.0</v>
      </c>
      <c r="N17" s="34" t="s">
        <v>48</v>
      </c>
      <c r="O17" s="33" t="n">
        <f>8060</f>
        <v>8060.0</v>
      </c>
      <c r="P17" s="34" t="s">
        <v>50</v>
      </c>
      <c r="Q17" s="33" t="n">
        <f>8500</f>
        <v>8500.0</v>
      </c>
      <c r="R17" s="34" t="s">
        <v>51</v>
      </c>
      <c r="S17" s="35" t="n">
        <f>8561.82</f>
        <v>8561.82</v>
      </c>
      <c r="T17" s="32" t="n">
        <f>23810</f>
        <v>23810.0</v>
      </c>
      <c r="U17" s="32" t="n">
        <f>50</f>
        <v>50.0</v>
      </c>
      <c r="V17" s="32" t="n">
        <f>203231000</f>
        <v>2.03231E8</v>
      </c>
      <c r="W17" s="32" t="n">
        <f>423900</f>
        <v>423900.0</v>
      </c>
      <c r="X17" s="36" t="n">
        <f>22</f>
        <v>22.0</v>
      </c>
    </row>
    <row r="18">
      <c r="A18" s="27" t="s">
        <v>42</v>
      </c>
      <c r="B18" s="27" t="s">
        <v>87</v>
      </c>
      <c r="C18" s="27" t="s">
        <v>88</v>
      </c>
      <c r="D18" s="27" t="s">
        <v>89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100.0</v>
      </c>
      <c r="K18" s="33" t="n">
        <f>531</f>
        <v>531.0</v>
      </c>
      <c r="L18" s="34" t="s">
        <v>48</v>
      </c>
      <c r="M18" s="33" t="n">
        <f>579</f>
        <v>579.0</v>
      </c>
      <c r="N18" s="34" t="s">
        <v>90</v>
      </c>
      <c r="O18" s="33" t="n">
        <f>478</f>
        <v>478.0</v>
      </c>
      <c r="P18" s="34" t="s">
        <v>50</v>
      </c>
      <c r="Q18" s="33" t="n">
        <f>515</f>
        <v>515.0</v>
      </c>
      <c r="R18" s="34" t="s">
        <v>51</v>
      </c>
      <c r="S18" s="35" t="n">
        <f>517.95</f>
        <v>517.95</v>
      </c>
      <c r="T18" s="32" t="n">
        <f>503300</f>
        <v>503300.0</v>
      </c>
      <c r="U18" s="32" t="n">
        <f>300</f>
        <v>300.0</v>
      </c>
      <c r="V18" s="32" t="n">
        <f>265146000</f>
        <v>2.65146E8</v>
      </c>
      <c r="W18" s="32" t="n">
        <f>159200</f>
        <v>159200.0</v>
      </c>
      <c r="X18" s="36" t="n">
        <f>22</f>
        <v>22.0</v>
      </c>
    </row>
    <row r="19">
      <c r="A19" s="27" t="s">
        <v>42</v>
      </c>
      <c r="B19" s="27" t="s">
        <v>91</v>
      </c>
      <c r="C19" s="27" t="s">
        <v>92</v>
      </c>
      <c r="D19" s="27" t="s">
        <v>93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n">
        <f>159</f>
        <v>159.0</v>
      </c>
      <c r="L19" s="34" t="s">
        <v>48</v>
      </c>
      <c r="M19" s="33" t="n">
        <f>170</f>
        <v>170.0</v>
      </c>
      <c r="N19" s="34" t="s">
        <v>94</v>
      </c>
      <c r="O19" s="33" t="n">
        <f>159</f>
        <v>159.0</v>
      </c>
      <c r="P19" s="34" t="s">
        <v>48</v>
      </c>
      <c r="Q19" s="33" t="n">
        <f>163</f>
        <v>163.0</v>
      </c>
      <c r="R19" s="34" t="s">
        <v>51</v>
      </c>
      <c r="S19" s="35" t="n">
        <f>165.5</f>
        <v>165.5</v>
      </c>
      <c r="T19" s="32" t="n">
        <f>505300</f>
        <v>505300.0</v>
      </c>
      <c r="U19" s="32" t="n">
        <f>900</f>
        <v>900.0</v>
      </c>
      <c r="V19" s="32" t="n">
        <f>83547300</f>
        <v>8.35473E7</v>
      </c>
      <c r="W19" s="32" t="n">
        <f>151200</f>
        <v>151200.0</v>
      </c>
      <c r="X19" s="36" t="n">
        <f>22</f>
        <v>22.0</v>
      </c>
    </row>
    <row r="20">
      <c r="A20" s="27" t="s">
        <v>42</v>
      </c>
      <c r="B20" s="27" t="s">
        <v>95</v>
      </c>
      <c r="C20" s="27" t="s">
        <v>96</v>
      </c>
      <c r="D20" s="27" t="s">
        <v>97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100.0</v>
      </c>
      <c r="K20" s="33" t="n">
        <f>197</f>
        <v>197.0</v>
      </c>
      <c r="L20" s="34" t="s">
        <v>48</v>
      </c>
      <c r="M20" s="33" t="n">
        <f>213</f>
        <v>213.0</v>
      </c>
      <c r="N20" s="34" t="s">
        <v>98</v>
      </c>
      <c r="O20" s="33" t="n">
        <f>193</f>
        <v>193.0</v>
      </c>
      <c r="P20" s="34" t="s">
        <v>50</v>
      </c>
      <c r="Q20" s="33" t="n">
        <f>206</f>
        <v>206.0</v>
      </c>
      <c r="R20" s="34" t="s">
        <v>51</v>
      </c>
      <c r="S20" s="35" t="n">
        <f>208.18</f>
        <v>208.18</v>
      </c>
      <c r="T20" s="32" t="n">
        <f>934900</f>
        <v>934900.0</v>
      </c>
      <c r="U20" s="32" t="n">
        <f>500</f>
        <v>500.0</v>
      </c>
      <c r="V20" s="32" t="n">
        <f>192938500</f>
        <v>1.929385E8</v>
      </c>
      <c r="W20" s="32" t="n">
        <f>104300</f>
        <v>104300.0</v>
      </c>
      <c r="X20" s="36" t="n">
        <f>22</f>
        <v>22.0</v>
      </c>
    </row>
    <row r="21">
      <c r="A21" s="27" t="s">
        <v>42</v>
      </c>
      <c r="B21" s="27" t="s">
        <v>99</v>
      </c>
      <c r="C21" s="27" t="s">
        <v>100</v>
      </c>
      <c r="D21" s="27" t="s">
        <v>101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19560</f>
        <v>19560.0</v>
      </c>
      <c r="L21" s="34" t="s">
        <v>48</v>
      </c>
      <c r="M21" s="33" t="n">
        <f>19620</f>
        <v>19620.0</v>
      </c>
      <c r="N21" s="34" t="s">
        <v>48</v>
      </c>
      <c r="O21" s="33" t="n">
        <f>18160</f>
        <v>18160.0</v>
      </c>
      <c r="P21" s="34" t="s">
        <v>50</v>
      </c>
      <c r="Q21" s="33" t="n">
        <f>18180</f>
        <v>18180.0</v>
      </c>
      <c r="R21" s="34" t="s">
        <v>51</v>
      </c>
      <c r="S21" s="35" t="n">
        <f>18940.45</f>
        <v>18940.45</v>
      </c>
      <c r="T21" s="32" t="n">
        <f>431498</f>
        <v>431498.0</v>
      </c>
      <c r="U21" s="32" t="n">
        <f>40</f>
        <v>40.0</v>
      </c>
      <c r="V21" s="32" t="n">
        <f>8179577200</f>
        <v>8.1795772E9</v>
      </c>
      <c r="W21" s="32" t="n">
        <f>772800</f>
        <v>772800.0</v>
      </c>
      <c r="X21" s="36" t="n">
        <f>22</f>
        <v>22.0</v>
      </c>
    </row>
    <row r="22">
      <c r="A22" s="27" t="s">
        <v>42</v>
      </c>
      <c r="B22" s="27" t="s">
        <v>102</v>
      </c>
      <c r="C22" s="27" t="s">
        <v>103</v>
      </c>
      <c r="D22" s="27" t="s">
        <v>104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1.0</v>
      </c>
      <c r="K22" s="33" t="n">
        <f>3850</f>
        <v>3850.0</v>
      </c>
      <c r="L22" s="34" t="s">
        <v>48</v>
      </c>
      <c r="M22" s="33" t="n">
        <f>3950</f>
        <v>3950.0</v>
      </c>
      <c r="N22" s="34" t="s">
        <v>105</v>
      </c>
      <c r="O22" s="33" t="n">
        <f>3670</f>
        <v>3670.0</v>
      </c>
      <c r="P22" s="34" t="s">
        <v>50</v>
      </c>
      <c r="Q22" s="33" t="n">
        <f>3935</f>
        <v>3935.0</v>
      </c>
      <c r="R22" s="34" t="s">
        <v>51</v>
      </c>
      <c r="S22" s="35" t="n">
        <f>3882.05</f>
        <v>3882.05</v>
      </c>
      <c r="T22" s="32" t="n">
        <f>7650</f>
        <v>7650.0</v>
      </c>
      <c r="U22" s="32" t="n">
        <f>2</f>
        <v>2.0</v>
      </c>
      <c r="V22" s="32" t="n">
        <f>29401365</f>
        <v>2.9401365E7</v>
      </c>
      <c r="W22" s="32" t="n">
        <f>7830</f>
        <v>7830.0</v>
      </c>
      <c r="X22" s="36" t="n">
        <f>22</f>
        <v>22.0</v>
      </c>
    </row>
    <row r="23">
      <c r="A23" s="27" t="s">
        <v>42</v>
      </c>
      <c r="B23" s="27" t="s">
        <v>106</v>
      </c>
      <c r="C23" s="27" t="s">
        <v>107</v>
      </c>
      <c r="D23" s="27" t="s">
        <v>108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10.0</v>
      </c>
      <c r="K23" s="33" t="n">
        <f>5310</f>
        <v>5310.0</v>
      </c>
      <c r="L23" s="34" t="s">
        <v>48</v>
      </c>
      <c r="M23" s="33" t="n">
        <f>5330</f>
        <v>5330.0</v>
      </c>
      <c r="N23" s="34" t="s">
        <v>48</v>
      </c>
      <c r="O23" s="33" t="n">
        <f>4925</f>
        <v>4925.0</v>
      </c>
      <c r="P23" s="34" t="s">
        <v>51</v>
      </c>
      <c r="Q23" s="33" t="n">
        <f>4925</f>
        <v>4925.0</v>
      </c>
      <c r="R23" s="34" t="s">
        <v>51</v>
      </c>
      <c r="S23" s="35" t="n">
        <f>5137.95</f>
        <v>5137.95</v>
      </c>
      <c r="T23" s="32" t="n">
        <f>740060</f>
        <v>740060.0</v>
      </c>
      <c r="U23" s="32" t="n">
        <f>50</f>
        <v>50.0</v>
      </c>
      <c r="V23" s="32" t="n">
        <f>3777671700</f>
        <v>3.7776717E9</v>
      </c>
      <c r="W23" s="32" t="n">
        <f>253000</f>
        <v>253000.0</v>
      </c>
      <c r="X23" s="36" t="n">
        <f>22</f>
        <v>22.0</v>
      </c>
    </row>
    <row r="24">
      <c r="A24" s="27" t="s">
        <v>42</v>
      </c>
      <c r="B24" s="27" t="s">
        <v>109</v>
      </c>
      <c r="C24" s="27" t="s">
        <v>110</v>
      </c>
      <c r="D24" s="27" t="s">
        <v>111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30150</f>
        <v>30150.0</v>
      </c>
      <c r="L24" s="34" t="s">
        <v>48</v>
      </c>
      <c r="M24" s="33" t="n">
        <f>30600</f>
        <v>30600.0</v>
      </c>
      <c r="N24" s="34" t="s">
        <v>80</v>
      </c>
      <c r="O24" s="33" t="n">
        <f>28810</f>
        <v>28810.0</v>
      </c>
      <c r="P24" s="34" t="s">
        <v>50</v>
      </c>
      <c r="Q24" s="33" t="n">
        <f>29880</f>
        <v>29880.0</v>
      </c>
      <c r="R24" s="34" t="s">
        <v>51</v>
      </c>
      <c r="S24" s="35" t="n">
        <f>30005.91</f>
        <v>30005.91</v>
      </c>
      <c r="T24" s="32" t="n">
        <f>853741</f>
        <v>853741.0</v>
      </c>
      <c r="U24" s="32" t="n">
        <f>376054</f>
        <v>376054.0</v>
      </c>
      <c r="V24" s="32" t="n">
        <f>25345644726</f>
        <v>2.5345644726E10</v>
      </c>
      <c r="W24" s="32" t="n">
        <f>11101582116</f>
        <v>1.1101582116E10</v>
      </c>
      <c r="X24" s="36" t="n">
        <f>22</f>
        <v>22.0</v>
      </c>
    </row>
    <row r="25">
      <c r="A25" s="27" t="s">
        <v>42</v>
      </c>
      <c r="B25" s="27" t="s">
        <v>112</v>
      </c>
      <c r="C25" s="27" t="s">
        <v>113</v>
      </c>
      <c r="D25" s="27" t="s">
        <v>114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30150</f>
        <v>30150.0</v>
      </c>
      <c r="L25" s="34" t="s">
        <v>48</v>
      </c>
      <c r="M25" s="33" t="n">
        <f>30650</f>
        <v>30650.0</v>
      </c>
      <c r="N25" s="34" t="s">
        <v>80</v>
      </c>
      <c r="O25" s="33" t="n">
        <f>28880</f>
        <v>28880.0</v>
      </c>
      <c r="P25" s="34" t="s">
        <v>50</v>
      </c>
      <c r="Q25" s="33" t="n">
        <f>29950</f>
        <v>29950.0</v>
      </c>
      <c r="R25" s="34" t="s">
        <v>51</v>
      </c>
      <c r="S25" s="35" t="n">
        <f>30092.27</f>
        <v>30092.27</v>
      </c>
      <c r="T25" s="32" t="n">
        <f>1479060</f>
        <v>1479060.0</v>
      </c>
      <c r="U25" s="32" t="n">
        <f>416140</f>
        <v>416140.0</v>
      </c>
      <c r="V25" s="32" t="n">
        <f>44431090180</f>
        <v>4.443109018E10</v>
      </c>
      <c r="W25" s="32" t="n">
        <f>12605019980</f>
        <v>1.260501998E10</v>
      </c>
      <c r="X25" s="36" t="n">
        <f>22</f>
        <v>22.0</v>
      </c>
    </row>
    <row r="26">
      <c r="A26" s="27" t="s">
        <v>42</v>
      </c>
      <c r="B26" s="27" t="s">
        <v>115</v>
      </c>
      <c r="C26" s="27" t="s">
        <v>116</v>
      </c>
      <c r="D26" s="27" t="s">
        <v>117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10.0</v>
      </c>
      <c r="K26" s="33" t="n">
        <f>2220</f>
        <v>2220.0</v>
      </c>
      <c r="L26" s="34" t="s">
        <v>48</v>
      </c>
      <c r="M26" s="33" t="n">
        <f>2327</f>
        <v>2327.0</v>
      </c>
      <c r="N26" s="34" t="s">
        <v>51</v>
      </c>
      <c r="O26" s="33" t="n">
        <f>2203</f>
        <v>2203.0</v>
      </c>
      <c r="P26" s="34" t="s">
        <v>48</v>
      </c>
      <c r="Q26" s="33" t="n">
        <f>2307</f>
        <v>2307.0</v>
      </c>
      <c r="R26" s="34" t="s">
        <v>51</v>
      </c>
      <c r="S26" s="35" t="n">
        <f>2284.95</f>
        <v>2284.95</v>
      </c>
      <c r="T26" s="32" t="n">
        <f>8027570</f>
        <v>8027570.0</v>
      </c>
      <c r="U26" s="32" t="n">
        <f>1405490</f>
        <v>1405490.0</v>
      </c>
      <c r="V26" s="32" t="n">
        <f>18282983372</f>
        <v>1.8282983372E10</v>
      </c>
      <c r="W26" s="32" t="n">
        <f>3234705242</f>
        <v>3.234705242E9</v>
      </c>
      <c r="X26" s="36" t="n">
        <f>22</f>
        <v>22.0</v>
      </c>
    </row>
    <row r="27">
      <c r="A27" s="27" t="s">
        <v>42</v>
      </c>
      <c r="B27" s="27" t="s">
        <v>118</v>
      </c>
      <c r="C27" s="27" t="s">
        <v>119</v>
      </c>
      <c r="D27" s="27" t="s">
        <v>120</v>
      </c>
      <c r="E27" s="28" t="s">
        <v>46</v>
      </c>
      <c r="F27" s="29" t="s">
        <v>46</v>
      </c>
      <c r="G27" s="30" t="s">
        <v>46</v>
      </c>
      <c r="H27" s="31" t="s">
        <v>121</v>
      </c>
      <c r="I27" s="31" t="s">
        <v>47</v>
      </c>
      <c r="J27" s="32" t="n">
        <v>10.0</v>
      </c>
      <c r="K27" s="33" t="n">
        <f>882</f>
        <v>882.0</v>
      </c>
      <c r="L27" s="34" t="s">
        <v>48</v>
      </c>
      <c r="M27" s="33" t="n">
        <f>903</f>
        <v>903.0</v>
      </c>
      <c r="N27" s="34" t="s">
        <v>122</v>
      </c>
      <c r="O27" s="33" t="n">
        <f>863</f>
        <v>863.0</v>
      </c>
      <c r="P27" s="34" t="s">
        <v>50</v>
      </c>
      <c r="Q27" s="33" t="n">
        <f>891</f>
        <v>891.0</v>
      </c>
      <c r="R27" s="34" t="s">
        <v>51</v>
      </c>
      <c r="S27" s="35" t="n">
        <f>892.18</f>
        <v>892.18</v>
      </c>
      <c r="T27" s="32" t="n">
        <f>15410</f>
        <v>15410.0</v>
      </c>
      <c r="U27" s="32" t="n">
        <f>40</f>
        <v>40.0</v>
      </c>
      <c r="V27" s="32" t="n">
        <f>13718980</f>
        <v>1.371898E7</v>
      </c>
      <c r="W27" s="32" t="n">
        <f>35940</f>
        <v>35940.0</v>
      </c>
      <c r="X27" s="36" t="n">
        <f>22</f>
        <v>22.0</v>
      </c>
    </row>
    <row r="28">
      <c r="A28" s="27" t="s">
        <v>42</v>
      </c>
      <c r="B28" s="27" t="s">
        <v>123</v>
      </c>
      <c r="C28" s="27" t="s">
        <v>124</v>
      </c>
      <c r="D28" s="27" t="s">
        <v>125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100.0</v>
      </c>
      <c r="K28" s="33" t="n">
        <f>2093</f>
        <v>2093.0</v>
      </c>
      <c r="L28" s="34" t="s">
        <v>48</v>
      </c>
      <c r="M28" s="33" t="n">
        <f>2196</f>
        <v>2196.0</v>
      </c>
      <c r="N28" s="34" t="s">
        <v>51</v>
      </c>
      <c r="O28" s="33" t="n">
        <f>2083</f>
        <v>2083.0</v>
      </c>
      <c r="P28" s="34" t="s">
        <v>48</v>
      </c>
      <c r="Q28" s="33" t="n">
        <f>2180</f>
        <v>2180.0</v>
      </c>
      <c r="R28" s="34" t="s">
        <v>51</v>
      </c>
      <c r="S28" s="35" t="n">
        <f>2157.68</f>
        <v>2157.68</v>
      </c>
      <c r="T28" s="32" t="n">
        <f>1673700</f>
        <v>1673700.0</v>
      </c>
      <c r="U28" s="32" t="n">
        <f>187200</f>
        <v>187200.0</v>
      </c>
      <c r="V28" s="32" t="n">
        <f>3593907989</f>
        <v>3.593907989E9</v>
      </c>
      <c r="W28" s="32" t="n">
        <f>404553289</f>
        <v>4.04553289E8</v>
      </c>
      <c r="X28" s="36" t="n">
        <f>22</f>
        <v>22.0</v>
      </c>
    </row>
    <row r="29">
      <c r="A29" s="27" t="s">
        <v>42</v>
      </c>
      <c r="B29" s="27" t="s">
        <v>126</v>
      </c>
      <c r="C29" s="27" t="s">
        <v>127</v>
      </c>
      <c r="D29" s="27" t="s">
        <v>128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30100</f>
        <v>30100.0</v>
      </c>
      <c r="L29" s="34" t="s">
        <v>48</v>
      </c>
      <c r="M29" s="33" t="n">
        <f>30600</f>
        <v>30600.0</v>
      </c>
      <c r="N29" s="34" t="s">
        <v>80</v>
      </c>
      <c r="O29" s="33" t="n">
        <f>28810</f>
        <v>28810.0</v>
      </c>
      <c r="P29" s="34" t="s">
        <v>50</v>
      </c>
      <c r="Q29" s="33" t="n">
        <f>29880</f>
        <v>29880.0</v>
      </c>
      <c r="R29" s="34" t="s">
        <v>51</v>
      </c>
      <c r="S29" s="35" t="n">
        <f>30007.27</f>
        <v>30007.27</v>
      </c>
      <c r="T29" s="32" t="n">
        <f>957925</f>
        <v>957925.0</v>
      </c>
      <c r="U29" s="32" t="n">
        <f>356951</f>
        <v>356951.0</v>
      </c>
      <c r="V29" s="32" t="n">
        <f>28648973805</f>
        <v>2.8648973805E10</v>
      </c>
      <c r="W29" s="32" t="n">
        <f>10756494695</f>
        <v>1.0756494695E10</v>
      </c>
      <c r="X29" s="36" t="n">
        <f>22</f>
        <v>22.0</v>
      </c>
    </row>
    <row r="30">
      <c r="A30" s="27" t="s">
        <v>42</v>
      </c>
      <c r="B30" s="27" t="s">
        <v>129</v>
      </c>
      <c r="C30" s="27" t="s">
        <v>130</v>
      </c>
      <c r="D30" s="27" t="s">
        <v>131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2012</f>
        <v>2012.0</v>
      </c>
      <c r="L30" s="34" t="s">
        <v>48</v>
      </c>
      <c r="M30" s="33" t="n">
        <f>2067</f>
        <v>2067.0</v>
      </c>
      <c r="N30" s="34" t="s">
        <v>49</v>
      </c>
      <c r="O30" s="33" t="n">
        <f>1970</f>
        <v>1970.0</v>
      </c>
      <c r="P30" s="34" t="s">
        <v>50</v>
      </c>
      <c r="Q30" s="33" t="n">
        <f>2028</f>
        <v>2028.0</v>
      </c>
      <c r="R30" s="34" t="s">
        <v>51</v>
      </c>
      <c r="S30" s="35" t="n">
        <f>2035.05</f>
        <v>2035.05</v>
      </c>
      <c r="T30" s="32" t="n">
        <f>3199770</f>
        <v>3199770.0</v>
      </c>
      <c r="U30" s="32" t="n">
        <f>272300</f>
        <v>272300.0</v>
      </c>
      <c r="V30" s="32" t="n">
        <f>6522494832</f>
        <v>6.522494832E9</v>
      </c>
      <c r="W30" s="32" t="n">
        <f>555686082</f>
        <v>5.55686082E8</v>
      </c>
      <c r="X30" s="36" t="n">
        <f>22</f>
        <v>22.0</v>
      </c>
    </row>
    <row r="31">
      <c r="A31" s="27" t="s">
        <v>42</v>
      </c>
      <c r="B31" s="27" t="s">
        <v>132</v>
      </c>
      <c r="C31" s="27" t="s">
        <v>133</v>
      </c>
      <c r="D31" s="27" t="s">
        <v>134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13450</f>
        <v>13450.0</v>
      </c>
      <c r="L31" s="34" t="s">
        <v>48</v>
      </c>
      <c r="M31" s="33" t="n">
        <f>13630</f>
        <v>13630.0</v>
      </c>
      <c r="N31" s="34" t="s">
        <v>80</v>
      </c>
      <c r="O31" s="33" t="n">
        <f>13400</f>
        <v>13400.0</v>
      </c>
      <c r="P31" s="34" t="s">
        <v>50</v>
      </c>
      <c r="Q31" s="33" t="n">
        <f>13530</f>
        <v>13530.0</v>
      </c>
      <c r="R31" s="34" t="s">
        <v>51</v>
      </c>
      <c r="S31" s="35" t="n">
        <f>13531.82</f>
        <v>13531.82</v>
      </c>
      <c r="T31" s="32" t="n">
        <f>8941</f>
        <v>8941.0</v>
      </c>
      <c r="U31" s="32" t="n">
        <f>7503</f>
        <v>7503.0</v>
      </c>
      <c r="V31" s="32" t="n">
        <f>120229960</f>
        <v>1.2022996E8</v>
      </c>
      <c r="W31" s="32" t="n">
        <f>100786780</f>
        <v>1.0078678E8</v>
      </c>
      <c r="X31" s="36" t="n">
        <f>22</f>
        <v>22.0</v>
      </c>
    </row>
    <row r="32">
      <c r="A32" s="27" t="s">
        <v>42</v>
      </c>
      <c r="B32" s="27" t="s">
        <v>135</v>
      </c>
      <c r="C32" s="27" t="s">
        <v>136</v>
      </c>
      <c r="D32" s="27" t="s">
        <v>137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10.0</v>
      </c>
      <c r="K32" s="33" t="n">
        <f>1173</f>
        <v>1173.0</v>
      </c>
      <c r="L32" s="34" t="s">
        <v>48</v>
      </c>
      <c r="M32" s="33" t="n">
        <f>1224</f>
        <v>1224.0</v>
      </c>
      <c r="N32" s="34" t="s">
        <v>50</v>
      </c>
      <c r="O32" s="33" t="n">
        <f>1113</f>
        <v>1113.0</v>
      </c>
      <c r="P32" s="34" t="s">
        <v>49</v>
      </c>
      <c r="Q32" s="33" t="n">
        <f>1150</f>
        <v>1150.0</v>
      </c>
      <c r="R32" s="34" t="s">
        <v>51</v>
      </c>
      <c r="S32" s="35" t="n">
        <f>1146.05</f>
        <v>1146.05</v>
      </c>
      <c r="T32" s="32" t="n">
        <f>7941930</f>
        <v>7941930.0</v>
      </c>
      <c r="U32" s="32" t="n">
        <f>5430</f>
        <v>5430.0</v>
      </c>
      <c r="V32" s="32" t="n">
        <f>9184442950</f>
        <v>9.18444295E9</v>
      </c>
      <c r="W32" s="32" t="n">
        <f>6324140</f>
        <v>6324140.0</v>
      </c>
      <c r="X32" s="36" t="n">
        <f>22</f>
        <v>22.0</v>
      </c>
    </row>
    <row r="33">
      <c r="A33" s="27" t="s">
        <v>42</v>
      </c>
      <c r="B33" s="27" t="s">
        <v>138</v>
      </c>
      <c r="C33" s="27" t="s">
        <v>139</v>
      </c>
      <c r="D33" s="27" t="s">
        <v>140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412</f>
        <v>412.0</v>
      </c>
      <c r="L33" s="34" t="s">
        <v>48</v>
      </c>
      <c r="M33" s="33" t="n">
        <f>447</f>
        <v>447.0</v>
      </c>
      <c r="N33" s="34" t="s">
        <v>50</v>
      </c>
      <c r="O33" s="33" t="n">
        <f>399</f>
        <v>399.0</v>
      </c>
      <c r="P33" s="34" t="s">
        <v>80</v>
      </c>
      <c r="Q33" s="33" t="n">
        <f>414</f>
        <v>414.0</v>
      </c>
      <c r="R33" s="34" t="s">
        <v>51</v>
      </c>
      <c r="S33" s="35" t="n">
        <f>413.14</f>
        <v>413.14</v>
      </c>
      <c r="T33" s="32" t="n">
        <f>916064324</f>
        <v>9.16064324E8</v>
      </c>
      <c r="U33" s="32" t="n">
        <f>2565825</f>
        <v>2565825.0</v>
      </c>
      <c r="V33" s="32" t="n">
        <f>380222483294</f>
        <v>3.80222483294E11</v>
      </c>
      <c r="W33" s="32" t="n">
        <f>1143829552</f>
        <v>1.143829552E9</v>
      </c>
      <c r="X33" s="36" t="n">
        <f>22</f>
        <v>22.0</v>
      </c>
    </row>
    <row r="34">
      <c r="A34" s="27" t="s">
        <v>42</v>
      </c>
      <c r="B34" s="27" t="s">
        <v>141</v>
      </c>
      <c r="C34" s="27" t="s">
        <v>142</v>
      </c>
      <c r="D34" s="27" t="s">
        <v>143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29830</f>
        <v>29830.0</v>
      </c>
      <c r="L34" s="34" t="s">
        <v>48</v>
      </c>
      <c r="M34" s="33" t="n">
        <f>30750</f>
        <v>30750.0</v>
      </c>
      <c r="N34" s="34" t="s">
        <v>80</v>
      </c>
      <c r="O34" s="33" t="n">
        <f>27240</f>
        <v>27240.0</v>
      </c>
      <c r="P34" s="34" t="s">
        <v>50</v>
      </c>
      <c r="Q34" s="33" t="n">
        <f>29270</f>
        <v>29270.0</v>
      </c>
      <c r="R34" s="34" t="s">
        <v>51</v>
      </c>
      <c r="S34" s="35" t="n">
        <f>29599.09</f>
        <v>29599.09</v>
      </c>
      <c r="T34" s="32" t="n">
        <f>388532</f>
        <v>388532.0</v>
      </c>
      <c r="U34" s="32" t="n">
        <f>1</f>
        <v>1.0</v>
      </c>
      <c r="V34" s="32" t="n">
        <f>11372333260</f>
        <v>1.137233326E10</v>
      </c>
      <c r="W34" s="32" t="n">
        <f>29360</f>
        <v>29360.0</v>
      </c>
      <c r="X34" s="36" t="n">
        <f>22</f>
        <v>22.0</v>
      </c>
    </row>
    <row r="35">
      <c r="A35" s="27" t="s">
        <v>42</v>
      </c>
      <c r="B35" s="27" t="s">
        <v>144</v>
      </c>
      <c r="C35" s="27" t="s">
        <v>145</v>
      </c>
      <c r="D35" s="27" t="s">
        <v>146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10.0</v>
      </c>
      <c r="K35" s="33" t="n">
        <f>1007</f>
        <v>1007.0</v>
      </c>
      <c r="L35" s="34" t="s">
        <v>48</v>
      </c>
      <c r="M35" s="33" t="n">
        <f>1092</f>
        <v>1092.0</v>
      </c>
      <c r="N35" s="34" t="s">
        <v>50</v>
      </c>
      <c r="O35" s="33" t="n">
        <f>974</f>
        <v>974.0</v>
      </c>
      <c r="P35" s="34" t="s">
        <v>80</v>
      </c>
      <c r="Q35" s="33" t="n">
        <f>1015</f>
        <v>1015.0</v>
      </c>
      <c r="R35" s="34" t="s">
        <v>51</v>
      </c>
      <c r="S35" s="35" t="n">
        <f>1009.91</f>
        <v>1009.91</v>
      </c>
      <c r="T35" s="32" t="n">
        <f>277968460</f>
        <v>2.7796846E8</v>
      </c>
      <c r="U35" s="32" t="n">
        <f>313630</f>
        <v>313630.0</v>
      </c>
      <c r="V35" s="32" t="n">
        <f>281341091386</f>
        <v>2.81341091386E11</v>
      </c>
      <c r="W35" s="32" t="n">
        <f>322933886</f>
        <v>3.22933886E8</v>
      </c>
      <c r="X35" s="36" t="n">
        <f>22</f>
        <v>22.0</v>
      </c>
    </row>
    <row r="36">
      <c r="A36" s="27" t="s">
        <v>42</v>
      </c>
      <c r="B36" s="27" t="s">
        <v>147</v>
      </c>
      <c r="C36" s="27" t="s">
        <v>148</v>
      </c>
      <c r="D36" s="27" t="s">
        <v>149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17950</f>
        <v>17950.0</v>
      </c>
      <c r="L36" s="34" t="s">
        <v>48</v>
      </c>
      <c r="M36" s="33" t="n">
        <f>18340</f>
        <v>18340.0</v>
      </c>
      <c r="N36" s="34" t="s">
        <v>49</v>
      </c>
      <c r="O36" s="33" t="n">
        <f>17480</f>
        <v>17480.0</v>
      </c>
      <c r="P36" s="34" t="s">
        <v>50</v>
      </c>
      <c r="Q36" s="33" t="n">
        <f>17960</f>
        <v>17960.0</v>
      </c>
      <c r="R36" s="34" t="s">
        <v>51</v>
      </c>
      <c r="S36" s="35" t="n">
        <f>18080.45</f>
        <v>18080.45</v>
      </c>
      <c r="T36" s="32" t="n">
        <f>6856</f>
        <v>6856.0</v>
      </c>
      <c r="U36" s="32" t="str">
        <f>"－"</f>
        <v>－</v>
      </c>
      <c r="V36" s="32" t="n">
        <f>123067640</f>
        <v>1.2306764E8</v>
      </c>
      <c r="W36" s="32" t="str">
        <f>"－"</f>
        <v>－</v>
      </c>
      <c r="X36" s="36" t="n">
        <f>22</f>
        <v>22.0</v>
      </c>
    </row>
    <row r="37">
      <c r="A37" s="27" t="s">
        <v>42</v>
      </c>
      <c r="B37" s="27" t="s">
        <v>150</v>
      </c>
      <c r="C37" s="27" t="s">
        <v>151</v>
      </c>
      <c r="D37" s="27" t="s">
        <v>152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24670</f>
        <v>24670.0</v>
      </c>
      <c r="L37" s="34" t="s">
        <v>48</v>
      </c>
      <c r="M37" s="33" t="n">
        <f>25420</f>
        <v>25420.0</v>
      </c>
      <c r="N37" s="34" t="s">
        <v>80</v>
      </c>
      <c r="O37" s="33" t="n">
        <f>22510</f>
        <v>22510.0</v>
      </c>
      <c r="P37" s="34" t="s">
        <v>50</v>
      </c>
      <c r="Q37" s="33" t="n">
        <f>24210</f>
        <v>24210.0</v>
      </c>
      <c r="R37" s="34" t="s">
        <v>51</v>
      </c>
      <c r="S37" s="35" t="n">
        <f>24495</f>
        <v>24495.0</v>
      </c>
      <c r="T37" s="32" t="n">
        <f>882102</f>
        <v>882102.0</v>
      </c>
      <c r="U37" s="32" t="n">
        <f>11</f>
        <v>11.0</v>
      </c>
      <c r="V37" s="32" t="n">
        <f>21444145090</f>
        <v>2.144414509E10</v>
      </c>
      <c r="W37" s="32" t="n">
        <f>267780</f>
        <v>267780.0</v>
      </c>
      <c r="X37" s="36" t="n">
        <f>22</f>
        <v>22.0</v>
      </c>
    </row>
    <row r="38">
      <c r="A38" s="27" t="s">
        <v>42</v>
      </c>
      <c r="B38" s="27" t="s">
        <v>153</v>
      </c>
      <c r="C38" s="27" t="s">
        <v>154</v>
      </c>
      <c r="D38" s="27" t="s">
        <v>155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1076</f>
        <v>1076.0</v>
      </c>
      <c r="L38" s="34" t="s">
        <v>48</v>
      </c>
      <c r="M38" s="33" t="n">
        <f>1169</f>
        <v>1169.0</v>
      </c>
      <c r="N38" s="34" t="s">
        <v>50</v>
      </c>
      <c r="O38" s="33" t="n">
        <f>1043</f>
        <v>1043.0</v>
      </c>
      <c r="P38" s="34" t="s">
        <v>80</v>
      </c>
      <c r="Q38" s="33" t="n">
        <f>1084</f>
        <v>1084.0</v>
      </c>
      <c r="R38" s="34" t="s">
        <v>51</v>
      </c>
      <c r="S38" s="35" t="n">
        <f>1080.18</f>
        <v>1080.18</v>
      </c>
      <c r="T38" s="32" t="n">
        <f>7301955</f>
        <v>7301955.0</v>
      </c>
      <c r="U38" s="32" t="n">
        <f>100</f>
        <v>100.0</v>
      </c>
      <c r="V38" s="32" t="n">
        <f>7924512489</f>
        <v>7.924512489E9</v>
      </c>
      <c r="W38" s="32" t="n">
        <f>104900</f>
        <v>104900.0</v>
      </c>
      <c r="X38" s="36" t="n">
        <f>22</f>
        <v>22.0</v>
      </c>
    </row>
    <row r="39">
      <c r="A39" s="27" t="s">
        <v>42</v>
      </c>
      <c r="B39" s="27" t="s">
        <v>156</v>
      </c>
      <c r="C39" s="27" t="s">
        <v>157</v>
      </c>
      <c r="D39" s="27" t="s">
        <v>158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18290</f>
        <v>18290.0</v>
      </c>
      <c r="L39" s="34" t="s">
        <v>48</v>
      </c>
      <c r="M39" s="33" t="n">
        <f>19280</f>
        <v>19280.0</v>
      </c>
      <c r="N39" s="34" t="s">
        <v>49</v>
      </c>
      <c r="O39" s="33" t="n">
        <f>17470</f>
        <v>17470.0</v>
      </c>
      <c r="P39" s="34" t="s">
        <v>50</v>
      </c>
      <c r="Q39" s="33" t="n">
        <f>18500</f>
        <v>18500.0</v>
      </c>
      <c r="R39" s="34" t="s">
        <v>51</v>
      </c>
      <c r="S39" s="35" t="n">
        <f>18692.73</f>
        <v>18692.73</v>
      </c>
      <c r="T39" s="32" t="n">
        <f>295002</f>
        <v>295002.0</v>
      </c>
      <c r="U39" s="32" t="n">
        <f>21</f>
        <v>21.0</v>
      </c>
      <c r="V39" s="32" t="n">
        <f>5483286310</f>
        <v>5.48328631E9</v>
      </c>
      <c r="W39" s="32" t="n">
        <f>391300</f>
        <v>391300.0</v>
      </c>
      <c r="X39" s="36" t="n">
        <f>22</f>
        <v>22.0</v>
      </c>
    </row>
    <row r="40">
      <c r="A40" s="27" t="s">
        <v>42</v>
      </c>
      <c r="B40" s="27" t="s">
        <v>159</v>
      </c>
      <c r="C40" s="27" t="s">
        <v>160</v>
      </c>
      <c r="D40" s="27" t="s">
        <v>161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1703</f>
        <v>1703.0</v>
      </c>
      <c r="L40" s="34" t="s">
        <v>48</v>
      </c>
      <c r="M40" s="33" t="n">
        <f>1775</f>
        <v>1775.0</v>
      </c>
      <c r="N40" s="34" t="s">
        <v>50</v>
      </c>
      <c r="O40" s="33" t="n">
        <f>1615</f>
        <v>1615.0</v>
      </c>
      <c r="P40" s="34" t="s">
        <v>49</v>
      </c>
      <c r="Q40" s="33" t="n">
        <f>1668</f>
        <v>1668.0</v>
      </c>
      <c r="R40" s="34" t="s">
        <v>51</v>
      </c>
      <c r="S40" s="35" t="n">
        <f>1662.14</f>
        <v>1662.14</v>
      </c>
      <c r="T40" s="32" t="n">
        <f>2516508</f>
        <v>2516508.0</v>
      </c>
      <c r="U40" s="32" t="n">
        <f>270</f>
        <v>270.0</v>
      </c>
      <c r="V40" s="32" t="n">
        <f>4210545051</f>
        <v>4.210545051E9</v>
      </c>
      <c r="W40" s="32" t="n">
        <f>449760</f>
        <v>449760.0</v>
      </c>
      <c r="X40" s="36" t="n">
        <f>22</f>
        <v>22.0</v>
      </c>
    </row>
    <row r="41">
      <c r="A41" s="27" t="s">
        <v>42</v>
      </c>
      <c r="B41" s="27" t="s">
        <v>162</v>
      </c>
      <c r="C41" s="27" t="s">
        <v>163</v>
      </c>
      <c r="D41" s="27" t="s">
        <v>164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29230</f>
        <v>29230.0</v>
      </c>
      <c r="L41" s="34" t="s">
        <v>48</v>
      </c>
      <c r="M41" s="33" t="n">
        <f>29690</f>
        <v>29690.0</v>
      </c>
      <c r="N41" s="34" t="s">
        <v>80</v>
      </c>
      <c r="O41" s="33" t="n">
        <f>27990</f>
        <v>27990.0</v>
      </c>
      <c r="P41" s="34" t="s">
        <v>50</v>
      </c>
      <c r="Q41" s="33" t="n">
        <f>29030</f>
        <v>29030.0</v>
      </c>
      <c r="R41" s="34" t="s">
        <v>51</v>
      </c>
      <c r="S41" s="35" t="n">
        <f>29148.64</f>
        <v>29148.64</v>
      </c>
      <c r="T41" s="32" t="n">
        <f>153820</f>
        <v>153820.0</v>
      </c>
      <c r="U41" s="32" t="n">
        <f>45002</f>
        <v>45002.0</v>
      </c>
      <c r="V41" s="32" t="n">
        <f>4465221480</f>
        <v>4.46522148E9</v>
      </c>
      <c r="W41" s="32" t="n">
        <f>1317933000</f>
        <v>1.317933E9</v>
      </c>
      <c r="X41" s="36" t="n">
        <f>22</f>
        <v>22.0</v>
      </c>
    </row>
    <row r="42">
      <c r="A42" s="27" t="s">
        <v>42</v>
      </c>
      <c r="B42" s="27" t="s">
        <v>165</v>
      </c>
      <c r="C42" s="27" t="s">
        <v>166</v>
      </c>
      <c r="D42" s="27" t="s">
        <v>167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5620</f>
        <v>5620.0</v>
      </c>
      <c r="L42" s="34" t="s">
        <v>48</v>
      </c>
      <c r="M42" s="33" t="n">
        <f>5770</f>
        <v>5770.0</v>
      </c>
      <c r="N42" s="34" t="s">
        <v>49</v>
      </c>
      <c r="O42" s="33" t="n">
        <f>5310</f>
        <v>5310.0</v>
      </c>
      <c r="P42" s="34" t="s">
        <v>50</v>
      </c>
      <c r="Q42" s="33" t="n">
        <f>5520</f>
        <v>5520.0</v>
      </c>
      <c r="R42" s="34" t="s">
        <v>51</v>
      </c>
      <c r="S42" s="35" t="n">
        <f>5604.09</f>
        <v>5604.09</v>
      </c>
      <c r="T42" s="32" t="n">
        <f>17246</f>
        <v>17246.0</v>
      </c>
      <c r="U42" s="32" t="n">
        <f>1</f>
        <v>1.0</v>
      </c>
      <c r="V42" s="32" t="n">
        <f>97054840</f>
        <v>9.705484E7</v>
      </c>
      <c r="W42" s="32" t="n">
        <f>5580</f>
        <v>5580.0</v>
      </c>
      <c r="X42" s="36" t="n">
        <f>22</f>
        <v>22.0</v>
      </c>
    </row>
    <row r="43">
      <c r="A43" s="27" t="s">
        <v>42</v>
      </c>
      <c r="B43" s="27" t="s">
        <v>168</v>
      </c>
      <c r="C43" s="27" t="s">
        <v>169</v>
      </c>
      <c r="D43" s="27" t="s">
        <v>170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9780</f>
        <v>9780.0</v>
      </c>
      <c r="L43" s="34" t="s">
        <v>48</v>
      </c>
      <c r="M43" s="33" t="n">
        <f>10390</f>
        <v>10390.0</v>
      </c>
      <c r="N43" s="34" t="s">
        <v>171</v>
      </c>
      <c r="O43" s="33" t="n">
        <f>9540</f>
        <v>9540.0</v>
      </c>
      <c r="P43" s="34" t="s">
        <v>50</v>
      </c>
      <c r="Q43" s="33" t="n">
        <f>10050</f>
        <v>10050.0</v>
      </c>
      <c r="R43" s="34" t="s">
        <v>51</v>
      </c>
      <c r="S43" s="35" t="n">
        <f>10011.36</f>
        <v>10011.36</v>
      </c>
      <c r="T43" s="32" t="n">
        <f>9079</f>
        <v>9079.0</v>
      </c>
      <c r="U43" s="32" t="n">
        <f>4</f>
        <v>4.0</v>
      </c>
      <c r="V43" s="32" t="n">
        <f>90837580</f>
        <v>9.083758E7</v>
      </c>
      <c r="W43" s="32" t="n">
        <f>39390</f>
        <v>39390.0</v>
      </c>
      <c r="X43" s="36" t="n">
        <f>22</f>
        <v>22.0</v>
      </c>
    </row>
    <row r="44">
      <c r="A44" s="27" t="s">
        <v>42</v>
      </c>
      <c r="B44" s="27" t="s">
        <v>172</v>
      </c>
      <c r="C44" s="27" t="s">
        <v>173</v>
      </c>
      <c r="D44" s="27" t="s">
        <v>174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19500</f>
        <v>19500.0</v>
      </c>
      <c r="L44" s="34" t="s">
        <v>48</v>
      </c>
      <c r="M44" s="33" t="n">
        <f>20120</f>
        <v>20120.0</v>
      </c>
      <c r="N44" s="34" t="s">
        <v>175</v>
      </c>
      <c r="O44" s="33" t="n">
        <f>18760</f>
        <v>18760.0</v>
      </c>
      <c r="P44" s="34" t="s">
        <v>50</v>
      </c>
      <c r="Q44" s="33" t="n">
        <f>19700</f>
        <v>19700.0</v>
      </c>
      <c r="R44" s="34" t="s">
        <v>73</v>
      </c>
      <c r="S44" s="35" t="n">
        <f>19724.5</f>
        <v>19724.5</v>
      </c>
      <c r="T44" s="32" t="n">
        <f>895</f>
        <v>895.0</v>
      </c>
      <c r="U44" s="32" t="str">
        <f>"－"</f>
        <v>－</v>
      </c>
      <c r="V44" s="32" t="n">
        <f>17473960</f>
        <v>1.747396E7</v>
      </c>
      <c r="W44" s="32" t="str">
        <f>"－"</f>
        <v>－</v>
      </c>
      <c r="X44" s="36" t="n">
        <f>20</f>
        <v>20.0</v>
      </c>
    </row>
    <row r="45">
      <c r="A45" s="27" t="s">
        <v>42</v>
      </c>
      <c r="B45" s="27" t="s">
        <v>176</v>
      </c>
      <c r="C45" s="27" t="s">
        <v>177</v>
      </c>
      <c r="D45" s="27" t="s">
        <v>178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17370</f>
        <v>17370.0</v>
      </c>
      <c r="L45" s="34" t="s">
        <v>48</v>
      </c>
      <c r="M45" s="33" t="n">
        <f>18120</f>
        <v>18120.0</v>
      </c>
      <c r="N45" s="34" t="s">
        <v>49</v>
      </c>
      <c r="O45" s="33" t="n">
        <f>16500</f>
        <v>16500.0</v>
      </c>
      <c r="P45" s="34" t="s">
        <v>50</v>
      </c>
      <c r="Q45" s="33" t="n">
        <f>17260</f>
        <v>17260.0</v>
      </c>
      <c r="R45" s="34" t="s">
        <v>51</v>
      </c>
      <c r="S45" s="35" t="n">
        <f>17323.68</f>
        <v>17323.68</v>
      </c>
      <c r="T45" s="32" t="n">
        <f>379</f>
        <v>379.0</v>
      </c>
      <c r="U45" s="32" t="n">
        <f>2</f>
        <v>2.0</v>
      </c>
      <c r="V45" s="32" t="n">
        <f>6588960</f>
        <v>6588960.0</v>
      </c>
      <c r="W45" s="32" t="n">
        <f>34580</f>
        <v>34580.0</v>
      </c>
      <c r="X45" s="36" t="n">
        <f>19</f>
        <v>19.0</v>
      </c>
    </row>
    <row r="46">
      <c r="A46" s="27" t="s">
        <v>42</v>
      </c>
      <c r="B46" s="27" t="s">
        <v>179</v>
      </c>
      <c r="C46" s="27" t="s">
        <v>180</v>
      </c>
      <c r="D46" s="27" t="s">
        <v>181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10150</f>
        <v>10150.0</v>
      </c>
      <c r="L46" s="34" t="s">
        <v>48</v>
      </c>
      <c r="M46" s="33" t="n">
        <f>10680</f>
        <v>10680.0</v>
      </c>
      <c r="N46" s="34" t="s">
        <v>67</v>
      </c>
      <c r="O46" s="33" t="n">
        <f>9780</f>
        <v>9780.0</v>
      </c>
      <c r="P46" s="34" t="s">
        <v>50</v>
      </c>
      <c r="Q46" s="33" t="n">
        <f>10240</f>
        <v>10240.0</v>
      </c>
      <c r="R46" s="34" t="s">
        <v>51</v>
      </c>
      <c r="S46" s="35" t="n">
        <f>10293.18</f>
        <v>10293.18</v>
      </c>
      <c r="T46" s="32" t="n">
        <f>5524</f>
        <v>5524.0</v>
      </c>
      <c r="U46" s="32" t="n">
        <f>4</f>
        <v>4.0</v>
      </c>
      <c r="V46" s="32" t="n">
        <f>55989780</f>
        <v>5.598978E7</v>
      </c>
      <c r="W46" s="32" t="n">
        <f>41010</f>
        <v>41010.0</v>
      </c>
      <c r="X46" s="36" t="n">
        <f>22</f>
        <v>22.0</v>
      </c>
    </row>
    <row r="47">
      <c r="A47" s="27" t="s">
        <v>42</v>
      </c>
      <c r="B47" s="27" t="s">
        <v>182</v>
      </c>
      <c r="C47" s="27" t="s">
        <v>183</v>
      </c>
      <c r="D47" s="27" t="s">
        <v>184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5580</f>
        <v>5580.0</v>
      </c>
      <c r="L47" s="34" t="s">
        <v>48</v>
      </c>
      <c r="M47" s="33" t="n">
        <f>5860</f>
        <v>5860.0</v>
      </c>
      <c r="N47" s="34" t="s">
        <v>185</v>
      </c>
      <c r="O47" s="33" t="n">
        <f>5500</f>
        <v>5500.0</v>
      </c>
      <c r="P47" s="34" t="s">
        <v>50</v>
      </c>
      <c r="Q47" s="33" t="n">
        <f>5770</f>
        <v>5770.0</v>
      </c>
      <c r="R47" s="34" t="s">
        <v>51</v>
      </c>
      <c r="S47" s="35" t="n">
        <f>5687.27</f>
        <v>5687.27</v>
      </c>
      <c r="T47" s="32" t="n">
        <f>3014</f>
        <v>3014.0</v>
      </c>
      <c r="U47" s="32" t="n">
        <f>3</f>
        <v>3.0</v>
      </c>
      <c r="V47" s="32" t="n">
        <f>17121540</f>
        <v>1.712154E7</v>
      </c>
      <c r="W47" s="32" t="n">
        <f>17030</f>
        <v>17030.0</v>
      </c>
      <c r="X47" s="36" t="n">
        <f>22</f>
        <v>22.0</v>
      </c>
    </row>
    <row r="48">
      <c r="A48" s="27" t="s">
        <v>42</v>
      </c>
      <c r="B48" s="27" t="s">
        <v>186</v>
      </c>
      <c r="C48" s="27" t="s">
        <v>187</v>
      </c>
      <c r="D48" s="27" t="s">
        <v>188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2744</f>
        <v>2744.0</v>
      </c>
      <c r="L48" s="34" t="s">
        <v>48</v>
      </c>
      <c r="M48" s="33" t="n">
        <f>2906</f>
        <v>2906.0</v>
      </c>
      <c r="N48" s="34" t="s">
        <v>49</v>
      </c>
      <c r="O48" s="33" t="n">
        <f>2719</f>
        <v>2719.0</v>
      </c>
      <c r="P48" s="34" t="s">
        <v>48</v>
      </c>
      <c r="Q48" s="33" t="n">
        <f>2840</f>
        <v>2840.0</v>
      </c>
      <c r="R48" s="34" t="s">
        <v>51</v>
      </c>
      <c r="S48" s="35" t="n">
        <f>2821.77</f>
        <v>2821.77</v>
      </c>
      <c r="T48" s="32" t="n">
        <f>11983</f>
        <v>11983.0</v>
      </c>
      <c r="U48" s="32" t="n">
        <f>13</f>
        <v>13.0</v>
      </c>
      <c r="V48" s="32" t="n">
        <f>33979282</f>
        <v>3.3979282E7</v>
      </c>
      <c r="W48" s="32" t="n">
        <f>37141</f>
        <v>37141.0</v>
      </c>
      <c r="X48" s="36" t="n">
        <f>22</f>
        <v>22.0</v>
      </c>
    </row>
    <row r="49">
      <c r="A49" s="27" t="s">
        <v>42</v>
      </c>
      <c r="B49" s="27" t="s">
        <v>189</v>
      </c>
      <c r="C49" s="27" t="s">
        <v>190</v>
      </c>
      <c r="D49" s="27" t="s">
        <v>191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2741</f>
        <v>2741.0</v>
      </c>
      <c r="L49" s="34" t="s">
        <v>48</v>
      </c>
      <c r="M49" s="33" t="n">
        <f>2809</f>
        <v>2809.0</v>
      </c>
      <c r="N49" s="34" t="s">
        <v>67</v>
      </c>
      <c r="O49" s="33" t="n">
        <f>2623</f>
        <v>2623.0</v>
      </c>
      <c r="P49" s="34" t="s">
        <v>50</v>
      </c>
      <c r="Q49" s="33" t="n">
        <f>2733</f>
        <v>2733.0</v>
      </c>
      <c r="R49" s="34" t="s">
        <v>51</v>
      </c>
      <c r="S49" s="35" t="n">
        <f>2748.32</f>
        <v>2748.32</v>
      </c>
      <c r="T49" s="32" t="n">
        <f>12988</f>
        <v>12988.0</v>
      </c>
      <c r="U49" s="32" t="n">
        <f>3</f>
        <v>3.0</v>
      </c>
      <c r="V49" s="32" t="n">
        <f>35428920</f>
        <v>3.542892E7</v>
      </c>
      <c r="W49" s="32" t="n">
        <f>8242</f>
        <v>8242.0</v>
      </c>
      <c r="X49" s="36" t="n">
        <f>22</f>
        <v>22.0</v>
      </c>
    </row>
    <row r="50">
      <c r="A50" s="27" t="s">
        <v>42</v>
      </c>
      <c r="B50" s="27" t="s">
        <v>192</v>
      </c>
      <c r="C50" s="27" t="s">
        <v>193</v>
      </c>
      <c r="D50" s="27" t="s">
        <v>194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45250</f>
        <v>45250.0</v>
      </c>
      <c r="L50" s="34" t="s">
        <v>48</v>
      </c>
      <c r="M50" s="33" t="n">
        <f>47800</f>
        <v>47800.0</v>
      </c>
      <c r="N50" s="34" t="s">
        <v>51</v>
      </c>
      <c r="O50" s="33" t="n">
        <f>44150</f>
        <v>44150.0</v>
      </c>
      <c r="P50" s="34" t="s">
        <v>50</v>
      </c>
      <c r="Q50" s="33" t="n">
        <f>47800</f>
        <v>47800.0</v>
      </c>
      <c r="R50" s="34" t="s">
        <v>51</v>
      </c>
      <c r="S50" s="35" t="n">
        <f>46204.55</f>
        <v>46204.55</v>
      </c>
      <c r="T50" s="32" t="n">
        <f>1058</f>
        <v>1058.0</v>
      </c>
      <c r="U50" s="32" t="n">
        <f>6</f>
        <v>6.0</v>
      </c>
      <c r="V50" s="32" t="n">
        <f>48914750</f>
        <v>4.891475E7</v>
      </c>
      <c r="W50" s="32" t="n">
        <f>279700</f>
        <v>279700.0</v>
      </c>
      <c r="X50" s="36" t="n">
        <f>22</f>
        <v>22.0</v>
      </c>
    </row>
    <row r="51">
      <c r="A51" s="27" t="s">
        <v>42</v>
      </c>
      <c r="B51" s="27" t="s">
        <v>195</v>
      </c>
      <c r="C51" s="27" t="s">
        <v>196</v>
      </c>
      <c r="D51" s="27" t="s">
        <v>197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33000</f>
        <v>33000.0</v>
      </c>
      <c r="L51" s="34" t="s">
        <v>198</v>
      </c>
      <c r="M51" s="33" t="n">
        <f>34450</f>
        <v>34450.0</v>
      </c>
      <c r="N51" s="34" t="s">
        <v>199</v>
      </c>
      <c r="O51" s="33" t="n">
        <f>32550</f>
        <v>32550.0</v>
      </c>
      <c r="P51" s="34" t="s">
        <v>50</v>
      </c>
      <c r="Q51" s="33" t="n">
        <f>34400</f>
        <v>34400.0</v>
      </c>
      <c r="R51" s="34" t="s">
        <v>51</v>
      </c>
      <c r="S51" s="35" t="n">
        <f>33561.11</f>
        <v>33561.11</v>
      </c>
      <c r="T51" s="32" t="n">
        <f>317</f>
        <v>317.0</v>
      </c>
      <c r="U51" s="32" t="n">
        <f>1</f>
        <v>1.0</v>
      </c>
      <c r="V51" s="32" t="n">
        <f>10588650</f>
        <v>1.058865E7</v>
      </c>
      <c r="W51" s="32" t="n">
        <f>33550</f>
        <v>33550.0</v>
      </c>
      <c r="X51" s="36" t="n">
        <f>18</f>
        <v>18.0</v>
      </c>
    </row>
    <row r="52">
      <c r="A52" s="27" t="s">
        <v>42</v>
      </c>
      <c r="B52" s="27" t="s">
        <v>200</v>
      </c>
      <c r="C52" s="27" t="s">
        <v>201</v>
      </c>
      <c r="D52" s="27" t="s">
        <v>202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29010</f>
        <v>29010.0</v>
      </c>
      <c r="L52" s="34" t="s">
        <v>198</v>
      </c>
      <c r="M52" s="33" t="n">
        <f>29740</f>
        <v>29740.0</v>
      </c>
      <c r="N52" s="34" t="s">
        <v>80</v>
      </c>
      <c r="O52" s="33" t="n">
        <f>28100</f>
        <v>28100.0</v>
      </c>
      <c r="P52" s="34" t="s">
        <v>50</v>
      </c>
      <c r="Q52" s="33" t="n">
        <f>29110</f>
        <v>29110.0</v>
      </c>
      <c r="R52" s="34" t="s">
        <v>51</v>
      </c>
      <c r="S52" s="35" t="n">
        <f>29180.63</f>
        <v>29180.63</v>
      </c>
      <c r="T52" s="32" t="n">
        <f>770566</f>
        <v>770566.0</v>
      </c>
      <c r="U52" s="32" t="n">
        <f>769319</f>
        <v>769319.0</v>
      </c>
      <c r="V52" s="32" t="n">
        <f>21796795877</f>
        <v>2.1796795877E10</v>
      </c>
      <c r="W52" s="32" t="n">
        <f>21760667257</f>
        <v>2.1760667257E10</v>
      </c>
      <c r="X52" s="36" t="n">
        <f>16</f>
        <v>16.0</v>
      </c>
    </row>
    <row r="53">
      <c r="A53" s="27" t="s">
        <v>42</v>
      </c>
      <c r="B53" s="27" t="s">
        <v>203</v>
      </c>
      <c r="C53" s="27" t="s">
        <v>204</v>
      </c>
      <c r="D53" s="27" t="s">
        <v>205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10.0</v>
      </c>
      <c r="K53" s="33" t="n">
        <f>2111</f>
        <v>2111.0</v>
      </c>
      <c r="L53" s="34" t="s">
        <v>48</v>
      </c>
      <c r="M53" s="33" t="n">
        <f>2207</f>
        <v>2207.0</v>
      </c>
      <c r="N53" s="34" t="s">
        <v>51</v>
      </c>
      <c r="O53" s="33" t="n">
        <f>2105</f>
        <v>2105.0</v>
      </c>
      <c r="P53" s="34" t="s">
        <v>48</v>
      </c>
      <c r="Q53" s="33" t="n">
        <f>2191</f>
        <v>2191.0</v>
      </c>
      <c r="R53" s="34" t="s">
        <v>51</v>
      </c>
      <c r="S53" s="35" t="n">
        <f>2171.36</f>
        <v>2171.36</v>
      </c>
      <c r="T53" s="32" t="n">
        <f>1609280</f>
        <v>1609280.0</v>
      </c>
      <c r="U53" s="32" t="n">
        <f>135060</f>
        <v>135060.0</v>
      </c>
      <c r="V53" s="32" t="n">
        <f>3519216570</f>
        <v>3.51921657E9</v>
      </c>
      <c r="W53" s="32" t="n">
        <f>292912170</f>
        <v>2.9291217E8</v>
      </c>
      <c r="X53" s="36" t="n">
        <f>22</f>
        <v>22.0</v>
      </c>
    </row>
    <row r="54">
      <c r="A54" s="27" t="s">
        <v>42</v>
      </c>
      <c r="B54" s="27" t="s">
        <v>206</v>
      </c>
      <c r="C54" s="27" t="s">
        <v>207</v>
      </c>
      <c r="D54" s="27" t="s">
        <v>208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10.0</v>
      </c>
      <c r="K54" s="33" t="n">
        <f>1556</f>
        <v>1556.0</v>
      </c>
      <c r="L54" s="34" t="s">
        <v>48</v>
      </c>
      <c r="M54" s="33" t="n">
        <f>1599</f>
        <v>1599.0</v>
      </c>
      <c r="N54" s="34" t="s">
        <v>49</v>
      </c>
      <c r="O54" s="33" t="n">
        <f>1534</f>
        <v>1534.0</v>
      </c>
      <c r="P54" s="34" t="s">
        <v>50</v>
      </c>
      <c r="Q54" s="33" t="n">
        <f>1570</f>
        <v>1570.0</v>
      </c>
      <c r="R54" s="34" t="s">
        <v>51</v>
      </c>
      <c r="S54" s="35" t="n">
        <f>1574.33</f>
        <v>1574.33</v>
      </c>
      <c r="T54" s="32" t="n">
        <f>9160</f>
        <v>9160.0</v>
      </c>
      <c r="U54" s="32" t="n">
        <f>20</f>
        <v>20.0</v>
      </c>
      <c r="V54" s="32" t="n">
        <f>14365040</f>
        <v>1.436504E7</v>
      </c>
      <c r="W54" s="32" t="n">
        <f>31220</f>
        <v>31220.0</v>
      </c>
      <c r="X54" s="36" t="n">
        <f>21</f>
        <v>21.0</v>
      </c>
    </row>
    <row r="55">
      <c r="A55" s="27" t="s">
        <v>42</v>
      </c>
      <c r="B55" s="27" t="s">
        <v>209</v>
      </c>
      <c r="C55" s="27" t="s">
        <v>210</v>
      </c>
      <c r="D55" s="27" t="s">
        <v>211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4340</f>
        <v>4340.0</v>
      </c>
      <c r="L55" s="34" t="s">
        <v>48</v>
      </c>
      <c r="M55" s="33" t="n">
        <f>4520</f>
        <v>4520.0</v>
      </c>
      <c r="N55" s="34" t="s">
        <v>50</v>
      </c>
      <c r="O55" s="33" t="n">
        <f>4270</f>
        <v>4270.0</v>
      </c>
      <c r="P55" s="34" t="s">
        <v>80</v>
      </c>
      <c r="Q55" s="33" t="n">
        <f>4355</f>
        <v>4355.0</v>
      </c>
      <c r="R55" s="34" t="s">
        <v>51</v>
      </c>
      <c r="S55" s="35" t="n">
        <f>4347.27</f>
        <v>4347.27</v>
      </c>
      <c r="T55" s="32" t="n">
        <f>279519</f>
        <v>279519.0</v>
      </c>
      <c r="U55" s="32" t="str">
        <f>"－"</f>
        <v>－</v>
      </c>
      <c r="V55" s="32" t="n">
        <f>1227381585</f>
        <v>1.227381585E9</v>
      </c>
      <c r="W55" s="32" t="str">
        <f>"－"</f>
        <v>－</v>
      </c>
      <c r="X55" s="36" t="n">
        <f>22</f>
        <v>22.0</v>
      </c>
    </row>
    <row r="56">
      <c r="A56" s="27" t="s">
        <v>42</v>
      </c>
      <c r="B56" s="27" t="s">
        <v>212</v>
      </c>
      <c r="C56" s="27" t="s">
        <v>213</v>
      </c>
      <c r="D56" s="27" t="s">
        <v>214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5380</f>
        <v>5380.0</v>
      </c>
      <c r="L56" s="34" t="s">
        <v>48</v>
      </c>
      <c r="M56" s="33" t="n">
        <f>5500</f>
        <v>5500.0</v>
      </c>
      <c r="N56" s="34" t="s">
        <v>50</v>
      </c>
      <c r="O56" s="33" t="n">
        <f>5250</f>
        <v>5250.0</v>
      </c>
      <c r="P56" s="34" t="s">
        <v>49</v>
      </c>
      <c r="Q56" s="33" t="n">
        <f>5340</f>
        <v>5340.0</v>
      </c>
      <c r="R56" s="34" t="s">
        <v>51</v>
      </c>
      <c r="S56" s="35" t="n">
        <f>5323.18</f>
        <v>5323.18</v>
      </c>
      <c r="T56" s="32" t="n">
        <f>261425</f>
        <v>261425.0</v>
      </c>
      <c r="U56" s="32" t="n">
        <f>27000</f>
        <v>27000.0</v>
      </c>
      <c r="V56" s="32" t="n">
        <f>1394137970</f>
        <v>1.39413797E9</v>
      </c>
      <c r="W56" s="32" t="n">
        <f>143375400</f>
        <v>1.433754E8</v>
      </c>
      <c r="X56" s="36" t="n">
        <f>22</f>
        <v>22.0</v>
      </c>
    </row>
    <row r="57">
      <c r="A57" s="27" t="s">
        <v>42</v>
      </c>
      <c r="B57" s="27" t="s">
        <v>215</v>
      </c>
      <c r="C57" s="27" t="s">
        <v>216</v>
      </c>
      <c r="D57" s="27" t="s">
        <v>217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18720</f>
        <v>18720.0</v>
      </c>
      <c r="L57" s="34" t="s">
        <v>48</v>
      </c>
      <c r="M57" s="33" t="n">
        <f>19300</f>
        <v>19300.0</v>
      </c>
      <c r="N57" s="34" t="s">
        <v>80</v>
      </c>
      <c r="O57" s="33" t="n">
        <f>17090</f>
        <v>17090.0</v>
      </c>
      <c r="P57" s="34" t="s">
        <v>50</v>
      </c>
      <c r="Q57" s="33" t="n">
        <f>18400</f>
        <v>18400.0</v>
      </c>
      <c r="R57" s="34" t="s">
        <v>51</v>
      </c>
      <c r="S57" s="35" t="n">
        <f>18591.82</f>
        <v>18591.82</v>
      </c>
      <c r="T57" s="32" t="n">
        <f>17181998</f>
        <v>1.7181998E7</v>
      </c>
      <c r="U57" s="32" t="n">
        <f>1</f>
        <v>1.0</v>
      </c>
      <c r="V57" s="32" t="n">
        <f>317909553410</f>
        <v>3.1790955341E11</v>
      </c>
      <c r="W57" s="32" t="n">
        <f>18150</f>
        <v>18150.0</v>
      </c>
      <c r="X57" s="36" t="n">
        <f>22</f>
        <v>22.0</v>
      </c>
    </row>
    <row r="58">
      <c r="A58" s="27" t="s">
        <v>42</v>
      </c>
      <c r="B58" s="27" t="s">
        <v>218</v>
      </c>
      <c r="C58" s="27" t="s">
        <v>219</v>
      </c>
      <c r="D58" s="27" t="s">
        <v>220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1644</f>
        <v>1644.0</v>
      </c>
      <c r="L58" s="34" t="s">
        <v>48</v>
      </c>
      <c r="M58" s="33" t="n">
        <f>1784</f>
        <v>1784.0</v>
      </c>
      <c r="N58" s="34" t="s">
        <v>50</v>
      </c>
      <c r="O58" s="33" t="n">
        <f>1591</f>
        <v>1591.0</v>
      </c>
      <c r="P58" s="34" t="s">
        <v>80</v>
      </c>
      <c r="Q58" s="33" t="n">
        <f>1656</f>
        <v>1656.0</v>
      </c>
      <c r="R58" s="34" t="s">
        <v>51</v>
      </c>
      <c r="S58" s="35" t="n">
        <f>1648.68</f>
        <v>1648.68</v>
      </c>
      <c r="T58" s="32" t="n">
        <f>111039693</f>
        <v>1.11039693E8</v>
      </c>
      <c r="U58" s="32" t="n">
        <f>264</f>
        <v>264.0</v>
      </c>
      <c r="V58" s="32" t="n">
        <f>183366661151</f>
        <v>1.83366661151E11</v>
      </c>
      <c r="W58" s="32" t="n">
        <f>424955</f>
        <v>424955.0</v>
      </c>
      <c r="X58" s="36" t="n">
        <f>22</f>
        <v>22.0</v>
      </c>
    </row>
    <row r="59">
      <c r="A59" s="27" t="s">
        <v>42</v>
      </c>
      <c r="B59" s="27" t="s">
        <v>221</v>
      </c>
      <c r="C59" s="27" t="s">
        <v>222</v>
      </c>
      <c r="D59" s="27" t="s">
        <v>223</v>
      </c>
      <c r="E59" s="28" t="s">
        <v>46</v>
      </c>
      <c r="F59" s="29" t="s">
        <v>46</v>
      </c>
      <c r="G59" s="30" t="s">
        <v>46</v>
      </c>
      <c r="H59" s="31" t="s">
        <v>121</v>
      </c>
      <c r="I59" s="31" t="s">
        <v>47</v>
      </c>
      <c r="J59" s="32" t="n">
        <v>1.0</v>
      </c>
      <c r="K59" s="33" t="n">
        <f>23760</f>
        <v>23760.0</v>
      </c>
      <c r="L59" s="34" t="s">
        <v>48</v>
      </c>
      <c r="M59" s="33" t="n">
        <f>24440</f>
        <v>24440.0</v>
      </c>
      <c r="N59" s="34" t="s">
        <v>175</v>
      </c>
      <c r="O59" s="33" t="n">
        <f>23610</f>
        <v>23610.0</v>
      </c>
      <c r="P59" s="34" t="s">
        <v>171</v>
      </c>
      <c r="Q59" s="33" t="n">
        <f>24390</f>
        <v>24390.0</v>
      </c>
      <c r="R59" s="34" t="s">
        <v>199</v>
      </c>
      <c r="S59" s="35" t="n">
        <f>24084.44</f>
        <v>24084.44</v>
      </c>
      <c r="T59" s="32" t="n">
        <f>19</f>
        <v>19.0</v>
      </c>
      <c r="U59" s="32" t="n">
        <f>2</f>
        <v>2.0</v>
      </c>
      <c r="V59" s="32" t="n">
        <f>457570</f>
        <v>457570.0</v>
      </c>
      <c r="W59" s="32" t="n">
        <f>47420</f>
        <v>47420.0</v>
      </c>
      <c r="X59" s="36" t="n">
        <f>9</f>
        <v>9.0</v>
      </c>
    </row>
    <row r="60">
      <c r="A60" s="27" t="s">
        <v>42</v>
      </c>
      <c r="B60" s="27" t="s">
        <v>224</v>
      </c>
      <c r="C60" s="27" t="s">
        <v>225</v>
      </c>
      <c r="D60" s="27" t="s">
        <v>226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14580</f>
        <v>14580.0</v>
      </c>
      <c r="L60" s="34" t="s">
        <v>48</v>
      </c>
      <c r="M60" s="33" t="n">
        <f>15350</f>
        <v>15350.0</v>
      </c>
      <c r="N60" s="34" t="s">
        <v>49</v>
      </c>
      <c r="O60" s="33" t="n">
        <f>13950</f>
        <v>13950.0</v>
      </c>
      <c r="P60" s="34" t="s">
        <v>50</v>
      </c>
      <c r="Q60" s="33" t="n">
        <f>14790</f>
        <v>14790.0</v>
      </c>
      <c r="R60" s="34" t="s">
        <v>51</v>
      </c>
      <c r="S60" s="35" t="n">
        <f>14903.18</f>
        <v>14903.18</v>
      </c>
      <c r="T60" s="32" t="n">
        <f>5150</f>
        <v>5150.0</v>
      </c>
      <c r="U60" s="32" t="n">
        <f>3</f>
        <v>3.0</v>
      </c>
      <c r="V60" s="32" t="n">
        <f>75658460</f>
        <v>7.565846E7</v>
      </c>
      <c r="W60" s="32" t="n">
        <f>45380</f>
        <v>45380.0</v>
      </c>
      <c r="X60" s="36" t="n">
        <f>22</f>
        <v>22.0</v>
      </c>
    </row>
    <row r="61">
      <c r="A61" s="27" t="s">
        <v>42</v>
      </c>
      <c r="B61" s="27" t="s">
        <v>227</v>
      </c>
      <c r="C61" s="27" t="s">
        <v>228</v>
      </c>
      <c r="D61" s="27" t="s">
        <v>229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5180</f>
        <v>5180.0</v>
      </c>
      <c r="L61" s="34" t="s">
        <v>122</v>
      </c>
      <c r="M61" s="33" t="n">
        <f>5340</f>
        <v>5340.0</v>
      </c>
      <c r="N61" s="34" t="s">
        <v>50</v>
      </c>
      <c r="O61" s="33" t="n">
        <f>5130</f>
        <v>5130.0</v>
      </c>
      <c r="P61" s="34" t="s">
        <v>94</v>
      </c>
      <c r="Q61" s="33" t="n">
        <f>5190</f>
        <v>5190.0</v>
      </c>
      <c r="R61" s="34" t="s">
        <v>73</v>
      </c>
      <c r="S61" s="35" t="n">
        <f>5172.73</f>
        <v>5172.73</v>
      </c>
      <c r="T61" s="32" t="n">
        <f>3473</f>
        <v>3473.0</v>
      </c>
      <c r="U61" s="32" t="str">
        <f>"－"</f>
        <v>－</v>
      </c>
      <c r="V61" s="32" t="n">
        <f>17855360</f>
        <v>1.785536E7</v>
      </c>
      <c r="W61" s="32" t="str">
        <f>"－"</f>
        <v>－</v>
      </c>
      <c r="X61" s="36" t="n">
        <f>11</f>
        <v>11.0</v>
      </c>
    </row>
    <row r="62">
      <c r="A62" s="27" t="s">
        <v>42</v>
      </c>
      <c r="B62" s="27" t="s">
        <v>230</v>
      </c>
      <c r="C62" s="27" t="s">
        <v>231</v>
      </c>
      <c r="D62" s="27" t="s">
        <v>232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2208</f>
        <v>2208.0</v>
      </c>
      <c r="L62" s="34" t="s">
        <v>48</v>
      </c>
      <c r="M62" s="33" t="n">
        <f>2295</f>
        <v>2295.0</v>
      </c>
      <c r="N62" s="34" t="s">
        <v>50</v>
      </c>
      <c r="O62" s="33" t="n">
        <f>2092</f>
        <v>2092.0</v>
      </c>
      <c r="P62" s="34" t="s">
        <v>49</v>
      </c>
      <c r="Q62" s="33" t="n">
        <f>2164</f>
        <v>2164.0</v>
      </c>
      <c r="R62" s="34" t="s">
        <v>51</v>
      </c>
      <c r="S62" s="35" t="n">
        <f>2152.27</f>
        <v>2152.27</v>
      </c>
      <c r="T62" s="32" t="n">
        <f>21345</f>
        <v>21345.0</v>
      </c>
      <c r="U62" s="32" t="n">
        <f>4</f>
        <v>4.0</v>
      </c>
      <c r="V62" s="32" t="n">
        <f>46263616</f>
        <v>4.6263616E7</v>
      </c>
      <c r="W62" s="32" t="n">
        <f>8549</f>
        <v>8549.0</v>
      </c>
      <c r="X62" s="36" t="n">
        <f>22</f>
        <v>22.0</v>
      </c>
    </row>
    <row r="63">
      <c r="A63" s="27" t="s">
        <v>42</v>
      </c>
      <c r="B63" s="27" t="s">
        <v>233</v>
      </c>
      <c r="C63" s="27" t="s">
        <v>234</v>
      </c>
      <c r="D63" s="27" t="s">
        <v>235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10.0</v>
      </c>
      <c r="K63" s="33" t="n">
        <f>13720</f>
        <v>13720.0</v>
      </c>
      <c r="L63" s="34" t="s">
        <v>48</v>
      </c>
      <c r="M63" s="33" t="n">
        <f>14510</f>
        <v>14510.0</v>
      </c>
      <c r="N63" s="34" t="s">
        <v>67</v>
      </c>
      <c r="O63" s="33" t="n">
        <f>13260</f>
        <v>13260.0</v>
      </c>
      <c r="P63" s="34" t="s">
        <v>50</v>
      </c>
      <c r="Q63" s="33" t="n">
        <f>13800</f>
        <v>13800.0</v>
      </c>
      <c r="R63" s="34" t="s">
        <v>51</v>
      </c>
      <c r="S63" s="35" t="n">
        <f>14009.52</f>
        <v>14009.52</v>
      </c>
      <c r="T63" s="32" t="n">
        <f>2330</f>
        <v>2330.0</v>
      </c>
      <c r="U63" s="32" t="n">
        <f>20</f>
        <v>20.0</v>
      </c>
      <c r="V63" s="32" t="n">
        <f>32280800</f>
        <v>3.22808E7</v>
      </c>
      <c r="W63" s="32" t="n">
        <f>268900</f>
        <v>268900.0</v>
      </c>
      <c r="X63" s="36" t="n">
        <f>21</f>
        <v>21.0</v>
      </c>
    </row>
    <row r="64">
      <c r="A64" s="27" t="s">
        <v>42</v>
      </c>
      <c r="B64" s="27" t="s">
        <v>236</v>
      </c>
      <c r="C64" s="27" t="s">
        <v>237</v>
      </c>
      <c r="D64" s="27" t="s">
        <v>238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10.0</v>
      </c>
      <c r="K64" s="33" t="n">
        <f>5060</f>
        <v>5060.0</v>
      </c>
      <c r="L64" s="34" t="s">
        <v>198</v>
      </c>
      <c r="M64" s="33" t="n">
        <f>5190</f>
        <v>5190.0</v>
      </c>
      <c r="N64" s="34" t="s">
        <v>50</v>
      </c>
      <c r="O64" s="33" t="n">
        <f>4960</f>
        <v>4960.0</v>
      </c>
      <c r="P64" s="34" t="s">
        <v>171</v>
      </c>
      <c r="Q64" s="33" t="n">
        <f>4990</f>
        <v>4990.0</v>
      </c>
      <c r="R64" s="34" t="s">
        <v>239</v>
      </c>
      <c r="S64" s="35" t="n">
        <f>5024.17</f>
        <v>5024.17</v>
      </c>
      <c r="T64" s="32" t="n">
        <f>590</f>
        <v>590.0</v>
      </c>
      <c r="U64" s="32" t="str">
        <f>"－"</f>
        <v>－</v>
      </c>
      <c r="V64" s="32" t="n">
        <f>2972000</f>
        <v>2972000.0</v>
      </c>
      <c r="W64" s="32" t="str">
        <f>"－"</f>
        <v>－</v>
      </c>
      <c r="X64" s="36" t="n">
        <f>12</f>
        <v>12.0</v>
      </c>
    </row>
    <row r="65">
      <c r="A65" s="27" t="s">
        <v>42</v>
      </c>
      <c r="B65" s="27" t="s">
        <v>240</v>
      </c>
      <c r="C65" s="27" t="s">
        <v>241</v>
      </c>
      <c r="D65" s="27" t="s">
        <v>242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10.0</v>
      </c>
      <c r="K65" s="33" t="n">
        <f>2194</f>
        <v>2194.0</v>
      </c>
      <c r="L65" s="34" t="s">
        <v>48</v>
      </c>
      <c r="M65" s="33" t="n">
        <f>2275</f>
        <v>2275.0</v>
      </c>
      <c r="N65" s="34" t="s">
        <v>50</v>
      </c>
      <c r="O65" s="33" t="n">
        <f>2078</f>
        <v>2078.0</v>
      </c>
      <c r="P65" s="34" t="s">
        <v>49</v>
      </c>
      <c r="Q65" s="33" t="n">
        <f>2140</f>
        <v>2140.0</v>
      </c>
      <c r="R65" s="34" t="s">
        <v>51</v>
      </c>
      <c r="S65" s="35" t="n">
        <f>2134.05</f>
        <v>2134.05</v>
      </c>
      <c r="T65" s="32" t="n">
        <f>63030</f>
        <v>63030.0</v>
      </c>
      <c r="U65" s="32" t="str">
        <f>"－"</f>
        <v>－</v>
      </c>
      <c r="V65" s="32" t="n">
        <f>135167410</f>
        <v>1.3516741E8</v>
      </c>
      <c r="W65" s="32" t="str">
        <f>"－"</f>
        <v>－</v>
      </c>
      <c r="X65" s="36" t="n">
        <f>22</f>
        <v>22.0</v>
      </c>
    </row>
    <row r="66">
      <c r="A66" s="27" t="s">
        <v>42</v>
      </c>
      <c r="B66" s="27" t="s">
        <v>243</v>
      </c>
      <c r="C66" s="27" t="s">
        <v>244</v>
      </c>
      <c r="D66" s="27" t="s">
        <v>245</v>
      </c>
      <c r="E66" s="28" t="s">
        <v>246</v>
      </c>
      <c r="F66" s="29" t="s">
        <v>247</v>
      </c>
      <c r="G66" s="30" t="s">
        <v>248</v>
      </c>
      <c r="H66" s="31" t="s">
        <v>249</v>
      </c>
      <c r="I66" s="31"/>
      <c r="J66" s="32" t="n">
        <v>1.0</v>
      </c>
      <c r="K66" s="33" t="n">
        <f>28120</f>
        <v>28120.0</v>
      </c>
      <c r="L66" s="34" t="s">
        <v>48</v>
      </c>
      <c r="M66" s="33" t="n">
        <f>30600</f>
        <v>30600.0</v>
      </c>
      <c r="N66" s="34" t="s">
        <v>49</v>
      </c>
      <c r="O66" s="33" t="n">
        <f>27650</f>
        <v>27650.0</v>
      </c>
      <c r="P66" s="34" t="s">
        <v>50</v>
      </c>
      <c r="Q66" s="33" t="n">
        <f>29620</f>
        <v>29620.0</v>
      </c>
      <c r="R66" s="34" t="s">
        <v>239</v>
      </c>
      <c r="S66" s="35" t="n">
        <f>29587.37</f>
        <v>29587.37</v>
      </c>
      <c r="T66" s="32" t="n">
        <f>2926</f>
        <v>2926.0</v>
      </c>
      <c r="U66" s="32" t="str">
        <f>"－"</f>
        <v>－</v>
      </c>
      <c r="V66" s="32" t="n">
        <f>85336690</f>
        <v>8.533669E7</v>
      </c>
      <c r="W66" s="32" t="str">
        <f>"－"</f>
        <v>－</v>
      </c>
      <c r="X66" s="36" t="n">
        <f>19</f>
        <v>19.0</v>
      </c>
    </row>
    <row r="67">
      <c r="A67" s="27" t="s">
        <v>42</v>
      </c>
      <c r="B67" s="27" t="s">
        <v>250</v>
      </c>
      <c r="C67" s="27" t="s">
        <v>251</v>
      </c>
      <c r="D67" s="27" t="s">
        <v>252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3350</f>
        <v>3350.0</v>
      </c>
      <c r="L67" s="34" t="s">
        <v>122</v>
      </c>
      <c r="M67" s="33" t="n">
        <f>3450</f>
        <v>3450.0</v>
      </c>
      <c r="N67" s="34" t="s">
        <v>50</v>
      </c>
      <c r="O67" s="33" t="n">
        <f>3305</f>
        <v>3305.0</v>
      </c>
      <c r="P67" s="34" t="s">
        <v>49</v>
      </c>
      <c r="Q67" s="33" t="n">
        <f>3310</f>
        <v>3310.0</v>
      </c>
      <c r="R67" s="34" t="s">
        <v>51</v>
      </c>
      <c r="S67" s="35" t="n">
        <f>3340.79</f>
        <v>3340.79</v>
      </c>
      <c r="T67" s="32" t="n">
        <f>1110</f>
        <v>1110.0</v>
      </c>
      <c r="U67" s="32" t="n">
        <f>1</f>
        <v>1.0</v>
      </c>
      <c r="V67" s="32" t="n">
        <f>3714165</f>
        <v>3714165.0</v>
      </c>
      <c r="W67" s="32" t="n">
        <f>3320</f>
        <v>3320.0</v>
      </c>
      <c r="X67" s="36" t="n">
        <f>19</f>
        <v>19.0</v>
      </c>
    </row>
    <row r="68">
      <c r="A68" s="27" t="s">
        <v>42</v>
      </c>
      <c r="B68" s="27" t="s">
        <v>253</v>
      </c>
      <c r="C68" s="27" t="s">
        <v>254</v>
      </c>
      <c r="D68" s="27" t="s">
        <v>255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875</f>
        <v>875.0</v>
      </c>
      <c r="L68" s="34" t="s">
        <v>48</v>
      </c>
      <c r="M68" s="33" t="n">
        <f>915</f>
        <v>915.0</v>
      </c>
      <c r="N68" s="34" t="s">
        <v>50</v>
      </c>
      <c r="O68" s="33" t="n">
        <f>832</f>
        <v>832.0</v>
      </c>
      <c r="P68" s="34" t="s">
        <v>49</v>
      </c>
      <c r="Q68" s="33" t="n">
        <f>860</f>
        <v>860.0</v>
      </c>
      <c r="R68" s="34" t="s">
        <v>51</v>
      </c>
      <c r="S68" s="35" t="n">
        <f>857.82</f>
        <v>857.82</v>
      </c>
      <c r="T68" s="32" t="n">
        <f>53005</f>
        <v>53005.0</v>
      </c>
      <c r="U68" s="32" t="n">
        <f>4</f>
        <v>4.0</v>
      </c>
      <c r="V68" s="32" t="n">
        <f>46046784</f>
        <v>4.6046784E7</v>
      </c>
      <c r="W68" s="32" t="n">
        <f>3455</f>
        <v>3455.0</v>
      </c>
      <c r="X68" s="36" t="n">
        <f>22</f>
        <v>22.0</v>
      </c>
    </row>
    <row r="69">
      <c r="A69" s="27" t="s">
        <v>42</v>
      </c>
      <c r="B69" s="27" t="s">
        <v>256</v>
      </c>
      <c r="C69" s="27" t="s">
        <v>257</v>
      </c>
      <c r="D69" s="27" t="s">
        <v>258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10.0</v>
      </c>
      <c r="K69" s="33" t="n">
        <f>1961</f>
        <v>1961.0</v>
      </c>
      <c r="L69" s="34" t="s">
        <v>48</v>
      </c>
      <c r="M69" s="33" t="n">
        <f>2023</f>
        <v>2023.0</v>
      </c>
      <c r="N69" s="34" t="s">
        <v>49</v>
      </c>
      <c r="O69" s="33" t="n">
        <f>1929</f>
        <v>1929.0</v>
      </c>
      <c r="P69" s="34" t="s">
        <v>50</v>
      </c>
      <c r="Q69" s="33" t="n">
        <f>1986</f>
        <v>1986.0</v>
      </c>
      <c r="R69" s="34" t="s">
        <v>51</v>
      </c>
      <c r="S69" s="35" t="n">
        <f>1992.68</f>
        <v>1992.68</v>
      </c>
      <c r="T69" s="32" t="n">
        <f>201690</f>
        <v>201690.0</v>
      </c>
      <c r="U69" s="32" t="str">
        <f>"－"</f>
        <v>－</v>
      </c>
      <c r="V69" s="32" t="n">
        <f>401279490</f>
        <v>4.0127949E8</v>
      </c>
      <c r="W69" s="32" t="str">
        <f>"－"</f>
        <v>－</v>
      </c>
      <c r="X69" s="36" t="n">
        <f>22</f>
        <v>22.0</v>
      </c>
    </row>
    <row r="70">
      <c r="A70" s="27" t="s">
        <v>42</v>
      </c>
      <c r="B70" s="27" t="s">
        <v>259</v>
      </c>
      <c r="C70" s="27" t="s">
        <v>260</v>
      </c>
      <c r="D70" s="27" t="s">
        <v>261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17630</f>
        <v>17630.0</v>
      </c>
      <c r="L70" s="34" t="s">
        <v>48</v>
      </c>
      <c r="M70" s="33" t="n">
        <f>18180</f>
        <v>18180.0</v>
      </c>
      <c r="N70" s="34" t="s">
        <v>122</v>
      </c>
      <c r="O70" s="33" t="n">
        <f>17310</f>
        <v>17310.0</v>
      </c>
      <c r="P70" s="34" t="s">
        <v>50</v>
      </c>
      <c r="Q70" s="33" t="n">
        <f>17860</f>
        <v>17860.0</v>
      </c>
      <c r="R70" s="34" t="s">
        <v>73</v>
      </c>
      <c r="S70" s="35" t="n">
        <f>17901</f>
        <v>17901.0</v>
      </c>
      <c r="T70" s="32" t="n">
        <f>56469</f>
        <v>56469.0</v>
      </c>
      <c r="U70" s="32" t="n">
        <f>7001</f>
        <v>7001.0</v>
      </c>
      <c r="V70" s="32" t="n">
        <f>1012537370</f>
        <v>1.01253737E9</v>
      </c>
      <c r="W70" s="32" t="n">
        <f>125766120</f>
        <v>1.2576612E8</v>
      </c>
      <c r="X70" s="36" t="n">
        <f>20</f>
        <v>20.0</v>
      </c>
    </row>
    <row r="71">
      <c r="A71" s="27" t="s">
        <v>42</v>
      </c>
      <c r="B71" s="27" t="s">
        <v>262</v>
      </c>
      <c r="C71" s="27" t="s">
        <v>263</v>
      </c>
      <c r="D71" s="27" t="s">
        <v>264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1986</f>
        <v>1986.0</v>
      </c>
      <c r="L71" s="34" t="s">
        <v>48</v>
      </c>
      <c r="M71" s="33" t="n">
        <f>2038</f>
        <v>2038.0</v>
      </c>
      <c r="N71" s="34" t="s">
        <v>49</v>
      </c>
      <c r="O71" s="33" t="n">
        <f>1944</f>
        <v>1944.0</v>
      </c>
      <c r="P71" s="34" t="s">
        <v>50</v>
      </c>
      <c r="Q71" s="33" t="n">
        <f>2001</f>
        <v>2001.0</v>
      </c>
      <c r="R71" s="34" t="s">
        <v>51</v>
      </c>
      <c r="S71" s="35" t="n">
        <f>2007.77</f>
        <v>2007.77</v>
      </c>
      <c r="T71" s="32" t="n">
        <f>4228574</f>
        <v>4228574.0</v>
      </c>
      <c r="U71" s="32" t="n">
        <f>1367924</f>
        <v>1367924.0</v>
      </c>
      <c r="V71" s="32" t="n">
        <f>8478092221</f>
        <v>8.478092221E9</v>
      </c>
      <c r="W71" s="32" t="n">
        <f>2741123980</f>
        <v>2.74112398E9</v>
      </c>
      <c r="X71" s="36" t="n">
        <f>22</f>
        <v>22.0</v>
      </c>
    </row>
    <row r="72">
      <c r="A72" s="27" t="s">
        <v>42</v>
      </c>
      <c r="B72" s="27" t="s">
        <v>265</v>
      </c>
      <c r="C72" s="27" t="s">
        <v>266</v>
      </c>
      <c r="D72" s="27" t="s">
        <v>267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2130</f>
        <v>2130.0</v>
      </c>
      <c r="L72" s="34" t="s">
        <v>48</v>
      </c>
      <c r="M72" s="33" t="n">
        <f>2232</f>
        <v>2232.0</v>
      </c>
      <c r="N72" s="34" t="s">
        <v>51</v>
      </c>
      <c r="O72" s="33" t="n">
        <f>2115</f>
        <v>2115.0</v>
      </c>
      <c r="P72" s="34" t="s">
        <v>48</v>
      </c>
      <c r="Q72" s="33" t="n">
        <f>2219</f>
        <v>2219.0</v>
      </c>
      <c r="R72" s="34" t="s">
        <v>51</v>
      </c>
      <c r="S72" s="35" t="n">
        <f>2193.36</f>
        <v>2193.36</v>
      </c>
      <c r="T72" s="32" t="n">
        <f>3554218</f>
        <v>3554218.0</v>
      </c>
      <c r="U72" s="32" t="n">
        <f>1162055</f>
        <v>1162055.0</v>
      </c>
      <c r="V72" s="32" t="n">
        <f>7787481030</f>
        <v>7.78748103E9</v>
      </c>
      <c r="W72" s="32" t="n">
        <f>2547407159</f>
        <v>2.547407159E9</v>
      </c>
      <c r="X72" s="36" t="n">
        <f>22</f>
        <v>22.0</v>
      </c>
    </row>
    <row r="73">
      <c r="A73" s="27" t="s">
        <v>42</v>
      </c>
      <c r="B73" s="27" t="s">
        <v>268</v>
      </c>
      <c r="C73" s="27" t="s">
        <v>269</v>
      </c>
      <c r="D73" s="27" t="s">
        <v>270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1856</f>
        <v>1856.0</v>
      </c>
      <c r="L73" s="34" t="s">
        <v>48</v>
      </c>
      <c r="M73" s="33" t="n">
        <f>1890</f>
        <v>1890.0</v>
      </c>
      <c r="N73" s="34" t="s">
        <v>49</v>
      </c>
      <c r="O73" s="33" t="n">
        <f>1810</f>
        <v>1810.0</v>
      </c>
      <c r="P73" s="34" t="s">
        <v>198</v>
      </c>
      <c r="Q73" s="33" t="n">
        <f>1875</f>
        <v>1875.0</v>
      </c>
      <c r="R73" s="34" t="s">
        <v>51</v>
      </c>
      <c r="S73" s="35" t="n">
        <f>1861.82</f>
        <v>1861.82</v>
      </c>
      <c r="T73" s="32" t="n">
        <f>163323</f>
        <v>163323.0</v>
      </c>
      <c r="U73" s="32" t="n">
        <f>101099</f>
        <v>101099.0</v>
      </c>
      <c r="V73" s="32" t="n">
        <f>305446141</f>
        <v>3.05446141E8</v>
      </c>
      <c r="W73" s="32" t="n">
        <f>189675511</f>
        <v>1.89675511E8</v>
      </c>
      <c r="X73" s="36" t="n">
        <f>22</f>
        <v>22.0</v>
      </c>
    </row>
    <row r="74">
      <c r="A74" s="27" t="s">
        <v>42</v>
      </c>
      <c r="B74" s="27" t="s">
        <v>271</v>
      </c>
      <c r="C74" s="27" t="s">
        <v>272</v>
      </c>
      <c r="D74" s="27" t="s">
        <v>273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2186</f>
        <v>2186.0</v>
      </c>
      <c r="L74" s="34" t="s">
        <v>48</v>
      </c>
      <c r="M74" s="33" t="n">
        <f>2227</f>
        <v>2227.0</v>
      </c>
      <c r="N74" s="34" t="s">
        <v>94</v>
      </c>
      <c r="O74" s="33" t="n">
        <f>2095</f>
        <v>2095.0</v>
      </c>
      <c r="P74" s="34" t="s">
        <v>50</v>
      </c>
      <c r="Q74" s="33" t="n">
        <f>2157</f>
        <v>2157.0</v>
      </c>
      <c r="R74" s="34" t="s">
        <v>51</v>
      </c>
      <c r="S74" s="35" t="n">
        <f>2179.27</f>
        <v>2179.27</v>
      </c>
      <c r="T74" s="32" t="n">
        <f>247111</f>
        <v>247111.0</v>
      </c>
      <c r="U74" s="32" t="n">
        <f>36567</f>
        <v>36567.0</v>
      </c>
      <c r="V74" s="32" t="n">
        <f>537575804</f>
        <v>5.37575804E8</v>
      </c>
      <c r="W74" s="32" t="n">
        <f>80254939</f>
        <v>8.0254939E7</v>
      </c>
      <c r="X74" s="36" t="n">
        <f>22</f>
        <v>22.0</v>
      </c>
    </row>
    <row r="75">
      <c r="A75" s="27" t="s">
        <v>42</v>
      </c>
      <c r="B75" s="27" t="s">
        <v>274</v>
      </c>
      <c r="C75" s="27" t="s">
        <v>275</v>
      </c>
      <c r="D75" s="27" t="s">
        <v>276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23740</f>
        <v>23740.0</v>
      </c>
      <c r="L75" s="34" t="s">
        <v>48</v>
      </c>
      <c r="M75" s="33" t="n">
        <f>24240</f>
        <v>24240.0</v>
      </c>
      <c r="N75" s="34" t="s">
        <v>80</v>
      </c>
      <c r="O75" s="33" t="n">
        <f>23150</f>
        <v>23150.0</v>
      </c>
      <c r="P75" s="34" t="s">
        <v>50</v>
      </c>
      <c r="Q75" s="33" t="n">
        <f>24110</f>
        <v>24110.0</v>
      </c>
      <c r="R75" s="34" t="s">
        <v>51</v>
      </c>
      <c r="S75" s="35" t="n">
        <f>23981.76</f>
        <v>23981.76</v>
      </c>
      <c r="T75" s="32" t="n">
        <f>4123</f>
        <v>4123.0</v>
      </c>
      <c r="U75" s="32" t="n">
        <f>1</f>
        <v>1.0</v>
      </c>
      <c r="V75" s="32" t="n">
        <f>99306760</f>
        <v>9.930676E7</v>
      </c>
      <c r="W75" s="32" t="n">
        <f>24240</f>
        <v>24240.0</v>
      </c>
      <c r="X75" s="36" t="n">
        <f>17</f>
        <v>17.0</v>
      </c>
    </row>
    <row r="76">
      <c r="A76" s="27" t="s">
        <v>42</v>
      </c>
      <c r="B76" s="27" t="s">
        <v>277</v>
      </c>
      <c r="C76" s="27" t="s">
        <v>278</v>
      </c>
      <c r="D76" s="27" t="s">
        <v>279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19260</f>
        <v>19260.0</v>
      </c>
      <c r="L76" s="34" t="s">
        <v>48</v>
      </c>
      <c r="M76" s="33" t="n">
        <f>19900</f>
        <v>19900.0</v>
      </c>
      <c r="N76" s="34" t="s">
        <v>49</v>
      </c>
      <c r="O76" s="33" t="n">
        <f>19060</f>
        <v>19060.0</v>
      </c>
      <c r="P76" s="34" t="s">
        <v>50</v>
      </c>
      <c r="Q76" s="33" t="n">
        <f>19610</f>
        <v>19610.0</v>
      </c>
      <c r="R76" s="34" t="s">
        <v>199</v>
      </c>
      <c r="S76" s="35" t="n">
        <f>19570.83</f>
        <v>19570.83</v>
      </c>
      <c r="T76" s="32" t="n">
        <f>93</f>
        <v>93.0</v>
      </c>
      <c r="U76" s="32" t="n">
        <f>2</f>
        <v>2.0</v>
      </c>
      <c r="V76" s="32" t="n">
        <f>1797380</f>
        <v>1797380.0</v>
      </c>
      <c r="W76" s="32" t="n">
        <f>39520</f>
        <v>39520.0</v>
      </c>
      <c r="X76" s="36" t="n">
        <f>12</f>
        <v>12.0</v>
      </c>
    </row>
    <row r="77">
      <c r="A77" s="27" t="s">
        <v>42</v>
      </c>
      <c r="B77" s="27" t="s">
        <v>280</v>
      </c>
      <c r="C77" s="27" t="s">
        <v>281</v>
      </c>
      <c r="D77" s="27" t="s">
        <v>282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1914</f>
        <v>1914.0</v>
      </c>
      <c r="L77" s="34" t="s">
        <v>48</v>
      </c>
      <c r="M77" s="33" t="n">
        <f>1960</f>
        <v>1960.0</v>
      </c>
      <c r="N77" s="34" t="s">
        <v>239</v>
      </c>
      <c r="O77" s="33" t="n">
        <f>1885</f>
        <v>1885.0</v>
      </c>
      <c r="P77" s="34" t="s">
        <v>50</v>
      </c>
      <c r="Q77" s="33" t="n">
        <f>1941</f>
        <v>1941.0</v>
      </c>
      <c r="R77" s="34" t="s">
        <v>73</v>
      </c>
      <c r="S77" s="35" t="n">
        <f>1933.3</f>
        <v>1933.3</v>
      </c>
      <c r="T77" s="32" t="n">
        <f>1941</f>
        <v>1941.0</v>
      </c>
      <c r="U77" s="32" t="n">
        <f>5</f>
        <v>5.0</v>
      </c>
      <c r="V77" s="32" t="n">
        <f>3778185</f>
        <v>3778185.0</v>
      </c>
      <c r="W77" s="32" t="n">
        <f>9682</f>
        <v>9682.0</v>
      </c>
      <c r="X77" s="36" t="n">
        <f>20</f>
        <v>20.0</v>
      </c>
    </row>
    <row r="78">
      <c r="A78" s="27" t="s">
        <v>42</v>
      </c>
      <c r="B78" s="27" t="s">
        <v>283</v>
      </c>
      <c r="C78" s="27" t="s">
        <v>284</v>
      </c>
      <c r="D78" s="27" t="s">
        <v>285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2338</f>
        <v>2338.0</v>
      </c>
      <c r="L78" s="34" t="s">
        <v>48</v>
      </c>
      <c r="M78" s="33" t="n">
        <f>2376</f>
        <v>2376.0</v>
      </c>
      <c r="N78" s="34" t="s">
        <v>50</v>
      </c>
      <c r="O78" s="33" t="n">
        <f>2331</f>
        <v>2331.0</v>
      </c>
      <c r="P78" s="34" t="s">
        <v>171</v>
      </c>
      <c r="Q78" s="33" t="n">
        <f>2354</f>
        <v>2354.0</v>
      </c>
      <c r="R78" s="34" t="s">
        <v>51</v>
      </c>
      <c r="S78" s="35" t="n">
        <f>2350.59</f>
        <v>2350.59</v>
      </c>
      <c r="T78" s="32" t="n">
        <f>3255172</f>
        <v>3255172.0</v>
      </c>
      <c r="U78" s="32" t="n">
        <f>322000</f>
        <v>322000.0</v>
      </c>
      <c r="V78" s="32" t="n">
        <f>7684772225</f>
        <v>7.684772225E9</v>
      </c>
      <c r="W78" s="32" t="n">
        <f>758511500</f>
        <v>7.585115E8</v>
      </c>
      <c r="X78" s="36" t="n">
        <f>22</f>
        <v>22.0</v>
      </c>
    </row>
    <row r="79">
      <c r="A79" s="27" t="s">
        <v>42</v>
      </c>
      <c r="B79" s="27" t="s">
        <v>286</v>
      </c>
      <c r="C79" s="27" t="s">
        <v>287</v>
      </c>
      <c r="D79" s="27" t="s">
        <v>288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1868</f>
        <v>1868.0</v>
      </c>
      <c r="L79" s="34" t="s">
        <v>48</v>
      </c>
      <c r="M79" s="33" t="n">
        <f>1910</f>
        <v>1910.0</v>
      </c>
      <c r="N79" s="34" t="s">
        <v>49</v>
      </c>
      <c r="O79" s="33" t="n">
        <f>1844</f>
        <v>1844.0</v>
      </c>
      <c r="P79" s="34" t="s">
        <v>198</v>
      </c>
      <c r="Q79" s="33" t="n">
        <f>1881</f>
        <v>1881.0</v>
      </c>
      <c r="R79" s="34" t="s">
        <v>51</v>
      </c>
      <c r="S79" s="35" t="n">
        <f>1890.62</f>
        <v>1890.62</v>
      </c>
      <c r="T79" s="32" t="n">
        <f>657</f>
        <v>657.0</v>
      </c>
      <c r="U79" s="32" t="n">
        <f>2</f>
        <v>2.0</v>
      </c>
      <c r="V79" s="32" t="n">
        <f>1238632</f>
        <v>1238632.0</v>
      </c>
      <c r="W79" s="32" t="n">
        <f>3818</f>
        <v>3818.0</v>
      </c>
      <c r="X79" s="36" t="n">
        <f>21</f>
        <v>21.0</v>
      </c>
    </row>
    <row r="80">
      <c r="A80" s="27" t="s">
        <v>42</v>
      </c>
      <c r="B80" s="27" t="s">
        <v>289</v>
      </c>
      <c r="C80" s="27" t="s">
        <v>290</v>
      </c>
      <c r="D80" s="27" t="s">
        <v>291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1916</f>
        <v>1916.0</v>
      </c>
      <c r="L80" s="34" t="s">
        <v>198</v>
      </c>
      <c r="M80" s="33" t="n">
        <f>1930</f>
        <v>1930.0</v>
      </c>
      <c r="N80" s="34" t="s">
        <v>80</v>
      </c>
      <c r="O80" s="33" t="n">
        <f>1860</f>
        <v>1860.0</v>
      </c>
      <c r="P80" s="34" t="s">
        <v>50</v>
      </c>
      <c r="Q80" s="33" t="n">
        <f>1918</f>
        <v>1918.0</v>
      </c>
      <c r="R80" s="34" t="s">
        <v>71</v>
      </c>
      <c r="S80" s="35" t="n">
        <f>1906</f>
        <v>1906.0</v>
      </c>
      <c r="T80" s="32" t="n">
        <f>1840</f>
        <v>1840.0</v>
      </c>
      <c r="U80" s="32" t="n">
        <f>20</f>
        <v>20.0</v>
      </c>
      <c r="V80" s="32" t="n">
        <f>3485480</f>
        <v>3485480.0</v>
      </c>
      <c r="W80" s="32" t="n">
        <f>38600</f>
        <v>38600.0</v>
      </c>
      <c r="X80" s="36" t="n">
        <f>11</f>
        <v>11.0</v>
      </c>
    </row>
    <row r="81">
      <c r="A81" s="27" t="s">
        <v>42</v>
      </c>
      <c r="B81" s="27" t="s">
        <v>292</v>
      </c>
      <c r="C81" s="27" t="s">
        <v>293</v>
      </c>
      <c r="D81" s="27" t="s">
        <v>294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30500</f>
        <v>30500.0</v>
      </c>
      <c r="L81" s="34" t="s">
        <v>198</v>
      </c>
      <c r="M81" s="33" t="n">
        <f>30500</f>
        <v>30500.0</v>
      </c>
      <c r="N81" s="34" t="s">
        <v>198</v>
      </c>
      <c r="O81" s="33" t="n">
        <f>30500</f>
        <v>30500.0</v>
      </c>
      <c r="P81" s="34" t="s">
        <v>198</v>
      </c>
      <c r="Q81" s="33" t="n">
        <f>30500</f>
        <v>30500.0</v>
      </c>
      <c r="R81" s="34" t="s">
        <v>198</v>
      </c>
      <c r="S81" s="35" t="n">
        <f>30500</f>
        <v>30500.0</v>
      </c>
      <c r="T81" s="32" t="n">
        <f>1</f>
        <v>1.0</v>
      </c>
      <c r="U81" s="32" t="str">
        <f>"－"</f>
        <v>－</v>
      </c>
      <c r="V81" s="32" t="n">
        <f>30500</f>
        <v>30500.0</v>
      </c>
      <c r="W81" s="32" t="str">
        <f>"－"</f>
        <v>－</v>
      </c>
      <c r="X81" s="36" t="n">
        <f>1</f>
        <v>1.0</v>
      </c>
    </row>
    <row r="82">
      <c r="A82" s="27" t="s">
        <v>42</v>
      </c>
      <c r="B82" s="27" t="s">
        <v>295</v>
      </c>
      <c r="C82" s="27" t="s">
        <v>296</v>
      </c>
      <c r="D82" s="27" t="s">
        <v>297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21260</f>
        <v>21260.0</v>
      </c>
      <c r="L82" s="34" t="s">
        <v>48</v>
      </c>
      <c r="M82" s="33" t="n">
        <f>21970</f>
        <v>21970.0</v>
      </c>
      <c r="N82" s="34" t="s">
        <v>71</v>
      </c>
      <c r="O82" s="33" t="n">
        <f>21170</f>
        <v>21170.0</v>
      </c>
      <c r="P82" s="34" t="s">
        <v>48</v>
      </c>
      <c r="Q82" s="33" t="n">
        <f>21570</f>
        <v>21570.0</v>
      </c>
      <c r="R82" s="34" t="s">
        <v>51</v>
      </c>
      <c r="S82" s="35" t="n">
        <f>21462.73</f>
        <v>21462.73</v>
      </c>
      <c r="T82" s="32" t="n">
        <f>96831</f>
        <v>96831.0</v>
      </c>
      <c r="U82" s="32" t="n">
        <f>6966</f>
        <v>6966.0</v>
      </c>
      <c r="V82" s="32" t="n">
        <f>2073803150</f>
        <v>2.07380315E9</v>
      </c>
      <c r="W82" s="32" t="n">
        <f>149939350</f>
        <v>1.4993935E8</v>
      </c>
      <c r="X82" s="36" t="n">
        <f>22</f>
        <v>22.0</v>
      </c>
    </row>
    <row r="83">
      <c r="A83" s="27" t="s">
        <v>42</v>
      </c>
      <c r="B83" s="27" t="s">
        <v>298</v>
      </c>
      <c r="C83" s="27" t="s">
        <v>299</v>
      </c>
      <c r="D83" s="27" t="s">
        <v>300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18290</f>
        <v>18290.0</v>
      </c>
      <c r="L83" s="34" t="s">
        <v>48</v>
      </c>
      <c r="M83" s="33" t="n">
        <f>18670</f>
        <v>18670.0</v>
      </c>
      <c r="N83" s="34" t="s">
        <v>50</v>
      </c>
      <c r="O83" s="33" t="n">
        <f>18240</f>
        <v>18240.0</v>
      </c>
      <c r="P83" s="34" t="s">
        <v>171</v>
      </c>
      <c r="Q83" s="33" t="n">
        <f>18410</f>
        <v>18410.0</v>
      </c>
      <c r="R83" s="34" t="s">
        <v>51</v>
      </c>
      <c r="S83" s="35" t="n">
        <f>18392.27</f>
        <v>18392.27</v>
      </c>
      <c r="T83" s="32" t="n">
        <f>492645</f>
        <v>492645.0</v>
      </c>
      <c r="U83" s="32" t="n">
        <f>100000</f>
        <v>100000.0</v>
      </c>
      <c r="V83" s="32" t="n">
        <f>9060759530</f>
        <v>9.06075953E9</v>
      </c>
      <c r="W83" s="32" t="n">
        <f>1832300000</f>
        <v>1.8323E9</v>
      </c>
      <c r="X83" s="36" t="n">
        <f>22</f>
        <v>22.0</v>
      </c>
    </row>
    <row r="84">
      <c r="A84" s="27" t="s">
        <v>42</v>
      </c>
      <c r="B84" s="27" t="s">
        <v>301</v>
      </c>
      <c r="C84" s="27" t="s">
        <v>302</v>
      </c>
      <c r="D84" s="27" t="s">
        <v>303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10.0</v>
      </c>
      <c r="K84" s="33" t="n">
        <f>2138</f>
        <v>2138.0</v>
      </c>
      <c r="L84" s="34" t="s">
        <v>48</v>
      </c>
      <c r="M84" s="33" t="n">
        <f>2230</f>
        <v>2230.0</v>
      </c>
      <c r="N84" s="34" t="s">
        <v>51</v>
      </c>
      <c r="O84" s="33" t="n">
        <f>2124</f>
        <v>2124.0</v>
      </c>
      <c r="P84" s="34" t="s">
        <v>48</v>
      </c>
      <c r="Q84" s="33" t="n">
        <f>2211</f>
        <v>2211.0</v>
      </c>
      <c r="R84" s="34" t="s">
        <v>51</v>
      </c>
      <c r="S84" s="35" t="n">
        <f>2189.5</f>
        <v>2189.5</v>
      </c>
      <c r="T84" s="32" t="n">
        <f>6369820</f>
        <v>6369820.0</v>
      </c>
      <c r="U84" s="32" t="n">
        <f>592650</f>
        <v>592650.0</v>
      </c>
      <c r="V84" s="32" t="n">
        <f>13989524610</f>
        <v>1.398952461E10</v>
      </c>
      <c r="W84" s="32" t="n">
        <f>1297496530</f>
        <v>1.29749653E9</v>
      </c>
      <c r="X84" s="36" t="n">
        <f>22</f>
        <v>22.0</v>
      </c>
    </row>
    <row r="85">
      <c r="A85" s="27" t="s">
        <v>42</v>
      </c>
      <c r="B85" s="27" t="s">
        <v>304</v>
      </c>
      <c r="C85" s="27" t="s">
        <v>305</v>
      </c>
      <c r="D85" s="27" t="s">
        <v>306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35700</f>
        <v>35700.0</v>
      </c>
      <c r="L85" s="34" t="s">
        <v>48</v>
      </c>
      <c r="M85" s="33" t="n">
        <f>36250</f>
        <v>36250.0</v>
      </c>
      <c r="N85" s="34" t="s">
        <v>90</v>
      </c>
      <c r="O85" s="33" t="n">
        <f>34200</f>
        <v>34200.0</v>
      </c>
      <c r="P85" s="34" t="s">
        <v>50</v>
      </c>
      <c r="Q85" s="33" t="n">
        <f>35000</f>
        <v>35000.0</v>
      </c>
      <c r="R85" s="34" t="s">
        <v>51</v>
      </c>
      <c r="S85" s="35" t="n">
        <f>35543.18</f>
        <v>35543.18</v>
      </c>
      <c r="T85" s="32" t="n">
        <f>22771</f>
        <v>22771.0</v>
      </c>
      <c r="U85" s="32" t="n">
        <f>1205</f>
        <v>1205.0</v>
      </c>
      <c r="V85" s="32" t="n">
        <f>800544650</f>
        <v>8.0054465E8</v>
      </c>
      <c r="W85" s="32" t="n">
        <f>43252000</f>
        <v>4.3252E7</v>
      </c>
      <c r="X85" s="36" t="n">
        <f>22</f>
        <v>22.0</v>
      </c>
    </row>
    <row r="86">
      <c r="A86" s="27" t="s">
        <v>42</v>
      </c>
      <c r="B86" s="27" t="s">
        <v>307</v>
      </c>
      <c r="C86" s="27" t="s">
        <v>308</v>
      </c>
      <c r="D86" s="27" t="s">
        <v>309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10.0</v>
      </c>
      <c r="K86" s="33" t="n">
        <f>7960</f>
        <v>7960.0</v>
      </c>
      <c r="L86" s="34" t="s">
        <v>48</v>
      </c>
      <c r="M86" s="33" t="n">
        <f>7960</f>
        <v>7960.0</v>
      </c>
      <c r="N86" s="34" t="s">
        <v>48</v>
      </c>
      <c r="O86" s="33" t="n">
        <f>7600</f>
        <v>7600.0</v>
      </c>
      <c r="P86" s="34" t="s">
        <v>199</v>
      </c>
      <c r="Q86" s="33" t="n">
        <f>7600</f>
        <v>7600.0</v>
      </c>
      <c r="R86" s="34" t="s">
        <v>199</v>
      </c>
      <c r="S86" s="35" t="n">
        <f>7728.57</f>
        <v>7728.57</v>
      </c>
      <c r="T86" s="32" t="n">
        <f>28200</f>
        <v>28200.0</v>
      </c>
      <c r="U86" s="32" t="n">
        <f>26020</f>
        <v>26020.0</v>
      </c>
      <c r="V86" s="32" t="n">
        <f>218137400</f>
        <v>2.181374E8</v>
      </c>
      <c r="W86" s="32" t="n">
        <f>201290000</f>
        <v>2.0129E8</v>
      </c>
      <c r="X86" s="36" t="n">
        <f>7</f>
        <v>7.0</v>
      </c>
    </row>
    <row r="87">
      <c r="A87" s="27" t="s">
        <v>42</v>
      </c>
      <c r="B87" s="27" t="s">
        <v>310</v>
      </c>
      <c r="C87" s="27" t="s">
        <v>311</v>
      </c>
      <c r="D87" s="27" t="s">
        <v>312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16030</f>
        <v>16030.0</v>
      </c>
      <c r="L87" s="34" t="s">
        <v>48</v>
      </c>
      <c r="M87" s="33" t="n">
        <f>16510</f>
        <v>16510.0</v>
      </c>
      <c r="N87" s="34" t="s">
        <v>239</v>
      </c>
      <c r="O87" s="33" t="n">
        <f>15940</f>
        <v>15940.0</v>
      </c>
      <c r="P87" s="34" t="s">
        <v>171</v>
      </c>
      <c r="Q87" s="33" t="n">
        <f>16470</f>
        <v>16470.0</v>
      </c>
      <c r="R87" s="34" t="s">
        <v>51</v>
      </c>
      <c r="S87" s="35" t="n">
        <f>16330.91</f>
        <v>16330.91</v>
      </c>
      <c r="T87" s="32" t="n">
        <f>1236</f>
        <v>1236.0</v>
      </c>
      <c r="U87" s="32" t="n">
        <f>4</f>
        <v>4.0</v>
      </c>
      <c r="V87" s="32" t="n">
        <f>20184270</f>
        <v>2.018427E7</v>
      </c>
      <c r="W87" s="32" t="n">
        <f>64910</f>
        <v>64910.0</v>
      </c>
      <c r="X87" s="36" t="n">
        <f>22</f>
        <v>22.0</v>
      </c>
    </row>
    <row r="88">
      <c r="A88" s="27" t="s">
        <v>42</v>
      </c>
      <c r="B88" s="27" t="s">
        <v>313</v>
      </c>
      <c r="C88" s="27" t="s">
        <v>314</v>
      </c>
      <c r="D88" s="27" t="s">
        <v>315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16150</f>
        <v>16150.0</v>
      </c>
      <c r="L88" s="34" t="s">
        <v>48</v>
      </c>
      <c r="M88" s="33" t="n">
        <f>16720</f>
        <v>16720.0</v>
      </c>
      <c r="N88" s="34" t="s">
        <v>73</v>
      </c>
      <c r="O88" s="33" t="n">
        <f>16000</f>
        <v>16000.0</v>
      </c>
      <c r="P88" s="34" t="s">
        <v>48</v>
      </c>
      <c r="Q88" s="33" t="n">
        <f>16610</f>
        <v>16610.0</v>
      </c>
      <c r="R88" s="34" t="s">
        <v>51</v>
      </c>
      <c r="S88" s="35" t="n">
        <f>16434.55</f>
        <v>16434.55</v>
      </c>
      <c r="T88" s="32" t="n">
        <f>567</f>
        <v>567.0</v>
      </c>
      <c r="U88" s="32" t="n">
        <f>3</f>
        <v>3.0</v>
      </c>
      <c r="V88" s="32" t="n">
        <f>9286610</f>
        <v>9286610.0</v>
      </c>
      <c r="W88" s="32" t="n">
        <f>49600</f>
        <v>49600.0</v>
      </c>
      <c r="X88" s="36" t="n">
        <f>22</f>
        <v>22.0</v>
      </c>
    </row>
    <row r="89">
      <c r="A89" s="27" t="s">
        <v>42</v>
      </c>
      <c r="B89" s="27" t="s">
        <v>316</v>
      </c>
      <c r="C89" s="27" t="s">
        <v>317</v>
      </c>
      <c r="D89" s="27" t="s">
        <v>318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19370</f>
        <v>19370.0</v>
      </c>
      <c r="L89" s="34" t="s">
        <v>48</v>
      </c>
      <c r="M89" s="33" t="n">
        <f>19680</f>
        <v>19680.0</v>
      </c>
      <c r="N89" s="34" t="s">
        <v>73</v>
      </c>
      <c r="O89" s="33" t="n">
        <f>18570</f>
        <v>18570.0</v>
      </c>
      <c r="P89" s="34" t="s">
        <v>50</v>
      </c>
      <c r="Q89" s="33" t="n">
        <f>19140</f>
        <v>19140.0</v>
      </c>
      <c r="R89" s="34" t="s">
        <v>51</v>
      </c>
      <c r="S89" s="35" t="n">
        <f>19283.18</f>
        <v>19283.18</v>
      </c>
      <c r="T89" s="32" t="n">
        <f>16493</f>
        <v>16493.0</v>
      </c>
      <c r="U89" s="32" t="n">
        <f>6560</f>
        <v>6560.0</v>
      </c>
      <c r="V89" s="32" t="n">
        <f>317342128</f>
        <v>3.17342128E8</v>
      </c>
      <c r="W89" s="32" t="n">
        <f>127252748</f>
        <v>1.27252748E8</v>
      </c>
      <c r="X89" s="36" t="n">
        <f>22</f>
        <v>22.0</v>
      </c>
    </row>
    <row r="90">
      <c r="A90" s="27" t="s">
        <v>42</v>
      </c>
      <c r="B90" s="27" t="s">
        <v>319</v>
      </c>
      <c r="C90" s="27" t="s">
        <v>320</v>
      </c>
      <c r="D90" s="27" t="s">
        <v>321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10450</f>
        <v>10450.0</v>
      </c>
      <c r="L90" s="34" t="s">
        <v>48</v>
      </c>
      <c r="M90" s="33" t="n">
        <f>10800</f>
        <v>10800.0</v>
      </c>
      <c r="N90" s="34" t="s">
        <v>67</v>
      </c>
      <c r="O90" s="33" t="n">
        <f>10310</f>
        <v>10310.0</v>
      </c>
      <c r="P90" s="34" t="s">
        <v>50</v>
      </c>
      <c r="Q90" s="33" t="n">
        <f>10640</f>
        <v>10640.0</v>
      </c>
      <c r="R90" s="34" t="s">
        <v>51</v>
      </c>
      <c r="S90" s="35" t="n">
        <f>10614.09</f>
        <v>10614.09</v>
      </c>
      <c r="T90" s="32" t="n">
        <f>18180</f>
        <v>18180.0</v>
      </c>
      <c r="U90" s="32" t="n">
        <f>9740</f>
        <v>9740.0</v>
      </c>
      <c r="V90" s="32" t="n">
        <f>190957100</f>
        <v>1.909571E8</v>
      </c>
      <c r="W90" s="32" t="n">
        <f>101575000</f>
        <v>1.01575E8</v>
      </c>
      <c r="X90" s="36" t="n">
        <f>22</f>
        <v>22.0</v>
      </c>
    </row>
    <row r="91">
      <c r="A91" s="27" t="s">
        <v>42</v>
      </c>
      <c r="B91" s="27" t="s">
        <v>322</v>
      </c>
      <c r="C91" s="27" t="s">
        <v>323</v>
      </c>
      <c r="D91" s="27" t="s">
        <v>324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2560</f>
        <v>2560.0</v>
      </c>
      <c r="L91" s="34" t="s">
        <v>48</v>
      </c>
      <c r="M91" s="33" t="n">
        <f>2625</f>
        <v>2625.0</v>
      </c>
      <c r="N91" s="34" t="s">
        <v>50</v>
      </c>
      <c r="O91" s="33" t="n">
        <f>2546</f>
        <v>2546.0</v>
      </c>
      <c r="P91" s="34" t="s">
        <v>171</v>
      </c>
      <c r="Q91" s="33" t="n">
        <f>2606</f>
        <v>2606.0</v>
      </c>
      <c r="R91" s="34" t="s">
        <v>51</v>
      </c>
      <c r="S91" s="35" t="n">
        <f>2582.91</f>
        <v>2582.91</v>
      </c>
      <c r="T91" s="32" t="n">
        <f>286720</f>
        <v>286720.0</v>
      </c>
      <c r="U91" s="32" t="n">
        <f>230010</f>
        <v>230010.0</v>
      </c>
      <c r="V91" s="32" t="n">
        <f>746172798</f>
        <v>7.46172798E8</v>
      </c>
      <c r="W91" s="32" t="n">
        <f>599819788</f>
        <v>5.99819788E8</v>
      </c>
      <c r="X91" s="36" t="n">
        <f>22</f>
        <v>22.0</v>
      </c>
    </row>
    <row r="92">
      <c r="A92" s="27" t="s">
        <v>42</v>
      </c>
      <c r="B92" s="27" t="s">
        <v>325</v>
      </c>
      <c r="C92" s="27" t="s">
        <v>326</v>
      </c>
      <c r="D92" s="27" t="s">
        <v>327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2360</f>
        <v>2360.0</v>
      </c>
      <c r="L92" s="34" t="s">
        <v>48</v>
      </c>
      <c r="M92" s="33" t="n">
        <f>2388</f>
        <v>2388.0</v>
      </c>
      <c r="N92" s="34" t="s">
        <v>51</v>
      </c>
      <c r="O92" s="33" t="n">
        <f>2358</f>
        <v>2358.0</v>
      </c>
      <c r="P92" s="34" t="s">
        <v>48</v>
      </c>
      <c r="Q92" s="33" t="n">
        <f>2388</f>
        <v>2388.0</v>
      </c>
      <c r="R92" s="34" t="s">
        <v>51</v>
      </c>
      <c r="S92" s="35" t="n">
        <f>2373.09</f>
        <v>2373.09</v>
      </c>
      <c r="T92" s="32" t="n">
        <f>274866</f>
        <v>274866.0</v>
      </c>
      <c r="U92" s="32" t="n">
        <f>210002</f>
        <v>210002.0</v>
      </c>
      <c r="V92" s="32" t="n">
        <f>655964352</f>
        <v>6.55964352E8</v>
      </c>
      <c r="W92" s="32" t="n">
        <f>502009722</f>
        <v>5.02009722E8</v>
      </c>
      <c r="X92" s="36" t="n">
        <f>22</f>
        <v>22.0</v>
      </c>
    </row>
    <row r="93">
      <c r="A93" s="27" t="s">
        <v>42</v>
      </c>
      <c r="B93" s="27" t="s">
        <v>328</v>
      </c>
      <c r="C93" s="27" t="s">
        <v>329</v>
      </c>
      <c r="D93" s="27" t="s">
        <v>330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15060</f>
        <v>15060.0</v>
      </c>
      <c r="L93" s="34" t="s">
        <v>48</v>
      </c>
      <c r="M93" s="33" t="n">
        <f>15250</f>
        <v>15250.0</v>
      </c>
      <c r="N93" s="34" t="s">
        <v>49</v>
      </c>
      <c r="O93" s="33" t="n">
        <f>14480</f>
        <v>14480.0</v>
      </c>
      <c r="P93" s="34" t="s">
        <v>50</v>
      </c>
      <c r="Q93" s="33" t="n">
        <f>14930</f>
        <v>14930.0</v>
      </c>
      <c r="R93" s="34" t="s">
        <v>51</v>
      </c>
      <c r="S93" s="35" t="n">
        <f>15017.73</f>
        <v>15017.73</v>
      </c>
      <c r="T93" s="32" t="n">
        <f>14845</f>
        <v>14845.0</v>
      </c>
      <c r="U93" s="32" t="n">
        <f>3353</f>
        <v>3353.0</v>
      </c>
      <c r="V93" s="32" t="n">
        <f>220896872</f>
        <v>2.20896872E8</v>
      </c>
      <c r="W93" s="32" t="n">
        <f>49981112</f>
        <v>4.9981112E7</v>
      </c>
      <c r="X93" s="36" t="n">
        <f>22</f>
        <v>22.0</v>
      </c>
    </row>
    <row r="94">
      <c r="A94" s="27" t="s">
        <v>42</v>
      </c>
      <c r="B94" s="27" t="s">
        <v>331</v>
      </c>
      <c r="C94" s="27" t="s">
        <v>332</v>
      </c>
      <c r="D94" s="27" t="s">
        <v>333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8600</f>
        <v>8600.0</v>
      </c>
      <c r="L94" s="34" t="s">
        <v>48</v>
      </c>
      <c r="M94" s="33" t="n">
        <f>9040</f>
        <v>9040.0</v>
      </c>
      <c r="N94" s="34" t="s">
        <v>72</v>
      </c>
      <c r="O94" s="33" t="n">
        <f>8280</f>
        <v>8280.0</v>
      </c>
      <c r="P94" s="34" t="s">
        <v>51</v>
      </c>
      <c r="Q94" s="33" t="n">
        <f>8290</f>
        <v>8290.0</v>
      </c>
      <c r="R94" s="34" t="s">
        <v>51</v>
      </c>
      <c r="S94" s="35" t="n">
        <f>8772.73</f>
        <v>8772.73</v>
      </c>
      <c r="T94" s="32" t="n">
        <f>6601</f>
        <v>6601.0</v>
      </c>
      <c r="U94" s="32" t="n">
        <f>12</f>
        <v>12.0</v>
      </c>
      <c r="V94" s="32" t="n">
        <f>57016840</f>
        <v>5.701684E7</v>
      </c>
      <c r="W94" s="32" t="n">
        <f>104910</f>
        <v>104910.0</v>
      </c>
      <c r="X94" s="36" t="n">
        <f>22</f>
        <v>22.0</v>
      </c>
    </row>
    <row r="95">
      <c r="A95" s="27" t="s">
        <v>42</v>
      </c>
      <c r="B95" s="27" t="s">
        <v>334</v>
      </c>
      <c r="C95" s="27" t="s">
        <v>335</v>
      </c>
      <c r="D95" s="27" t="s">
        <v>336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6400</f>
        <v>6400.0</v>
      </c>
      <c r="L95" s="34" t="s">
        <v>48</v>
      </c>
      <c r="M95" s="33" t="n">
        <f>6430</f>
        <v>6430.0</v>
      </c>
      <c r="N95" s="34" t="s">
        <v>48</v>
      </c>
      <c r="O95" s="33" t="n">
        <f>5910</f>
        <v>5910.0</v>
      </c>
      <c r="P95" s="34" t="s">
        <v>185</v>
      </c>
      <c r="Q95" s="33" t="n">
        <f>5960</f>
        <v>5960.0</v>
      </c>
      <c r="R95" s="34" t="s">
        <v>51</v>
      </c>
      <c r="S95" s="35" t="n">
        <f>6166.82</f>
        <v>6166.82</v>
      </c>
      <c r="T95" s="32" t="n">
        <f>4263362</f>
        <v>4263362.0</v>
      </c>
      <c r="U95" s="32" t="n">
        <f>131503</f>
        <v>131503.0</v>
      </c>
      <c r="V95" s="32" t="n">
        <f>26265527157</f>
        <v>2.6265527157E10</v>
      </c>
      <c r="W95" s="32" t="n">
        <f>808482247</f>
        <v>8.08482247E8</v>
      </c>
      <c r="X95" s="36" t="n">
        <f>22</f>
        <v>22.0</v>
      </c>
    </row>
    <row r="96">
      <c r="A96" s="27" t="s">
        <v>42</v>
      </c>
      <c r="B96" s="27" t="s">
        <v>337</v>
      </c>
      <c r="C96" s="27" t="s">
        <v>338</v>
      </c>
      <c r="D96" s="27" t="s">
        <v>339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3935</f>
        <v>3935.0</v>
      </c>
      <c r="L96" s="34" t="s">
        <v>48</v>
      </c>
      <c r="M96" s="33" t="n">
        <f>3955</f>
        <v>3955.0</v>
      </c>
      <c r="N96" s="34" t="s">
        <v>122</v>
      </c>
      <c r="O96" s="33" t="n">
        <f>3405</f>
        <v>3405.0</v>
      </c>
      <c r="P96" s="34" t="s">
        <v>50</v>
      </c>
      <c r="Q96" s="33" t="n">
        <f>3560</f>
        <v>3560.0</v>
      </c>
      <c r="R96" s="34" t="s">
        <v>51</v>
      </c>
      <c r="S96" s="35" t="n">
        <f>3739.09</f>
        <v>3739.09</v>
      </c>
      <c r="T96" s="32" t="n">
        <f>1119685</f>
        <v>1119685.0</v>
      </c>
      <c r="U96" s="32" t="n">
        <f>34</f>
        <v>34.0</v>
      </c>
      <c r="V96" s="32" t="n">
        <f>4154940980</f>
        <v>4.15494098E9</v>
      </c>
      <c r="W96" s="32" t="n">
        <f>131900</f>
        <v>131900.0</v>
      </c>
      <c r="X96" s="36" t="n">
        <f>22</f>
        <v>22.0</v>
      </c>
    </row>
    <row r="97">
      <c r="A97" s="27" t="s">
        <v>42</v>
      </c>
      <c r="B97" s="27" t="s">
        <v>340</v>
      </c>
      <c r="C97" s="27" t="s">
        <v>341</v>
      </c>
      <c r="D97" s="27" t="s">
        <v>342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1.0</v>
      </c>
      <c r="K97" s="33" t="n">
        <f>9220</f>
        <v>9220.0</v>
      </c>
      <c r="L97" s="34" t="s">
        <v>48</v>
      </c>
      <c r="M97" s="33" t="n">
        <f>9280</f>
        <v>9280.0</v>
      </c>
      <c r="N97" s="34" t="s">
        <v>48</v>
      </c>
      <c r="O97" s="33" t="n">
        <f>8370</f>
        <v>8370.0</v>
      </c>
      <c r="P97" s="34" t="s">
        <v>50</v>
      </c>
      <c r="Q97" s="33" t="n">
        <f>8580</f>
        <v>8580.0</v>
      </c>
      <c r="R97" s="34" t="s">
        <v>51</v>
      </c>
      <c r="S97" s="35" t="n">
        <f>8897.27</f>
        <v>8897.27</v>
      </c>
      <c r="T97" s="32" t="n">
        <f>626915</f>
        <v>626915.0</v>
      </c>
      <c r="U97" s="32" t="n">
        <f>31</f>
        <v>31.0</v>
      </c>
      <c r="V97" s="32" t="n">
        <f>5554602240</f>
        <v>5.55460224E9</v>
      </c>
      <c r="W97" s="32" t="n">
        <f>278680</f>
        <v>278680.0</v>
      </c>
      <c r="X97" s="36" t="n">
        <f>22</f>
        <v>22.0</v>
      </c>
    </row>
    <row r="98">
      <c r="A98" s="27" t="s">
        <v>42</v>
      </c>
      <c r="B98" s="27" t="s">
        <v>343</v>
      </c>
      <c r="C98" s="27" t="s">
        <v>344</v>
      </c>
      <c r="D98" s="27" t="s">
        <v>345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1.0</v>
      </c>
      <c r="K98" s="33" t="n">
        <f>92400</f>
        <v>92400.0</v>
      </c>
      <c r="L98" s="34" t="s">
        <v>48</v>
      </c>
      <c r="M98" s="33" t="n">
        <f>93900</f>
        <v>93900.0</v>
      </c>
      <c r="N98" s="34" t="s">
        <v>198</v>
      </c>
      <c r="O98" s="33" t="n">
        <f>82000</f>
        <v>82000.0</v>
      </c>
      <c r="P98" s="34" t="s">
        <v>50</v>
      </c>
      <c r="Q98" s="33" t="n">
        <f>88000</f>
        <v>88000.0</v>
      </c>
      <c r="R98" s="34" t="s">
        <v>51</v>
      </c>
      <c r="S98" s="35" t="n">
        <f>89550</f>
        <v>89550.0</v>
      </c>
      <c r="T98" s="32" t="n">
        <f>3377</f>
        <v>3377.0</v>
      </c>
      <c r="U98" s="32" t="n">
        <f>1</f>
        <v>1.0</v>
      </c>
      <c r="V98" s="32" t="n">
        <f>295809400</f>
        <v>2.958094E8</v>
      </c>
      <c r="W98" s="32" t="n">
        <f>93100</f>
        <v>93100.0</v>
      </c>
      <c r="X98" s="36" t="n">
        <f>22</f>
        <v>22.0</v>
      </c>
    </row>
    <row r="99">
      <c r="A99" s="27" t="s">
        <v>42</v>
      </c>
      <c r="B99" s="27" t="s">
        <v>346</v>
      </c>
      <c r="C99" s="27" t="s">
        <v>347</v>
      </c>
      <c r="D99" s="27" t="s">
        <v>348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1.0</v>
      </c>
      <c r="K99" s="33" t="n">
        <f>15190</f>
        <v>15190.0</v>
      </c>
      <c r="L99" s="34" t="s">
        <v>48</v>
      </c>
      <c r="M99" s="33" t="n">
        <f>16350</f>
        <v>16350.0</v>
      </c>
      <c r="N99" s="34" t="s">
        <v>51</v>
      </c>
      <c r="O99" s="33" t="n">
        <f>15050</f>
        <v>15050.0</v>
      </c>
      <c r="P99" s="34" t="s">
        <v>171</v>
      </c>
      <c r="Q99" s="33" t="n">
        <f>16320</f>
        <v>16320.0</v>
      </c>
      <c r="R99" s="34" t="s">
        <v>51</v>
      </c>
      <c r="S99" s="35" t="n">
        <f>15639.55</f>
        <v>15639.55</v>
      </c>
      <c r="T99" s="32" t="n">
        <f>1585356</f>
        <v>1585356.0</v>
      </c>
      <c r="U99" s="32" t="n">
        <f>32800</f>
        <v>32800.0</v>
      </c>
      <c r="V99" s="32" t="n">
        <f>24896647849</f>
        <v>2.4896647849E10</v>
      </c>
      <c r="W99" s="32" t="n">
        <f>512519359</f>
        <v>5.12519359E8</v>
      </c>
      <c r="X99" s="36" t="n">
        <f>22</f>
        <v>22.0</v>
      </c>
    </row>
    <row r="100">
      <c r="A100" s="27" t="s">
        <v>42</v>
      </c>
      <c r="B100" s="27" t="s">
        <v>349</v>
      </c>
      <c r="C100" s="27" t="s">
        <v>350</v>
      </c>
      <c r="D100" s="27" t="s">
        <v>351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37050</f>
        <v>37050.0</v>
      </c>
      <c r="L100" s="34" t="s">
        <v>48</v>
      </c>
      <c r="M100" s="33" t="n">
        <f>37550</f>
        <v>37550.0</v>
      </c>
      <c r="N100" s="34" t="s">
        <v>239</v>
      </c>
      <c r="O100" s="33" t="n">
        <f>35550</f>
        <v>35550.0</v>
      </c>
      <c r="P100" s="34" t="s">
        <v>50</v>
      </c>
      <c r="Q100" s="33" t="n">
        <f>37200</f>
        <v>37200.0</v>
      </c>
      <c r="R100" s="34" t="s">
        <v>51</v>
      </c>
      <c r="S100" s="35" t="n">
        <f>37027.27</f>
        <v>37027.27</v>
      </c>
      <c r="T100" s="32" t="n">
        <f>257563</f>
        <v>257563.0</v>
      </c>
      <c r="U100" s="32" t="n">
        <f>81686</f>
        <v>81686.0</v>
      </c>
      <c r="V100" s="32" t="n">
        <f>9499716620</f>
        <v>9.49971662E9</v>
      </c>
      <c r="W100" s="32" t="n">
        <f>3013554120</f>
        <v>3.01355412E9</v>
      </c>
      <c r="X100" s="36" t="n">
        <f>22</f>
        <v>22.0</v>
      </c>
    </row>
    <row r="101">
      <c r="A101" s="27" t="s">
        <v>42</v>
      </c>
      <c r="B101" s="27" t="s">
        <v>352</v>
      </c>
      <c r="C101" s="27" t="s">
        <v>353</v>
      </c>
      <c r="D101" s="27" t="s">
        <v>354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5000</f>
        <v>5000.0</v>
      </c>
      <c r="L101" s="34" t="s">
        <v>48</v>
      </c>
      <c r="M101" s="33" t="n">
        <f>5170</f>
        <v>5170.0</v>
      </c>
      <c r="N101" s="34" t="s">
        <v>239</v>
      </c>
      <c r="O101" s="33" t="n">
        <f>4930</f>
        <v>4930.0</v>
      </c>
      <c r="P101" s="34" t="s">
        <v>50</v>
      </c>
      <c r="Q101" s="33" t="n">
        <f>5150</f>
        <v>5150.0</v>
      </c>
      <c r="R101" s="34" t="s">
        <v>51</v>
      </c>
      <c r="S101" s="35" t="n">
        <f>5059.55</f>
        <v>5059.55</v>
      </c>
      <c r="T101" s="32" t="n">
        <f>877880</f>
        <v>877880.0</v>
      </c>
      <c r="U101" s="32" t="n">
        <f>14820</f>
        <v>14820.0</v>
      </c>
      <c r="V101" s="32" t="n">
        <f>4437567005</f>
        <v>4.437567005E9</v>
      </c>
      <c r="W101" s="32" t="n">
        <f>73828305</f>
        <v>7.3828305E7</v>
      </c>
      <c r="X101" s="36" t="n">
        <f>22</f>
        <v>22.0</v>
      </c>
    </row>
    <row r="102">
      <c r="A102" s="27" t="s">
        <v>42</v>
      </c>
      <c r="B102" s="27" t="s">
        <v>355</v>
      </c>
      <c r="C102" s="27" t="s">
        <v>356</v>
      </c>
      <c r="D102" s="27" t="s">
        <v>357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3360</f>
        <v>3360.0</v>
      </c>
      <c r="L102" s="34" t="s">
        <v>48</v>
      </c>
      <c r="M102" s="33" t="n">
        <f>3485</f>
        <v>3485.0</v>
      </c>
      <c r="N102" s="34" t="s">
        <v>51</v>
      </c>
      <c r="O102" s="33" t="n">
        <f>3280</f>
        <v>3280.0</v>
      </c>
      <c r="P102" s="34" t="s">
        <v>50</v>
      </c>
      <c r="Q102" s="33" t="n">
        <f>3435</f>
        <v>3435.0</v>
      </c>
      <c r="R102" s="34" t="s">
        <v>51</v>
      </c>
      <c r="S102" s="35" t="n">
        <f>3383.18</f>
        <v>3383.18</v>
      </c>
      <c r="T102" s="32" t="n">
        <f>182790</f>
        <v>182790.0</v>
      </c>
      <c r="U102" s="32" t="n">
        <f>40030</f>
        <v>40030.0</v>
      </c>
      <c r="V102" s="32" t="n">
        <f>620016850</f>
        <v>6.2001685E8</v>
      </c>
      <c r="W102" s="32" t="n">
        <f>135941350</f>
        <v>1.3594135E8</v>
      </c>
      <c r="X102" s="36" t="n">
        <f>22</f>
        <v>22.0</v>
      </c>
    </row>
    <row r="103">
      <c r="A103" s="27" t="s">
        <v>42</v>
      </c>
      <c r="B103" s="27" t="s">
        <v>358</v>
      </c>
      <c r="C103" s="27" t="s">
        <v>359</v>
      </c>
      <c r="D103" s="27" t="s">
        <v>360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10.0</v>
      </c>
      <c r="K103" s="33" t="n">
        <f>5120</f>
        <v>5120.0</v>
      </c>
      <c r="L103" s="34" t="s">
        <v>48</v>
      </c>
      <c r="M103" s="33" t="n">
        <f>5440</f>
        <v>5440.0</v>
      </c>
      <c r="N103" s="34" t="s">
        <v>73</v>
      </c>
      <c r="O103" s="33" t="n">
        <f>5070</f>
        <v>5070.0</v>
      </c>
      <c r="P103" s="34" t="s">
        <v>48</v>
      </c>
      <c r="Q103" s="33" t="n">
        <f>5360</f>
        <v>5360.0</v>
      </c>
      <c r="R103" s="34" t="s">
        <v>51</v>
      </c>
      <c r="S103" s="35" t="n">
        <f>5261.82</f>
        <v>5261.82</v>
      </c>
      <c r="T103" s="32" t="n">
        <f>10600</f>
        <v>10600.0</v>
      </c>
      <c r="U103" s="32" t="n">
        <f>40</f>
        <v>40.0</v>
      </c>
      <c r="V103" s="32" t="n">
        <f>55727700</f>
        <v>5.57277E7</v>
      </c>
      <c r="W103" s="32" t="n">
        <f>213600</f>
        <v>213600.0</v>
      </c>
      <c r="X103" s="36" t="n">
        <f>22</f>
        <v>22.0</v>
      </c>
    </row>
    <row r="104">
      <c r="A104" s="27" t="s">
        <v>42</v>
      </c>
      <c r="B104" s="27" t="s">
        <v>361</v>
      </c>
      <c r="C104" s="27" t="s">
        <v>362</v>
      </c>
      <c r="D104" s="27" t="s">
        <v>363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3050</f>
        <v>3050.0</v>
      </c>
      <c r="L104" s="34" t="s">
        <v>48</v>
      </c>
      <c r="M104" s="33" t="n">
        <f>3185</f>
        <v>3185.0</v>
      </c>
      <c r="N104" s="34" t="s">
        <v>50</v>
      </c>
      <c r="O104" s="33" t="n">
        <f>2577</f>
        <v>2577.0</v>
      </c>
      <c r="P104" s="34" t="s">
        <v>239</v>
      </c>
      <c r="Q104" s="33" t="n">
        <f>2617</f>
        <v>2617.0</v>
      </c>
      <c r="R104" s="34" t="s">
        <v>51</v>
      </c>
      <c r="S104" s="35" t="n">
        <f>2845.05</f>
        <v>2845.05</v>
      </c>
      <c r="T104" s="32" t="n">
        <f>25788272</f>
        <v>2.5788272E7</v>
      </c>
      <c r="U104" s="32" t="n">
        <f>83930</f>
        <v>83930.0</v>
      </c>
      <c r="V104" s="32" t="n">
        <f>73633762340</f>
        <v>7.363376234E10</v>
      </c>
      <c r="W104" s="32" t="n">
        <f>244007296</f>
        <v>2.44007296E8</v>
      </c>
      <c r="X104" s="36" t="n">
        <f>22</f>
        <v>22.0</v>
      </c>
    </row>
    <row r="105">
      <c r="A105" s="27" t="s">
        <v>42</v>
      </c>
      <c r="B105" s="27" t="s">
        <v>364</v>
      </c>
      <c r="C105" s="27" t="s">
        <v>365</v>
      </c>
      <c r="D105" s="27" t="s">
        <v>366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2916</f>
        <v>2916.0</v>
      </c>
      <c r="L105" s="34" t="s">
        <v>48</v>
      </c>
      <c r="M105" s="33" t="n">
        <f>2994</f>
        <v>2994.0</v>
      </c>
      <c r="N105" s="34" t="s">
        <v>239</v>
      </c>
      <c r="O105" s="33" t="n">
        <f>2850</f>
        <v>2850.0</v>
      </c>
      <c r="P105" s="34" t="s">
        <v>50</v>
      </c>
      <c r="Q105" s="33" t="n">
        <f>2983</f>
        <v>2983.0</v>
      </c>
      <c r="R105" s="34" t="s">
        <v>51</v>
      </c>
      <c r="S105" s="35" t="n">
        <f>2944.18</f>
        <v>2944.18</v>
      </c>
      <c r="T105" s="32" t="n">
        <f>144170</f>
        <v>144170.0</v>
      </c>
      <c r="U105" s="32" t="n">
        <f>30</f>
        <v>30.0</v>
      </c>
      <c r="V105" s="32" t="n">
        <f>424789880</f>
        <v>4.2478988E8</v>
      </c>
      <c r="W105" s="32" t="n">
        <f>88210</f>
        <v>88210.0</v>
      </c>
      <c r="X105" s="36" t="n">
        <f>22</f>
        <v>22.0</v>
      </c>
    </row>
    <row r="106">
      <c r="A106" s="27" t="s">
        <v>42</v>
      </c>
      <c r="B106" s="27" t="s">
        <v>367</v>
      </c>
      <c r="C106" s="27" t="s">
        <v>368</v>
      </c>
      <c r="D106" s="27" t="s">
        <v>369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1669</f>
        <v>1669.0</v>
      </c>
      <c r="L106" s="34" t="s">
        <v>48</v>
      </c>
      <c r="M106" s="33" t="n">
        <f>1765</f>
        <v>1765.0</v>
      </c>
      <c r="N106" s="34" t="s">
        <v>105</v>
      </c>
      <c r="O106" s="33" t="n">
        <f>1659</f>
        <v>1659.0</v>
      </c>
      <c r="P106" s="34" t="s">
        <v>48</v>
      </c>
      <c r="Q106" s="33" t="n">
        <f>1740</f>
        <v>1740.0</v>
      </c>
      <c r="R106" s="34" t="s">
        <v>51</v>
      </c>
      <c r="S106" s="35" t="n">
        <f>1732.86</f>
        <v>1732.86</v>
      </c>
      <c r="T106" s="32" t="n">
        <f>207510</f>
        <v>207510.0</v>
      </c>
      <c r="U106" s="32" t="str">
        <f>"－"</f>
        <v>－</v>
      </c>
      <c r="V106" s="32" t="n">
        <f>358309290</f>
        <v>3.5830929E8</v>
      </c>
      <c r="W106" s="32" t="str">
        <f>"－"</f>
        <v>－</v>
      </c>
      <c r="X106" s="36" t="n">
        <f>22</f>
        <v>22.0</v>
      </c>
    </row>
    <row r="107">
      <c r="A107" s="27" t="s">
        <v>42</v>
      </c>
      <c r="B107" s="27" t="s">
        <v>370</v>
      </c>
      <c r="C107" s="27" t="s">
        <v>371</v>
      </c>
      <c r="D107" s="27" t="s">
        <v>372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46000</f>
        <v>46000.0</v>
      </c>
      <c r="L107" s="34" t="s">
        <v>48</v>
      </c>
      <c r="M107" s="33" t="n">
        <f>47350</f>
        <v>47350.0</v>
      </c>
      <c r="N107" s="34" t="s">
        <v>239</v>
      </c>
      <c r="O107" s="33" t="n">
        <f>45250</f>
        <v>45250.0</v>
      </c>
      <c r="P107" s="34" t="s">
        <v>50</v>
      </c>
      <c r="Q107" s="33" t="n">
        <f>47300</f>
        <v>47300.0</v>
      </c>
      <c r="R107" s="34" t="s">
        <v>51</v>
      </c>
      <c r="S107" s="35" t="n">
        <f>46543.18</f>
        <v>46543.18</v>
      </c>
      <c r="T107" s="32" t="n">
        <f>200986</f>
        <v>200986.0</v>
      </c>
      <c r="U107" s="32" t="n">
        <f>53000</f>
        <v>53000.0</v>
      </c>
      <c r="V107" s="32" t="n">
        <f>9335489320</f>
        <v>9.33548932E9</v>
      </c>
      <c r="W107" s="32" t="n">
        <f>2465140120</f>
        <v>2.46514012E9</v>
      </c>
      <c r="X107" s="36" t="n">
        <f>22</f>
        <v>22.0</v>
      </c>
    </row>
    <row r="108">
      <c r="A108" s="27" t="s">
        <v>42</v>
      </c>
      <c r="B108" s="27" t="s">
        <v>373</v>
      </c>
      <c r="C108" s="27" t="s">
        <v>374</v>
      </c>
      <c r="D108" s="27" t="s">
        <v>375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3040</f>
        <v>3040.0</v>
      </c>
      <c r="L108" s="34" t="s">
        <v>48</v>
      </c>
      <c r="M108" s="33" t="n">
        <f>3180</f>
        <v>3180.0</v>
      </c>
      <c r="N108" s="34" t="s">
        <v>90</v>
      </c>
      <c r="O108" s="33" t="n">
        <f>2980</f>
        <v>2980.0</v>
      </c>
      <c r="P108" s="34" t="s">
        <v>50</v>
      </c>
      <c r="Q108" s="33" t="n">
        <f>3075</f>
        <v>3075.0</v>
      </c>
      <c r="R108" s="34" t="s">
        <v>51</v>
      </c>
      <c r="S108" s="35" t="n">
        <f>3090.45</f>
        <v>3090.45</v>
      </c>
      <c r="T108" s="32" t="n">
        <f>13608</f>
        <v>13608.0</v>
      </c>
      <c r="U108" s="32" t="str">
        <f>"－"</f>
        <v>－</v>
      </c>
      <c r="V108" s="32" t="n">
        <f>41883956</f>
        <v>4.1883956E7</v>
      </c>
      <c r="W108" s="32" t="str">
        <f>"－"</f>
        <v>－</v>
      </c>
      <c r="X108" s="36" t="n">
        <f>22</f>
        <v>22.0</v>
      </c>
    </row>
    <row r="109">
      <c r="A109" s="27" t="s">
        <v>42</v>
      </c>
      <c r="B109" s="27" t="s">
        <v>376</v>
      </c>
      <c r="C109" s="27" t="s">
        <v>377</v>
      </c>
      <c r="D109" s="27" t="s">
        <v>378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4130</f>
        <v>4130.0</v>
      </c>
      <c r="L109" s="34" t="s">
        <v>48</v>
      </c>
      <c r="M109" s="33" t="n">
        <f>4245</f>
        <v>4245.0</v>
      </c>
      <c r="N109" s="34" t="s">
        <v>72</v>
      </c>
      <c r="O109" s="33" t="n">
        <f>4095</f>
        <v>4095.0</v>
      </c>
      <c r="P109" s="34" t="s">
        <v>51</v>
      </c>
      <c r="Q109" s="33" t="n">
        <f>4095</f>
        <v>4095.0</v>
      </c>
      <c r="R109" s="34" t="s">
        <v>51</v>
      </c>
      <c r="S109" s="35" t="n">
        <f>4155</f>
        <v>4155.0</v>
      </c>
      <c r="T109" s="32" t="n">
        <f>5191</f>
        <v>5191.0</v>
      </c>
      <c r="U109" s="32" t="n">
        <f>2</f>
        <v>2.0</v>
      </c>
      <c r="V109" s="32" t="n">
        <f>21546320</f>
        <v>2.154632E7</v>
      </c>
      <c r="W109" s="32" t="n">
        <f>8320</f>
        <v>8320.0</v>
      </c>
      <c r="X109" s="36" t="n">
        <f>22</f>
        <v>22.0</v>
      </c>
    </row>
    <row r="110">
      <c r="A110" s="27" t="s">
        <v>42</v>
      </c>
      <c r="B110" s="27" t="s">
        <v>379</v>
      </c>
      <c r="C110" s="27" t="s">
        <v>380</v>
      </c>
      <c r="D110" s="27" t="s">
        <v>381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3390</f>
        <v>3390.0</v>
      </c>
      <c r="L110" s="34" t="s">
        <v>48</v>
      </c>
      <c r="M110" s="33" t="n">
        <f>4180</f>
        <v>4180.0</v>
      </c>
      <c r="N110" s="34" t="s">
        <v>51</v>
      </c>
      <c r="O110" s="33" t="n">
        <f>3335</f>
        <v>3335.0</v>
      </c>
      <c r="P110" s="34" t="s">
        <v>171</v>
      </c>
      <c r="Q110" s="33" t="n">
        <f>4165</f>
        <v>4165.0</v>
      </c>
      <c r="R110" s="34" t="s">
        <v>51</v>
      </c>
      <c r="S110" s="35" t="n">
        <f>3695</f>
        <v>3695.0</v>
      </c>
      <c r="T110" s="32" t="n">
        <f>258672</f>
        <v>258672.0</v>
      </c>
      <c r="U110" s="32" t="str">
        <f>"－"</f>
        <v>－</v>
      </c>
      <c r="V110" s="32" t="n">
        <f>965034920</f>
        <v>9.6503492E8</v>
      </c>
      <c r="W110" s="32" t="str">
        <f>"－"</f>
        <v>－</v>
      </c>
      <c r="X110" s="36" t="n">
        <f>22</f>
        <v>22.0</v>
      </c>
    </row>
    <row r="111">
      <c r="A111" s="27" t="s">
        <v>42</v>
      </c>
      <c r="B111" s="27" t="s">
        <v>382</v>
      </c>
      <c r="C111" s="27" t="s">
        <v>383</v>
      </c>
      <c r="D111" s="27" t="s">
        <v>384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45150</f>
        <v>45150.0</v>
      </c>
      <c r="L111" s="34" t="s">
        <v>48</v>
      </c>
      <c r="M111" s="33" t="n">
        <f>45700</f>
        <v>45700.0</v>
      </c>
      <c r="N111" s="34" t="s">
        <v>80</v>
      </c>
      <c r="O111" s="33" t="n">
        <f>44650</f>
        <v>44650.0</v>
      </c>
      <c r="P111" s="34" t="s">
        <v>50</v>
      </c>
      <c r="Q111" s="33" t="n">
        <f>45400</f>
        <v>45400.0</v>
      </c>
      <c r="R111" s="34" t="s">
        <v>51</v>
      </c>
      <c r="S111" s="35" t="n">
        <f>45402.27</f>
        <v>45402.27</v>
      </c>
      <c r="T111" s="32" t="n">
        <f>12818</f>
        <v>12818.0</v>
      </c>
      <c r="U111" s="32" t="n">
        <f>221</f>
        <v>221.0</v>
      </c>
      <c r="V111" s="32" t="n">
        <f>580975950</f>
        <v>5.8097595E8</v>
      </c>
      <c r="W111" s="32" t="n">
        <f>10009200</f>
        <v>1.00092E7</v>
      </c>
      <c r="X111" s="36" t="n">
        <f>22</f>
        <v>22.0</v>
      </c>
    </row>
    <row r="112">
      <c r="A112" s="27" t="s">
        <v>42</v>
      </c>
      <c r="B112" s="27" t="s">
        <v>385</v>
      </c>
      <c r="C112" s="27" t="s">
        <v>386</v>
      </c>
      <c r="D112" s="27" t="s">
        <v>387</v>
      </c>
      <c r="E112" s="28" t="s">
        <v>46</v>
      </c>
      <c r="F112" s="29" t="s">
        <v>46</v>
      </c>
      <c r="G112" s="30" t="s">
        <v>46</v>
      </c>
      <c r="H112" s="31" t="s">
        <v>121</v>
      </c>
      <c r="I112" s="31" t="s">
        <v>47</v>
      </c>
      <c r="J112" s="32" t="n">
        <v>10.0</v>
      </c>
      <c r="K112" s="33" t="n">
        <f>1250</f>
        <v>1250.0</v>
      </c>
      <c r="L112" s="34" t="s">
        <v>198</v>
      </c>
      <c r="M112" s="33" t="n">
        <f>1258</f>
        <v>1258.0</v>
      </c>
      <c r="N112" s="34" t="s">
        <v>50</v>
      </c>
      <c r="O112" s="33" t="n">
        <f>1250</f>
        <v>1250.0</v>
      </c>
      <c r="P112" s="34" t="s">
        <v>198</v>
      </c>
      <c r="Q112" s="33" t="n">
        <f>1258</f>
        <v>1258.0</v>
      </c>
      <c r="R112" s="34" t="s">
        <v>50</v>
      </c>
      <c r="S112" s="35" t="n">
        <f>1255</f>
        <v>1255.0</v>
      </c>
      <c r="T112" s="32" t="n">
        <f>110</f>
        <v>110.0</v>
      </c>
      <c r="U112" s="32" t="str">
        <f>"－"</f>
        <v>－</v>
      </c>
      <c r="V112" s="32" t="n">
        <f>138050</f>
        <v>138050.0</v>
      </c>
      <c r="W112" s="32" t="str">
        <f>"－"</f>
        <v>－</v>
      </c>
      <c r="X112" s="36" t="n">
        <f>3</f>
        <v>3.0</v>
      </c>
    </row>
    <row r="113">
      <c r="A113" s="27" t="s">
        <v>42</v>
      </c>
      <c r="B113" s="27" t="s">
        <v>388</v>
      </c>
      <c r="C113" s="27" t="s">
        <v>389</v>
      </c>
      <c r="D113" s="27" t="s">
        <v>390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23580</f>
        <v>23580.0</v>
      </c>
      <c r="L113" s="34" t="s">
        <v>48</v>
      </c>
      <c r="M113" s="33" t="n">
        <f>24840</f>
        <v>24840.0</v>
      </c>
      <c r="N113" s="34" t="s">
        <v>49</v>
      </c>
      <c r="O113" s="33" t="n">
        <f>22520</f>
        <v>22520.0</v>
      </c>
      <c r="P113" s="34" t="s">
        <v>50</v>
      </c>
      <c r="Q113" s="33" t="n">
        <f>23860</f>
        <v>23860.0</v>
      </c>
      <c r="R113" s="34" t="s">
        <v>51</v>
      </c>
      <c r="S113" s="35" t="n">
        <f>24089.55</f>
        <v>24089.55</v>
      </c>
      <c r="T113" s="32" t="n">
        <f>2791180</f>
        <v>2791180.0</v>
      </c>
      <c r="U113" s="32" t="n">
        <f>9270</f>
        <v>9270.0</v>
      </c>
      <c r="V113" s="32" t="n">
        <f>66851239800</f>
        <v>6.68512398E10</v>
      </c>
      <c r="W113" s="32" t="n">
        <f>211425900</f>
        <v>2.114259E8</v>
      </c>
      <c r="X113" s="36" t="n">
        <f>22</f>
        <v>22.0</v>
      </c>
    </row>
    <row r="114">
      <c r="A114" s="27" t="s">
        <v>42</v>
      </c>
      <c r="B114" s="27" t="s">
        <v>391</v>
      </c>
      <c r="C114" s="27" t="s">
        <v>392</v>
      </c>
      <c r="D114" s="27" t="s">
        <v>393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10.0</v>
      </c>
      <c r="K114" s="33" t="n">
        <f>2254</f>
        <v>2254.0</v>
      </c>
      <c r="L114" s="34" t="s">
        <v>48</v>
      </c>
      <c r="M114" s="33" t="n">
        <f>2301</f>
        <v>2301.0</v>
      </c>
      <c r="N114" s="34" t="s">
        <v>50</v>
      </c>
      <c r="O114" s="33" t="n">
        <f>2196</f>
        <v>2196.0</v>
      </c>
      <c r="P114" s="34" t="s">
        <v>49</v>
      </c>
      <c r="Q114" s="33" t="n">
        <f>2235</f>
        <v>2235.0</v>
      </c>
      <c r="R114" s="34" t="s">
        <v>51</v>
      </c>
      <c r="S114" s="35" t="n">
        <f>2228.27</f>
        <v>2228.27</v>
      </c>
      <c r="T114" s="32" t="n">
        <f>451660</f>
        <v>451660.0</v>
      </c>
      <c r="U114" s="32" t="n">
        <f>74640</f>
        <v>74640.0</v>
      </c>
      <c r="V114" s="32" t="n">
        <f>1008585880</f>
        <v>1.00858588E9</v>
      </c>
      <c r="W114" s="32" t="n">
        <f>166121390</f>
        <v>1.6612139E8</v>
      </c>
      <c r="X114" s="36" t="n">
        <f>22</f>
        <v>22.0</v>
      </c>
    </row>
    <row r="115">
      <c r="A115" s="27" t="s">
        <v>42</v>
      </c>
      <c r="B115" s="27" t="s">
        <v>394</v>
      </c>
      <c r="C115" s="27" t="s">
        <v>395</v>
      </c>
      <c r="D115" s="27" t="s">
        <v>396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16030</f>
        <v>16030.0</v>
      </c>
      <c r="L115" s="34" t="s">
        <v>48</v>
      </c>
      <c r="M115" s="33" t="n">
        <f>16520</f>
        <v>16520.0</v>
      </c>
      <c r="N115" s="34" t="s">
        <v>80</v>
      </c>
      <c r="O115" s="33" t="n">
        <f>14640</f>
        <v>14640.0</v>
      </c>
      <c r="P115" s="34" t="s">
        <v>50</v>
      </c>
      <c r="Q115" s="33" t="n">
        <f>15730</f>
        <v>15730.0</v>
      </c>
      <c r="R115" s="34" t="s">
        <v>51</v>
      </c>
      <c r="S115" s="35" t="n">
        <f>15911.36</f>
        <v>15911.36</v>
      </c>
      <c r="T115" s="32" t="n">
        <f>120027904</f>
        <v>1.20027904E8</v>
      </c>
      <c r="U115" s="32" t="n">
        <f>194508</f>
        <v>194508.0</v>
      </c>
      <c r="V115" s="32" t="n">
        <f>1898637332128</f>
        <v>1.898637332128E12</v>
      </c>
      <c r="W115" s="32" t="n">
        <f>3066757458</f>
        <v>3.066757458E9</v>
      </c>
      <c r="X115" s="36" t="n">
        <f>22</f>
        <v>22.0</v>
      </c>
    </row>
    <row r="116">
      <c r="A116" s="27" t="s">
        <v>42</v>
      </c>
      <c r="B116" s="27" t="s">
        <v>397</v>
      </c>
      <c r="C116" s="27" t="s">
        <v>398</v>
      </c>
      <c r="D116" s="27" t="s">
        <v>399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1008</f>
        <v>1008.0</v>
      </c>
      <c r="L116" s="34" t="s">
        <v>48</v>
      </c>
      <c r="M116" s="33" t="n">
        <f>1050</f>
        <v>1050.0</v>
      </c>
      <c r="N116" s="34" t="s">
        <v>50</v>
      </c>
      <c r="O116" s="33" t="n">
        <f>991</f>
        <v>991.0</v>
      </c>
      <c r="P116" s="34" t="s">
        <v>80</v>
      </c>
      <c r="Q116" s="33" t="n">
        <f>1011</f>
        <v>1011.0</v>
      </c>
      <c r="R116" s="34" t="s">
        <v>51</v>
      </c>
      <c r="S116" s="35" t="n">
        <f>1008.86</f>
        <v>1008.86</v>
      </c>
      <c r="T116" s="32" t="n">
        <f>12485861</f>
        <v>1.2485861E7</v>
      </c>
      <c r="U116" s="32" t="n">
        <f>520156</f>
        <v>520156.0</v>
      </c>
      <c r="V116" s="32" t="n">
        <f>12622623888</f>
        <v>1.2622623888E10</v>
      </c>
      <c r="W116" s="32" t="n">
        <f>522538932</f>
        <v>5.22538932E8</v>
      </c>
      <c r="X116" s="36" t="n">
        <f>22</f>
        <v>22.0</v>
      </c>
    </row>
    <row r="117">
      <c r="A117" s="27" t="s">
        <v>42</v>
      </c>
      <c r="B117" s="27" t="s">
        <v>400</v>
      </c>
      <c r="C117" s="27" t="s">
        <v>401</v>
      </c>
      <c r="D117" s="27" t="s">
        <v>402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11550</f>
        <v>11550.0</v>
      </c>
      <c r="L117" s="34" t="s">
        <v>48</v>
      </c>
      <c r="M117" s="33" t="n">
        <f>11850</f>
        <v>11850.0</v>
      </c>
      <c r="N117" s="34" t="s">
        <v>198</v>
      </c>
      <c r="O117" s="33" t="n">
        <f>10810</f>
        <v>10810.0</v>
      </c>
      <c r="P117" s="34" t="s">
        <v>403</v>
      </c>
      <c r="Q117" s="33" t="n">
        <f>11350</f>
        <v>11350.0</v>
      </c>
      <c r="R117" s="34" t="s">
        <v>51</v>
      </c>
      <c r="S117" s="35" t="n">
        <f>11378.64</f>
        <v>11378.64</v>
      </c>
      <c r="T117" s="32" t="n">
        <f>12040</f>
        <v>12040.0</v>
      </c>
      <c r="U117" s="32" t="n">
        <f>10</f>
        <v>10.0</v>
      </c>
      <c r="V117" s="32" t="n">
        <f>138056000</f>
        <v>1.38056E8</v>
      </c>
      <c r="W117" s="32" t="n">
        <f>113500</f>
        <v>113500.0</v>
      </c>
      <c r="X117" s="36" t="n">
        <f>22</f>
        <v>22.0</v>
      </c>
    </row>
    <row r="118">
      <c r="A118" s="27" t="s">
        <v>42</v>
      </c>
      <c r="B118" s="27" t="s">
        <v>404</v>
      </c>
      <c r="C118" s="27" t="s">
        <v>405</v>
      </c>
      <c r="D118" s="27" t="s">
        <v>406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6610</f>
        <v>6610.0</v>
      </c>
      <c r="L118" s="34" t="s">
        <v>48</v>
      </c>
      <c r="M118" s="33" t="n">
        <f>6820</f>
        <v>6820.0</v>
      </c>
      <c r="N118" s="34" t="s">
        <v>403</v>
      </c>
      <c r="O118" s="33" t="n">
        <f>6500</f>
        <v>6500.0</v>
      </c>
      <c r="P118" s="34" t="s">
        <v>198</v>
      </c>
      <c r="Q118" s="33" t="n">
        <f>6650</f>
        <v>6650.0</v>
      </c>
      <c r="R118" s="34" t="s">
        <v>51</v>
      </c>
      <c r="S118" s="35" t="n">
        <f>6660</f>
        <v>6660.0</v>
      </c>
      <c r="T118" s="32" t="n">
        <f>2090</f>
        <v>2090.0</v>
      </c>
      <c r="U118" s="32" t="str">
        <f>"－"</f>
        <v>－</v>
      </c>
      <c r="V118" s="32" t="n">
        <f>13944400</f>
        <v>1.39444E7</v>
      </c>
      <c r="W118" s="32" t="str">
        <f>"－"</f>
        <v>－</v>
      </c>
      <c r="X118" s="36" t="n">
        <f>22</f>
        <v>22.0</v>
      </c>
    </row>
    <row r="119">
      <c r="A119" s="27" t="s">
        <v>42</v>
      </c>
      <c r="B119" s="27" t="s">
        <v>407</v>
      </c>
      <c r="C119" s="27" t="s">
        <v>408</v>
      </c>
      <c r="D119" s="27" t="s">
        <v>409</v>
      </c>
      <c r="E119" s="28" t="s">
        <v>46</v>
      </c>
      <c r="F119" s="29" t="s">
        <v>46</v>
      </c>
      <c r="G119" s="30" t="s">
        <v>46</v>
      </c>
      <c r="H119" s="31" t="s">
        <v>121</v>
      </c>
      <c r="I119" s="31" t="s">
        <v>47</v>
      </c>
      <c r="J119" s="32" t="n">
        <v>10.0</v>
      </c>
      <c r="K119" s="33" t="n">
        <f>1567</f>
        <v>1567.0</v>
      </c>
      <c r="L119" s="34" t="s">
        <v>198</v>
      </c>
      <c r="M119" s="33" t="n">
        <f>1611</f>
        <v>1611.0</v>
      </c>
      <c r="N119" s="34" t="s">
        <v>105</v>
      </c>
      <c r="O119" s="33" t="n">
        <f>1567</f>
        <v>1567.0</v>
      </c>
      <c r="P119" s="34" t="s">
        <v>198</v>
      </c>
      <c r="Q119" s="33" t="n">
        <f>1611</f>
        <v>1611.0</v>
      </c>
      <c r="R119" s="34" t="s">
        <v>105</v>
      </c>
      <c r="S119" s="35" t="n">
        <f>1596</f>
        <v>1596.0</v>
      </c>
      <c r="T119" s="32" t="n">
        <f>30</f>
        <v>30.0</v>
      </c>
      <c r="U119" s="32" t="str">
        <f>"－"</f>
        <v>－</v>
      </c>
      <c r="V119" s="32" t="n">
        <f>47880</f>
        <v>47880.0</v>
      </c>
      <c r="W119" s="32" t="str">
        <f>"－"</f>
        <v>－</v>
      </c>
      <c r="X119" s="36" t="n">
        <f>3</f>
        <v>3.0</v>
      </c>
    </row>
    <row r="120">
      <c r="A120" s="27" t="s">
        <v>42</v>
      </c>
      <c r="B120" s="27" t="s">
        <v>410</v>
      </c>
      <c r="C120" s="27" t="s">
        <v>411</v>
      </c>
      <c r="D120" s="27" t="s">
        <v>412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10.0</v>
      </c>
      <c r="K120" s="33" t="n">
        <f>924</f>
        <v>924.0</v>
      </c>
      <c r="L120" s="34" t="s">
        <v>48</v>
      </c>
      <c r="M120" s="33" t="n">
        <f>924</f>
        <v>924.0</v>
      </c>
      <c r="N120" s="34" t="s">
        <v>48</v>
      </c>
      <c r="O120" s="33" t="n">
        <f>827</f>
        <v>827.0</v>
      </c>
      <c r="P120" s="34" t="s">
        <v>413</v>
      </c>
      <c r="Q120" s="33" t="n">
        <f>842</f>
        <v>842.0</v>
      </c>
      <c r="R120" s="34" t="s">
        <v>51</v>
      </c>
      <c r="S120" s="35" t="n">
        <f>860.55</f>
        <v>860.55</v>
      </c>
      <c r="T120" s="32" t="n">
        <f>26110</f>
        <v>26110.0</v>
      </c>
      <c r="U120" s="32" t="n">
        <f>50</f>
        <v>50.0</v>
      </c>
      <c r="V120" s="32" t="n">
        <f>22433660</f>
        <v>2.243366E7</v>
      </c>
      <c r="W120" s="32" t="n">
        <f>42390</f>
        <v>42390.0</v>
      </c>
      <c r="X120" s="36" t="n">
        <f>22</f>
        <v>22.0</v>
      </c>
    </row>
    <row r="121">
      <c r="A121" s="27" t="s">
        <v>42</v>
      </c>
      <c r="B121" s="27" t="s">
        <v>414</v>
      </c>
      <c r="C121" s="27" t="s">
        <v>415</v>
      </c>
      <c r="D121" s="27" t="s">
        <v>416</v>
      </c>
      <c r="E121" s="28" t="s">
        <v>246</v>
      </c>
      <c r="F121" s="29" t="s">
        <v>247</v>
      </c>
      <c r="G121" s="30" t="s">
        <v>417</v>
      </c>
      <c r="H121" s="31" t="s">
        <v>249</v>
      </c>
      <c r="I121" s="31"/>
      <c r="J121" s="32" t="n">
        <v>10.0</v>
      </c>
      <c r="K121" s="33" t="n">
        <f>825</f>
        <v>825.0</v>
      </c>
      <c r="L121" s="34" t="s">
        <v>48</v>
      </c>
      <c r="M121" s="33" t="n">
        <f>846</f>
        <v>846.0</v>
      </c>
      <c r="N121" s="34" t="s">
        <v>122</v>
      </c>
      <c r="O121" s="33" t="n">
        <f>796</f>
        <v>796.0</v>
      </c>
      <c r="P121" s="34" t="s">
        <v>90</v>
      </c>
      <c r="Q121" s="33" t="n">
        <f>818</f>
        <v>818.0</v>
      </c>
      <c r="R121" s="34" t="s">
        <v>94</v>
      </c>
      <c r="S121" s="35" t="n">
        <f>825.67</f>
        <v>825.67</v>
      </c>
      <c r="T121" s="32" t="n">
        <f>34190</f>
        <v>34190.0</v>
      </c>
      <c r="U121" s="32" t="str">
        <f>"－"</f>
        <v>－</v>
      </c>
      <c r="V121" s="32" t="n">
        <f>27808660</f>
        <v>2.780866E7</v>
      </c>
      <c r="W121" s="32" t="str">
        <f>"－"</f>
        <v>－</v>
      </c>
      <c r="X121" s="36" t="n">
        <f>6</f>
        <v>6.0</v>
      </c>
    </row>
    <row r="122">
      <c r="A122" s="27" t="s">
        <v>42</v>
      </c>
      <c r="B122" s="27" t="s">
        <v>418</v>
      </c>
      <c r="C122" s="27" t="s">
        <v>419</v>
      </c>
      <c r="D122" s="27" t="s">
        <v>420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22960</f>
        <v>22960.0</v>
      </c>
      <c r="L122" s="34" t="s">
        <v>48</v>
      </c>
      <c r="M122" s="33" t="n">
        <f>23430</f>
        <v>23430.0</v>
      </c>
      <c r="N122" s="34" t="s">
        <v>94</v>
      </c>
      <c r="O122" s="33" t="n">
        <f>22150</f>
        <v>22150.0</v>
      </c>
      <c r="P122" s="34" t="s">
        <v>50</v>
      </c>
      <c r="Q122" s="33" t="n">
        <f>22640</f>
        <v>22640.0</v>
      </c>
      <c r="R122" s="34" t="s">
        <v>51</v>
      </c>
      <c r="S122" s="35" t="n">
        <f>23012.73</f>
        <v>23012.73</v>
      </c>
      <c r="T122" s="32" t="n">
        <f>123308</f>
        <v>123308.0</v>
      </c>
      <c r="U122" s="32" t="n">
        <f>84545</f>
        <v>84545.0</v>
      </c>
      <c r="V122" s="32" t="n">
        <f>2850412568</f>
        <v>2.850412568E9</v>
      </c>
      <c r="W122" s="32" t="n">
        <f>1956296768</f>
        <v>1.956296768E9</v>
      </c>
      <c r="X122" s="36" t="n">
        <f>22</f>
        <v>22.0</v>
      </c>
    </row>
    <row r="123">
      <c r="A123" s="27" t="s">
        <v>42</v>
      </c>
      <c r="B123" s="27" t="s">
        <v>421</v>
      </c>
      <c r="C123" s="27" t="s">
        <v>422</v>
      </c>
      <c r="D123" s="27" t="s">
        <v>423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2320</f>
        <v>2320.0</v>
      </c>
      <c r="L123" s="34" t="s">
        <v>48</v>
      </c>
      <c r="M123" s="33" t="n">
        <f>2356</f>
        <v>2356.0</v>
      </c>
      <c r="N123" s="34" t="s">
        <v>80</v>
      </c>
      <c r="O123" s="33" t="n">
        <f>2221</f>
        <v>2221.0</v>
      </c>
      <c r="P123" s="34" t="s">
        <v>50</v>
      </c>
      <c r="Q123" s="33" t="n">
        <f>2304</f>
        <v>2304.0</v>
      </c>
      <c r="R123" s="34" t="s">
        <v>51</v>
      </c>
      <c r="S123" s="35" t="n">
        <f>2312.14</f>
        <v>2312.14</v>
      </c>
      <c r="T123" s="32" t="n">
        <f>517923</f>
        <v>517923.0</v>
      </c>
      <c r="U123" s="32" t="str">
        <f>"－"</f>
        <v>－</v>
      </c>
      <c r="V123" s="32" t="n">
        <f>1204549514</f>
        <v>1.204549514E9</v>
      </c>
      <c r="W123" s="32" t="str">
        <f>"－"</f>
        <v>－</v>
      </c>
      <c r="X123" s="36" t="n">
        <f>22</f>
        <v>22.0</v>
      </c>
    </row>
    <row r="124">
      <c r="A124" s="27" t="s">
        <v>42</v>
      </c>
      <c r="B124" s="27" t="s">
        <v>424</v>
      </c>
      <c r="C124" s="27" t="s">
        <v>425</v>
      </c>
      <c r="D124" s="27" t="s">
        <v>426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10.0</v>
      </c>
      <c r="K124" s="33" t="n">
        <f>17120</f>
        <v>17120.0</v>
      </c>
      <c r="L124" s="34" t="s">
        <v>48</v>
      </c>
      <c r="M124" s="33" t="n">
        <f>17650</f>
        <v>17650.0</v>
      </c>
      <c r="N124" s="34" t="s">
        <v>80</v>
      </c>
      <c r="O124" s="33" t="n">
        <f>15630</f>
        <v>15630.0</v>
      </c>
      <c r="P124" s="34" t="s">
        <v>50</v>
      </c>
      <c r="Q124" s="33" t="n">
        <f>16820</f>
        <v>16820.0</v>
      </c>
      <c r="R124" s="34" t="s">
        <v>51</v>
      </c>
      <c r="S124" s="35" t="n">
        <f>16996.82</f>
        <v>16996.82</v>
      </c>
      <c r="T124" s="32" t="n">
        <f>20581520</f>
        <v>2.058152E7</v>
      </c>
      <c r="U124" s="32" t="n">
        <f>2330</f>
        <v>2330.0</v>
      </c>
      <c r="V124" s="32" t="n">
        <f>348314263370</f>
        <v>3.4831426337E11</v>
      </c>
      <c r="W124" s="32" t="n">
        <f>37826870</f>
        <v>3.782687E7</v>
      </c>
      <c r="X124" s="36" t="n">
        <f>22</f>
        <v>22.0</v>
      </c>
    </row>
    <row r="125">
      <c r="A125" s="27" t="s">
        <v>42</v>
      </c>
      <c r="B125" s="27" t="s">
        <v>427</v>
      </c>
      <c r="C125" s="27" t="s">
        <v>428</v>
      </c>
      <c r="D125" s="27" t="s">
        <v>429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n">
        <f>2685</f>
        <v>2685.0</v>
      </c>
      <c r="L125" s="34" t="s">
        <v>48</v>
      </c>
      <c r="M125" s="33" t="n">
        <f>2800</f>
        <v>2800.0</v>
      </c>
      <c r="N125" s="34" t="s">
        <v>50</v>
      </c>
      <c r="O125" s="33" t="n">
        <f>2644</f>
        <v>2644.0</v>
      </c>
      <c r="P125" s="34" t="s">
        <v>80</v>
      </c>
      <c r="Q125" s="33" t="n">
        <f>2699</f>
        <v>2699.0</v>
      </c>
      <c r="R125" s="34" t="s">
        <v>51</v>
      </c>
      <c r="S125" s="35" t="n">
        <f>2691.41</f>
        <v>2691.41</v>
      </c>
      <c r="T125" s="32" t="n">
        <f>1043400</f>
        <v>1043400.0</v>
      </c>
      <c r="U125" s="32" t="str">
        <f>"－"</f>
        <v>－</v>
      </c>
      <c r="V125" s="32" t="n">
        <f>2817289410</f>
        <v>2.81728941E9</v>
      </c>
      <c r="W125" s="32" t="str">
        <f>"－"</f>
        <v>－</v>
      </c>
      <c r="X125" s="36" t="n">
        <f>22</f>
        <v>22.0</v>
      </c>
    </row>
    <row r="126">
      <c r="A126" s="27" t="s">
        <v>42</v>
      </c>
      <c r="B126" s="27" t="s">
        <v>430</v>
      </c>
      <c r="C126" s="27" t="s">
        <v>431</v>
      </c>
      <c r="D126" s="27" t="s">
        <v>432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10.0</v>
      </c>
      <c r="K126" s="33" t="n">
        <f>1013</f>
        <v>1013.0</v>
      </c>
      <c r="L126" s="34" t="s">
        <v>198</v>
      </c>
      <c r="M126" s="33" t="n">
        <f>1013</f>
        <v>1013.0</v>
      </c>
      <c r="N126" s="34" t="s">
        <v>198</v>
      </c>
      <c r="O126" s="33" t="n">
        <f>970</f>
        <v>970.0</v>
      </c>
      <c r="P126" s="34" t="s">
        <v>90</v>
      </c>
      <c r="Q126" s="33" t="n">
        <f>995</f>
        <v>995.0</v>
      </c>
      <c r="R126" s="34" t="s">
        <v>73</v>
      </c>
      <c r="S126" s="35" t="n">
        <f>992.81</f>
        <v>992.81</v>
      </c>
      <c r="T126" s="32" t="n">
        <f>2560</f>
        <v>2560.0</v>
      </c>
      <c r="U126" s="32" t="str">
        <f>"－"</f>
        <v>－</v>
      </c>
      <c r="V126" s="32" t="n">
        <f>2532100</f>
        <v>2532100.0</v>
      </c>
      <c r="W126" s="32" t="str">
        <f>"－"</f>
        <v>－</v>
      </c>
      <c r="X126" s="36" t="n">
        <f>16</f>
        <v>16.0</v>
      </c>
    </row>
    <row r="127">
      <c r="A127" s="27" t="s">
        <v>42</v>
      </c>
      <c r="B127" s="27" t="s">
        <v>433</v>
      </c>
      <c r="C127" s="27" t="s">
        <v>434</v>
      </c>
      <c r="D127" s="27" t="s">
        <v>435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10.0</v>
      </c>
      <c r="K127" s="33" t="n">
        <f>1537</f>
        <v>1537.0</v>
      </c>
      <c r="L127" s="34" t="s">
        <v>48</v>
      </c>
      <c r="M127" s="33" t="n">
        <f>1567</f>
        <v>1567.0</v>
      </c>
      <c r="N127" s="34" t="s">
        <v>49</v>
      </c>
      <c r="O127" s="33" t="n">
        <f>1500</f>
        <v>1500.0</v>
      </c>
      <c r="P127" s="34" t="s">
        <v>122</v>
      </c>
      <c r="Q127" s="33" t="n">
        <f>1559</f>
        <v>1559.0</v>
      </c>
      <c r="R127" s="34" t="s">
        <v>239</v>
      </c>
      <c r="S127" s="35" t="n">
        <f>1543.47</f>
        <v>1543.47</v>
      </c>
      <c r="T127" s="32" t="n">
        <f>156390</f>
        <v>156390.0</v>
      </c>
      <c r="U127" s="32" t="n">
        <f>153930</f>
        <v>153930.0</v>
      </c>
      <c r="V127" s="32" t="n">
        <f>243535058</f>
        <v>2.43535058E8</v>
      </c>
      <c r="W127" s="32" t="n">
        <f>239737028</f>
        <v>2.39737028E8</v>
      </c>
      <c r="X127" s="36" t="n">
        <f>15</f>
        <v>15.0</v>
      </c>
    </row>
    <row r="128">
      <c r="A128" s="27" t="s">
        <v>42</v>
      </c>
      <c r="B128" s="27" t="s">
        <v>436</v>
      </c>
      <c r="C128" s="27" t="s">
        <v>437</v>
      </c>
      <c r="D128" s="27" t="s">
        <v>438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1722</f>
        <v>1722.0</v>
      </c>
      <c r="L128" s="34" t="s">
        <v>48</v>
      </c>
      <c r="M128" s="33" t="n">
        <f>1806</f>
        <v>1806.0</v>
      </c>
      <c r="N128" s="34" t="s">
        <v>67</v>
      </c>
      <c r="O128" s="33" t="n">
        <f>1702</f>
        <v>1702.0</v>
      </c>
      <c r="P128" s="34" t="s">
        <v>50</v>
      </c>
      <c r="Q128" s="33" t="n">
        <f>1742</f>
        <v>1742.0</v>
      </c>
      <c r="R128" s="34" t="s">
        <v>73</v>
      </c>
      <c r="S128" s="35" t="n">
        <f>1744.68</f>
        <v>1744.68</v>
      </c>
      <c r="T128" s="32" t="n">
        <f>272021</f>
        <v>272021.0</v>
      </c>
      <c r="U128" s="32" t="n">
        <f>270002</f>
        <v>270002.0</v>
      </c>
      <c r="V128" s="32" t="n">
        <f>476789609</f>
        <v>4.76789609E8</v>
      </c>
      <c r="W128" s="32" t="n">
        <f>473248730</f>
        <v>4.7324873E8</v>
      </c>
      <c r="X128" s="36" t="n">
        <f>19</f>
        <v>19.0</v>
      </c>
    </row>
    <row r="129">
      <c r="A129" s="27" t="s">
        <v>42</v>
      </c>
      <c r="B129" s="27" t="s">
        <v>439</v>
      </c>
      <c r="C129" s="27" t="s">
        <v>440</v>
      </c>
      <c r="D129" s="27" t="s">
        <v>441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17510</f>
        <v>17510.0</v>
      </c>
      <c r="L129" s="34" t="s">
        <v>48</v>
      </c>
      <c r="M129" s="33" t="n">
        <f>17950</f>
        <v>17950.0</v>
      </c>
      <c r="N129" s="34" t="s">
        <v>49</v>
      </c>
      <c r="O129" s="33" t="n">
        <f>17100</f>
        <v>17100.0</v>
      </c>
      <c r="P129" s="34" t="s">
        <v>50</v>
      </c>
      <c r="Q129" s="33" t="n">
        <f>17590</f>
        <v>17590.0</v>
      </c>
      <c r="R129" s="34" t="s">
        <v>51</v>
      </c>
      <c r="S129" s="35" t="n">
        <f>17681.36</f>
        <v>17681.36</v>
      </c>
      <c r="T129" s="32" t="n">
        <f>223350</f>
        <v>223350.0</v>
      </c>
      <c r="U129" s="32" t="n">
        <f>62968</f>
        <v>62968.0</v>
      </c>
      <c r="V129" s="32" t="n">
        <f>3962983072</f>
        <v>3.962983072E9</v>
      </c>
      <c r="W129" s="32" t="n">
        <f>1124209112</f>
        <v>1.124209112E9</v>
      </c>
      <c r="X129" s="36" t="n">
        <f>22</f>
        <v>22.0</v>
      </c>
    </row>
    <row r="130">
      <c r="A130" s="27" t="s">
        <v>42</v>
      </c>
      <c r="B130" s="27" t="s">
        <v>442</v>
      </c>
      <c r="C130" s="27" t="s">
        <v>443</v>
      </c>
      <c r="D130" s="27" t="s">
        <v>444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1619</f>
        <v>1619.0</v>
      </c>
      <c r="L130" s="34" t="s">
        <v>48</v>
      </c>
      <c r="M130" s="33" t="n">
        <f>1654</f>
        <v>1654.0</v>
      </c>
      <c r="N130" s="34" t="s">
        <v>49</v>
      </c>
      <c r="O130" s="33" t="n">
        <f>1579</f>
        <v>1579.0</v>
      </c>
      <c r="P130" s="34" t="s">
        <v>50</v>
      </c>
      <c r="Q130" s="33" t="n">
        <f>1621</f>
        <v>1621.0</v>
      </c>
      <c r="R130" s="34" t="s">
        <v>51</v>
      </c>
      <c r="S130" s="35" t="n">
        <f>1630.27</f>
        <v>1630.27</v>
      </c>
      <c r="T130" s="32" t="n">
        <f>175411</f>
        <v>175411.0</v>
      </c>
      <c r="U130" s="32" t="n">
        <f>9006</f>
        <v>9006.0</v>
      </c>
      <c r="V130" s="32" t="n">
        <f>283079366</f>
        <v>2.83079366E8</v>
      </c>
      <c r="W130" s="32" t="n">
        <f>14687042</f>
        <v>1.4687042E7</v>
      </c>
      <c r="X130" s="36" t="n">
        <f>22</f>
        <v>22.0</v>
      </c>
    </row>
    <row r="131">
      <c r="A131" s="27" t="s">
        <v>42</v>
      </c>
      <c r="B131" s="27" t="s">
        <v>445</v>
      </c>
      <c r="C131" s="27" t="s">
        <v>446</v>
      </c>
      <c r="D131" s="27" t="s">
        <v>447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18000</f>
        <v>18000.0</v>
      </c>
      <c r="L131" s="34" t="s">
        <v>48</v>
      </c>
      <c r="M131" s="33" t="n">
        <f>18460</f>
        <v>18460.0</v>
      </c>
      <c r="N131" s="34" t="s">
        <v>49</v>
      </c>
      <c r="O131" s="33" t="n">
        <f>17610</f>
        <v>17610.0</v>
      </c>
      <c r="P131" s="34" t="s">
        <v>50</v>
      </c>
      <c r="Q131" s="33" t="n">
        <f>18100</f>
        <v>18100.0</v>
      </c>
      <c r="R131" s="34" t="s">
        <v>51</v>
      </c>
      <c r="S131" s="35" t="n">
        <f>18199.09</f>
        <v>18199.09</v>
      </c>
      <c r="T131" s="32" t="n">
        <f>19666</f>
        <v>19666.0</v>
      </c>
      <c r="U131" s="32" t="n">
        <f>1805</f>
        <v>1805.0</v>
      </c>
      <c r="V131" s="32" t="n">
        <f>356685530</f>
        <v>3.5668553E8</v>
      </c>
      <c r="W131" s="32" t="n">
        <f>32827690</f>
        <v>3.282769E7</v>
      </c>
      <c r="X131" s="36" t="n">
        <f>22</f>
        <v>22.0</v>
      </c>
    </row>
    <row r="132">
      <c r="A132" s="27" t="s">
        <v>42</v>
      </c>
      <c r="B132" s="27" t="s">
        <v>448</v>
      </c>
      <c r="C132" s="27" t="s">
        <v>449</v>
      </c>
      <c r="D132" s="27" t="s">
        <v>450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2107</f>
        <v>2107.0</v>
      </c>
      <c r="L132" s="34" t="s">
        <v>48</v>
      </c>
      <c r="M132" s="33" t="n">
        <f>2209</f>
        <v>2209.0</v>
      </c>
      <c r="N132" s="34" t="s">
        <v>51</v>
      </c>
      <c r="O132" s="33" t="n">
        <f>2092</f>
        <v>2092.0</v>
      </c>
      <c r="P132" s="34" t="s">
        <v>48</v>
      </c>
      <c r="Q132" s="33" t="n">
        <f>2194</f>
        <v>2194.0</v>
      </c>
      <c r="R132" s="34" t="s">
        <v>51</v>
      </c>
      <c r="S132" s="35" t="n">
        <f>2170.32</f>
        <v>2170.32</v>
      </c>
      <c r="T132" s="32" t="n">
        <f>838800</f>
        <v>838800.0</v>
      </c>
      <c r="U132" s="32" t="n">
        <f>159760</f>
        <v>159760.0</v>
      </c>
      <c r="V132" s="32" t="n">
        <f>1822986568</f>
        <v>1.822986568E9</v>
      </c>
      <c r="W132" s="32" t="n">
        <f>347121518</f>
        <v>3.47121518E8</v>
      </c>
      <c r="X132" s="36" t="n">
        <f>22</f>
        <v>22.0</v>
      </c>
    </row>
    <row r="133">
      <c r="A133" s="27" t="s">
        <v>42</v>
      </c>
      <c r="B133" s="27" t="s">
        <v>451</v>
      </c>
      <c r="C133" s="27" t="s">
        <v>452</v>
      </c>
      <c r="D133" s="27" t="s">
        <v>453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1719</f>
        <v>1719.0</v>
      </c>
      <c r="L133" s="34" t="s">
        <v>48</v>
      </c>
      <c r="M133" s="33" t="n">
        <f>1766</f>
        <v>1766.0</v>
      </c>
      <c r="N133" s="34" t="s">
        <v>49</v>
      </c>
      <c r="O133" s="33" t="n">
        <f>1700</f>
        <v>1700.0</v>
      </c>
      <c r="P133" s="34" t="s">
        <v>50</v>
      </c>
      <c r="Q133" s="33" t="n">
        <f>1740</f>
        <v>1740.0</v>
      </c>
      <c r="R133" s="34" t="s">
        <v>403</v>
      </c>
      <c r="S133" s="35" t="n">
        <f>1729</f>
        <v>1729.0</v>
      </c>
      <c r="T133" s="32" t="n">
        <f>280</f>
        <v>280.0</v>
      </c>
      <c r="U133" s="32" t="n">
        <f>20</f>
        <v>20.0</v>
      </c>
      <c r="V133" s="32" t="n">
        <f>480420</f>
        <v>480420.0</v>
      </c>
      <c r="W133" s="32" t="n">
        <f>34200</f>
        <v>34200.0</v>
      </c>
      <c r="X133" s="36" t="n">
        <f>4</f>
        <v>4.0</v>
      </c>
    </row>
    <row r="134">
      <c r="A134" s="27" t="s">
        <v>42</v>
      </c>
      <c r="B134" s="27" t="s">
        <v>454</v>
      </c>
      <c r="C134" s="27" t="s">
        <v>455</v>
      </c>
      <c r="D134" s="27" t="s">
        <v>456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2125</f>
        <v>2125.0</v>
      </c>
      <c r="L134" s="34" t="s">
        <v>48</v>
      </c>
      <c r="M134" s="33" t="n">
        <f>2214</f>
        <v>2214.0</v>
      </c>
      <c r="N134" s="34" t="s">
        <v>51</v>
      </c>
      <c r="O134" s="33" t="n">
        <f>2112</f>
        <v>2112.0</v>
      </c>
      <c r="P134" s="34" t="s">
        <v>48</v>
      </c>
      <c r="Q134" s="33" t="n">
        <f>2200</f>
        <v>2200.0</v>
      </c>
      <c r="R134" s="34" t="s">
        <v>51</v>
      </c>
      <c r="S134" s="35" t="n">
        <f>2178.14</f>
        <v>2178.14</v>
      </c>
      <c r="T134" s="32" t="n">
        <f>1163650</f>
        <v>1163650.0</v>
      </c>
      <c r="U134" s="32" t="n">
        <f>216870</f>
        <v>216870.0</v>
      </c>
      <c r="V134" s="32" t="n">
        <f>2538372803</f>
        <v>2.538372803E9</v>
      </c>
      <c r="W134" s="32" t="n">
        <f>475475253</f>
        <v>4.75475253E8</v>
      </c>
      <c r="X134" s="36" t="n">
        <f>22</f>
        <v>22.0</v>
      </c>
    </row>
    <row r="135">
      <c r="A135" s="27" t="s">
        <v>42</v>
      </c>
      <c r="B135" s="27" t="s">
        <v>457</v>
      </c>
      <c r="C135" s="27" t="s">
        <v>458</v>
      </c>
      <c r="D135" s="27" t="s">
        <v>459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19130</f>
        <v>19130.0</v>
      </c>
      <c r="L135" s="34" t="s">
        <v>198</v>
      </c>
      <c r="M135" s="33" t="n">
        <f>20330</f>
        <v>20330.0</v>
      </c>
      <c r="N135" s="34" t="s">
        <v>199</v>
      </c>
      <c r="O135" s="33" t="n">
        <f>18810</f>
        <v>18810.0</v>
      </c>
      <c r="P135" s="34" t="s">
        <v>90</v>
      </c>
      <c r="Q135" s="33" t="n">
        <f>20240</f>
        <v>20240.0</v>
      </c>
      <c r="R135" s="34" t="s">
        <v>51</v>
      </c>
      <c r="S135" s="35" t="n">
        <f>19741.25</f>
        <v>19741.25</v>
      </c>
      <c r="T135" s="32" t="n">
        <f>42</f>
        <v>42.0</v>
      </c>
      <c r="U135" s="32" t="str">
        <f>"－"</f>
        <v>－</v>
      </c>
      <c r="V135" s="32" t="n">
        <f>822990</f>
        <v>822990.0</v>
      </c>
      <c r="W135" s="32" t="str">
        <f>"－"</f>
        <v>－</v>
      </c>
      <c r="X135" s="36" t="n">
        <f>8</f>
        <v>8.0</v>
      </c>
    </row>
    <row r="136">
      <c r="A136" s="27" t="s">
        <v>42</v>
      </c>
      <c r="B136" s="27" t="s">
        <v>460</v>
      </c>
      <c r="C136" s="27" t="s">
        <v>461</v>
      </c>
      <c r="D136" s="27" t="s">
        <v>462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17830</f>
        <v>17830.0</v>
      </c>
      <c r="L136" s="34" t="s">
        <v>48</v>
      </c>
      <c r="M136" s="33" t="n">
        <f>18260</f>
        <v>18260.0</v>
      </c>
      <c r="N136" s="34" t="s">
        <v>49</v>
      </c>
      <c r="O136" s="33" t="n">
        <f>17460</f>
        <v>17460.0</v>
      </c>
      <c r="P136" s="34" t="s">
        <v>50</v>
      </c>
      <c r="Q136" s="33" t="n">
        <f>18100</f>
        <v>18100.0</v>
      </c>
      <c r="R136" s="34" t="s">
        <v>239</v>
      </c>
      <c r="S136" s="35" t="n">
        <f>18038.95</f>
        <v>18038.95</v>
      </c>
      <c r="T136" s="32" t="n">
        <f>1087</f>
        <v>1087.0</v>
      </c>
      <c r="U136" s="32" t="n">
        <f>2</f>
        <v>2.0</v>
      </c>
      <c r="V136" s="32" t="n">
        <f>19371420</f>
        <v>1.937142E7</v>
      </c>
      <c r="W136" s="32" t="n">
        <f>36330</f>
        <v>36330.0</v>
      </c>
      <c r="X136" s="36" t="n">
        <f>19</f>
        <v>19.0</v>
      </c>
    </row>
    <row r="137">
      <c r="A137" s="27" t="s">
        <v>42</v>
      </c>
      <c r="B137" s="27" t="s">
        <v>463</v>
      </c>
      <c r="C137" s="27" t="s">
        <v>464</v>
      </c>
      <c r="D137" s="27" t="s">
        <v>465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100.0</v>
      </c>
      <c r="K137" s="33" t="n">
        <f>155</f>
        <v>155.0</v>
      </c>
      <c r="L137" s="34" t="s">
        <v>48</v>
      </c>
      <c r="M137" s="33" t="n">
        <f>159</f>
        <v>159.0</v>
      </c>
      <c r="N137" s="34" t="s">
        <v>122</v>
      </c>
      <c r="O137" s="33" t="n">
        <f>146</f>
        <v>146.0</v>
      </c>
      <c r="P137" s="34" t="s">
        <v>50</v>
      </c>
      <c r="Q137" s="33" t="n">
        <f>149</f>
        <v>149.0</v>
      </c>
      <c r="R137" s="34" t="s">
        <v>51</v>
      </c>
      <c r="S137" s="35" t="n">
        <f>152.64</f>
        <v>152.64</v>
      </c>
      <c r="T137" s="32" t="n">
        <f>64659300</f>
        <v>6.46593E7</v>
      </c>
      <c r="U137" s="32" t="n">
        <f>1200</f>
        <v>1200.0</v>
      </c>
      <c r="V137" s="32" t="n">
        <f>9872362190</f>
        <v>9.87236219E9</v>
      </c>
      <c r="W137" s="32" t="n">
        <f>177090</f>
        <v>177090.0</v>
      </c>
      <c r="X137" s="36" t="n">
        <f>22</f>
        <v>22.0</v>
      </c>
    </row>
    <row r="138">
      <c r="A138" s="27" t="s">
        <v>42</v>
      </c>
      <c r="B138" s="27" t="s">
        <v>466</v>
      </c>
      <c r="C138" s="27" t="s">
        <v>467</v>
      </c>
      <c r="D138" s="27" t="s">
        <v>468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27610</f>
        <v>27610.0</v>
      </c>
      <c r="L138" s="34" t="s">
        <v>48</v>
      </c>
      <c r="M138" s="33" t="n">
        <f>28950</f>
        <v>28950.0</v>
      </c>
      <c r="N138" s="34" t="s">
        <v>49</v>
      </c>
      <c r="O138" s="33" t="n">
        <f>27230</f>
        <v>27230.0</v>
      </c>
      <c r="P138" s="34" t="s">
        <v>198</v>
      </c>
      <c r="Q138" s="33" t="n">
        <f>28070</f>
        <v>28070.0</v>
      </c>
      <c r="R138" s="34" t="s">
        <v>51</v>
      </c>
      <c r="S138" s="35" t="n">
        <f>28276.36</f>
        <v>28276.36</v>
      </c>
      <c r="T138" s="32" t="n">
        <f>1752</f>
        <v>1752.0</v>
      </c>
      <c r="U138" s="32" t="n">
        <f>2</f>
        <v>2.0</v>
      </c>
      <c r="V138" s="32" t="n">
        <f>49493450</f>
        <v>4.949345E7</v>
      </c>
      <c r="W138" s="32" t="n">
        <f>57030</f>
        <v>57030.0</v>
      </c>
      <c r="X138" s="36" t="n">
        <f>22</f>
        <v>22.0</v>
      </c>
    </row>
    <row r="139">
      <c r="A139" s="27" t="s">
        <v>42</v>
      </c>
      <c r="B139" s="27" t="s">
        <v>469</v>
      </c>
      <c r="C139" s="27" t="s">
        <v>470</v>
      </c>
      <c r="D139" s="27" t="s">
        <v>471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9800</f>
        <v>9800.0</v>
      </c>
      <c r="L139" s="34" t="s">
        <v>48</v>
      </c>
      <c r="M139" s="33" t="n">
        <f>10550</f>
        <v>10550.0</v>
      </c>
      <c r="N139" s="34" t="s">
        <v>239</v>
      </c>
      <c r="O139" s="33" t="n">
        <f>9740</f>
        <v>9740.0</v>
      </c>
      <c r="P139" s="34" t="s">
        <v>48</v>
      </c>
      <c r="Q139" s="33" t="n">
        <f>10220</f>
        <v>10220.0</v>
      </c>
      <c r="R139" s="34" t="s">
        <v>51</v>
      </c>
      <c r="S139" s="35" t="n">
        <f>10197.27</f>
        <v>10197.27</v>
      </c>
      <c r="T139" s="32" t="n">
        <f>12562</f>
        <v>12562.0</v>
      </c>
      <c r="U139" s="32" t="n">
        <f>2</f>
        <v>2.0</v>
      </c>
      <c r="V139" s="32" t="n">
        <f>127586670</f>
        <v>1.2758667E8</v>
      </c>
      <c r="W139" s="32" t="n">
        <f>20590</f>
        <v>20590.0</v>
      </c>
      <c r="X139" s="36" t="n">
        <f>22</f>
        <v>22.0</v>
      </c>
    </row>
    <row r="140">
      <c r="A140" s="27" t="s">
        <v>42</v>
      </c>
      <c r="B140" s="27" t="s">
        <v>472</v>
      </c>
      <c r="C140" s="27" t="s">
        <v>473</v>
      </c>
      <c r="D140" s="27" t="s">
        <v>474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22120</f>
        <v>22120.0</v>
      </c>
      <c r="L140" s="34" t="s">
        <v>48</v>
      </c>
      <c r="M140" s="33" t="n">
        <f>22510</f>
        <v>22510.0</v>
      </c>
      <c r="N140" s="34" t="s">
        <v>94</v>
      </c>
      <c r="O140" s="33" t="n">
        <f>21430</f>
        <v>21430.0</v>
      </c>
      <c r="P140" s="34" t="s">
        <v>50</v>
      </c>
      <c r="Q140" s="33" t="n">
        <f>22140</f>
        <v>22140.0</v>
      </c>
      <c r="R140" s="34" t="s">
        <v>51</v>
      </c>
      <c r="S140" s="35" t="n">
        <f>22227.5</f>
        <v>22227.5</v>
      </c>
      <c r="T140" s="32" t="n">
        <f>2519</f>
        <v>2519.0</v>
      </c>
      <c r="U140" s="32" t="str">
        <f>"－"</f>
        <v>－</v>
      </c>
      <c r="V140" s="32" t="n">
        <f>56096920</f>
        <v>5.609692E7</v>
      </c>
      <c r="W140" s="32" t="str">
        <f>"－"</f>
        <v>－</v>
      </c>
      <c r="X140" s="36" t="n">
        <f>20</f>
        <v>20.0</v>
      </c>
    </row>
    <row r="141">
      <c r="A141" s="27" t="s">
        <v>42</v>
      </c>
      <c r="B141" s="27" t="s">
        <v>475</v>
      </c>
      <c r="C141" s="27" t="s">
        <v>476</v>
      </c>
      <c r="D141" s="27" t="s">
        <v>477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27810</f>
        <v>27810.0</v>
      </c>
      <c r="L141" s="34" t="s">
        <v>48</v>
      </c>
      <c r="M141" s="33" t="n">
        <f>28370</f>
        <v>28370.0</v>
      </c>
      <c r="N141" s="34" t="s">
        <v>49</v>
      </c>
      <c r="O141" s="33" t="n">
        <f>26950</f>
        <v>26950.0</v>
      </c>
      <c r="P141" s="34" t="s">
        <v>50</v>
      </c>
      <c r="Q141" s="33" t="n">
        <f>28000</f>
        <v>28000.0</v>
      </c>
      <c r="R141" s="34" t="s">
        <v>51</v>
      </c>
      <c r="S141" s="35" t="n">
        <f>27908.18</f>
        <v>27908.18</v>
      </c>
      <c r="T141" s="32" t="n">
        <f>1486</f>
        <v>1486.0</v>
      </c>
      <c r="U141" s="32" t="n">
        <f>1</f>
        <v>1.0</v>
      </c>
      <c r="V141" s="32" t="n">
        <f>41341310</f>
        <v>4.134131E7</v>
      </c>
      <c r="W141" s="32" t="n">
        <f>28190</f>
        <v>28190.0</v>
      </c>
      <c r="X141" s="36" t="n">
        <f>22</f>
        <v>22.0</v>
      </c>
    </row>
    <row r="142">
      <c r="A142" s="27" t="s">
        <v>42</v>
      </c>
      <c r="B142" s="27" t="s">
        <v>478</v>
      </c>
      <c r="C142" s="27" t="s">
        <v>479</v>
      </c>
      <c r="D142" s="27" t="s">
        <v>480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23120</f>
        <v>23120.0</v>
      </c>
      <c r="L142" s="34" t="s">
        <v>48</v>
      </c>
      <c r="M142" s="33" t="n">
        <f>26540</f>
        <v>26540.0</v>
      </c>
      <c r="N142" s="34" t="s">
        <v>94</v>
      </c>
      <c r="O142" s="33" t="n">
        <f>22530</f>
        <v>22530.0</v>
      </c>
      <c r="P142" s="34" t="s">
        <v>198</v>
      </c>
      <c r="Q142" s="33" t="n">
        <f>24290</f>
        <v>24290.0</v>
      </c>
      <c r="R142" s="34" t="s">
        <v>51</v>
      </c>
      <c r="S142" s="35" t="n">
        <f>24187.73</f>
        <v>24187.73</v>
      </c>
      <c r="T142" s="32" t="n">
        <f>14921</f>
        <v>14921.0</v>
      </c>
      <c r="U142" s="32" t="str">
        <f>"－"</f>
        <v>－</v>
      </c>
      <c r="V142" s="32" t="n">
        <f>361866630</f>
        <v>3.6186663E8</v>
      </c>
      <c r="W142" s="32" t="str">
        <f>"－"</f>
        <v>－</v>
      </c>
      <c r="X142" s="36" t="n">
        <f>22</f>
        <v>22.0</v>
      </c>
    </row>
    <row r="143">
      <c r="A143" s="27" t="s">
        <v>42</v>
      </c>
      <c r="B143" s="27" t="s">
        <v>481</v>
      </c>
      <c r="C143" s="27" t="s">
        <v>482</v>
      </c>
      <c r="D143" s="27" t="s">
        <v>483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23360</f>
        <v>23360.0</v>
      </c>
      <c r="L143" s="34" t="s">
        <v>48</v>
      </c>
      <c r="M143" s="33" t="n">
        <f>25250</f>
        <v>25250.0</v>
      </c>
      <c r="N143" s="34" t="s">
        <v>49</v>
      </c>
      <c r="O143" s="33" t="n">
        <f>23360</f>
        <v>23360.0</v>
      </c>
      <c r="P143" s="34" t="s">
        <v>48</v>
      </c>
      <c r="Q143" s="33" t="n">
        <f>24370</f>
        <v>24370.0</v>
      </c>
      <c r="R143" s="34" t="s">
        <v>51</v>
      </c>
      <c r="S143" s="35" t="n">
        <f>24496.82</f>
        <v>24496.82</v>
      </c>
      <c r="T143" s="32" t="n">
        <f>3236</f>
        <v>3236.0</v>
      </c>
      <c r="U143" s="32" t="n">
        <f>4</f>
        <v>4.0</v>
      </c>
      <c r="V143" s="32" t="n">
        <f>78988810</f>
        <v>7.898881E7</v>
      </c>
      <c r="W143" s="32" t="n">
        <f>99100</f>
        <v>99100.0</v>
      </c>
      <c r="X143" s="36" t="n">
        <f>22</f>
        <v>22.0</v>
      </c>
    </row>
    <row r="144">
      <c r="A144" s="27" t="s">
        <v>42</v>
      </c>
      <c r="B144" s="27" t="s">
        <v>484</v>
      </c>
      <c r="C144" s="27" t="s">
        <v>485</v>
      </c>
      <c r="D144" s="27" t="s">
        <v>486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16740</f>
        <v>16740.0</v>
      </c>
      <c r="L144" s="34" t="s">
        <v>48</v>
      </c>
      <c r="M144" s="33" t="n">
        <f>16820</f>
        <v>16820.0</v>
      </c>
      <c r="N144" s="34" t="s">
        <v>48</v>
      </c>
      <c r="O144" s="33" t="n">
        <f>15040</f>
        <v>15040.0</v>
      </c>
      <c r="P144" s="34" t="s">
        <v>50</v>
      </c>
      <c r="Q144" s="33" t="n">
        <f>15710</f>
        <v>15710.0</v>
      </c>
      <c r="R144" s="34" t="s">
        <v>51</v>
      </c>
      <c r="S144" s="35" t="n">
        <f>16047.27</f>
        <v>16047.27</v>
      </c>
      <c r="T144" s="32" t="n">
        <f>10556</f>
        <v>10556.0</v>
      </c>
      <c r="U144" s="32" t="n">
        <f>4</f>
        <v>4.0</v>
      </c>
      <c r="V144" s="32" t="n">
        <f>168019700</f>
        <v>1.680197E8</v>
      </c>
      <c r="W144" s="32" t="n">
        <f>62800</f>
        <v>62800.0</v>
      </c>
      <c r="X144" s="36" t="n">
        <f>22</f>
        <v>22.0</v>
      </c>
    </row>
    <row r="145">
      <c r="A145" s="27" t="s">
        <v>42</v>
      </c>
      <c r="B145" s="27" t="s">
        <v>487</v>
      </c>
      <c r="C145" s="27" t="s">
        <v>488</v>
      </c>
      <c r="D145" s="27" t="s">
        <v>489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40700</f>
        <v>40700.0</v>
      </c>
      <c r="L145" s="34" t="s">
        <v>48</v>
      </c>
      <c r="M145" s="33" t="n">
        <f>41300</f>
        <v>41300.0</v>
      </c>
      <c r="N145" s="34" t="s">
        <v>171</v>
      </c>
      <c r="O145" s="33" t="n">
        <f>38350</f>
        <v>38350.0</v>
      </c>
      <c r="P145" s="34" t="s">
        <v>50</v>
      </c>
      <c r="Q145" s="33" t="n">
        <f>39150</f>
        <v>39150.0</v>
      </c>
      <c r="R145" s="34" t="s">
        <v>51</v>
      </c>
      <c r="S145" s="35" t="n">
        <f>39884.09</f>
        <v>39884.09</v>
      </c>
      <c r="T145" s="32" t="n">
        <f>3743</f>
        <v>3743.0</v>
      </c>
      <c r="U145" s="32" t="n">
        <f>2</f>
        <v>2.0</v>
      </c>
      <c r="V145" s="32" t="n">
        <f>148932650</f>
        <v>1.4893265E8</v>
      </c>
      <c r="W145" s="32" t="n">
        <f>78050</f>
        <v>78050.0</v>
      </c>
      <c r="X145" s="36" t="n">
        <f>22</f>
        <v>22.0</v>
      </c>
    </row>
    <row r="146">
      <c r="A146" s="27" t="s">
        <v>42</v>
      </c>
      <c r="B146" s="27" t="s">
        <v>490</v>
      </c>
      <c r="C146" s="27" t="s">
        <v>491</v>
      </c>
      <c r="D146" s="27" t="s">
        <v>492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1.0</v>
      </c>
      <c r="K146" s="33" t="n">
        <f>28150</f>
        <v>28150.0</v>
      </c>
      <c r="L146" s="34" t="s">
        <v>48</v>
      </c>
      <c r="M146" s="33" t="n">
        <f>28980</f>
        <v>28980.0</v>
      </c>
      <c r="N146" s="34" t="s">
        <v>239</v>
      </c>
      <c r="O146" s="33" t="n">
        <f>27780</f>
        <v>27780.0</v>
      </c>
      <c r="P146" s="34" t="s">
        <v>50</v>
      </c>
      <c r="Q146" s="33" t="n">
        <f>28870</f>
        <v>28870.0</v>
      </c>
      <c r="R146" s="34" t="s">
        <v>51</v>
      </c>
      <c r="S146" s="35" t="n">
        <f>28484.09</f>
        <v>28484.09</v>
      </c>
      <c r="T146" s="32" t="n">
        <f>4384</f>
        <v>4384.0</v>
      </c>
      <c r="U146" s="32" t="str">
        <f>"－"</f>
        <v>－</v>
      </c>
      <c r="V146" s="32" t="n">
        <f>124272900</f>
        <v>1.242729E8</v>
      </c>
      <c r="W146" s="32" t="str">
        <f>"－"</f>
        <v>－</v>
      </c>
      <c r="X146" s="36" t="n">
        <f>22</f>
        <v>22.0</v>
      </c>
    </row>
    <row r="147">
      <c r="A147" s="27" t="s">
        <v>42</v>
      </c>
      <c r="B147" s="27" t="s">
        <v>493</v>
      </c>
      <c r="C147" s="27" t="s">
        <v>494</v>
      </c>
      <c r="D147" s="27" t="s">
        <v>495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1.0</v>
      </c>
      <c r="K147" s="33" t="n">
        <f>30350</f>
        <v>30350.0</v>
      </c>
      <c r="L147" s="34" t="s">
        <v>48</v>
      </c>
      <c r="M147" s="33" t="n">
        <f>30550</f>
        <v>30550.0</v>
      </c>
      <c r="N147" s="34" t="s">
        <v>80</v>
      </c>
      <c r="O147" s="33" t="n">
        <f>28750</f>
        <v>28750.0</v>
      </c>
      <c r="P147" s="34" t="s">
        <v>50</v>
      </c>
      <c r="Q147" s="33" t="n">
        <f>30100</f>
        <v>30100.0</v>
      </c>
      <c r="R147" s="34" t="s">
        <v>51</v>
      </c>
      <c r="S147" s="35" t="n">
        <f>30100.45</f>
        <v>30100.45</v>
      </c>
      <c r="T147" s="32" t="n">
        <f>3179</f>
        <v>3179.0</v>
      </c>
      <c r="U147" s="32" t="n">
        <f>3</f>
        <v>3.0</v>
      </c>
      <c r="V147" s="32" t="n">
        <f>95479520</f>
        <v>9.547952E7</v>
      </c>
      <c r="W147" s="32" t="n">
        <f>89860</f>
        <v>89860.0</v>
      </c>
      <c r="X147" s="36" t="n">
        <f>22</f>
        <v>22.0</v>
      </c>
    </row>
    <row r="148">
      <c r="A148" s="27" t="s">
        <v>42</v>
      </c>
      <c r="B148" s="27" t="s">
        <v>496</v>
      </c>
      <c r="C148" s="27" t="s">
        <v>497</v>
      </c>
      <c r="D148" s="27" t="s">
        <v>498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6170</f>
        <v>6170.0</v>
      </c>
      <c r="L148" s="34" t="s">
        <v>48</v>
      </c>
      <c r="M148" s="33" t="n">
        <f>6330</f>
        <v>6330.0</v>
      </c>
      <c r="N148" s="34" t="s">
        <v>49</v>
      </c>
      <c r="O148" s="33" t="n">
        <f>6020</f>
        <v>6020.0</v>
      </c>
      <c r="P148" s="34" t="s">
        <v>198</v>
      </c>
      <c r="Q148" s="33" t="n">
        <f>6170</f>
        <v>6170.0</v>
      </c>
      <c r="R148" s="34" t="s">
        <v>51</v>
      </c>
      <c r="S148" s="35" t="n">
        <f>6170</f>
        <v>6170.0</v>
      </c>
      <c r="T148" s="32" t="n">
        <f>19087</f>
        <v>19087.0</v>
      </c>
      <c r="U148" s="32" t="n">
        <f>1</f>
        <v>1.0</v>
      </c>
      <c r="V148" s="32" t="n">
        <f>117672490</f>
        <v>1.1767249E8</v>
      </c>
      <c r="W148" s="32" t="n">
        <f>6170</f>
        <v>6170.0</v>
      </c>
      <c r="X148" s="36" t="n">
        <f>22</f>
        <v>22.0</v>
      </c>
    </row>
    <row r="149">
      <c r="A149" s="27" t="s">
        <v>42</v>
      </c>
      <c r="B149" s="27" t="s">
        <v>499</v>
      </c>
      <c r="C149" s="27" t="s">
        <v>500</v>
      </c>
      <c r="D149" s="27" t="s">
        <v>501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15120</f>
        <v>15120.0</v>
      </c>
      <c r="L149" s="34" t="s">
        <v>48</v>
      </c>
      <c r="M149" s="33" t="n">
        <f>16270</f>
        <v>16270.0</v>
      </c>
      <c r="N149" s="34" t="s">
        <v>67</v>
      </c>
      <c r="O149" s="33" t="n">
        <f>14980</f>
        <v>14980.0</v>
      </c>
      <c r="P149" s="34" t="s">
        <v>48</v>
      </c>
      <c r="Q149" s="33" t="n">
        <f>15480</f>
        <v>15480.0</v>
      </c>
      <c r="R149" s="34" t="s">
        <v>51</v>
      </c>
      <c r="S149" s="35" t="n">
        <f>15799.09</f>
        <v>15799.09</v>
      </c>
      <c r="T149" s="32" t="n">
        <f>47955</f>
        <v>47955.0</v>
      </c>
      <c r="U149" s="32" t="n">
        <f>18</f>
        <v>18.0</v>
      </c>
      <c r="V149" s="32" t="n">
        <f>757711395</f>
        <v>7.57711395E8</v>
      </c>
      <c r="W149" s="32" t="n">
        <f>276365</f>
        <v>276365.0</v>
      </c>
      <c r="X149" s="36" t="n">
        <f>22</f>
        <v>22.0</v>
      </c>
    </row>
    <row r="150">
      <c r="A150" s="27" t="s">
        <v>42</v>
      </c>
      <c r="B150" s="27" t="s">
        <v>502</v>
      </c>
      <c r="C150" s="27" t="s">
        <v>503</v>
      </c>
      <c r="D150" s="27" t="s">
        <v>504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39300</f>
        <v>39300.0</v>
      </c>
      <c r="L150" s="34" t="s">
        <v>48</v>
      </c>
      <c r="M150" s="33" t="n">
        <f>40900</f>
        <v>40900.0</v>
      </c>
      <c r="N150" s="34" t="s">
        <v>49</v>
      </c>
      <c r="O150" s="33" t="n">
        <f>38350</f>
        <v>38350.0</v>
      </c>
      <c r="P150" s="34" t="s">
        <v>50</v>
      </c>
      <c r="Q150" s="33" t="n">
        <f>39550</f>
        <v>39550.0</v>
      </c>
      <c r="R150" s="34" t="s">
        <v>51</v>
      </c>
      <c r="S150" s="35" t="n">
        <f>39959.09</f>
        <v>39959.09</v>
      </c>
      <c r="T150" s="32" t="n">
        <f>3796</f>
        <v>3796.0</v>
      </c>
      <c r="U150" s="32" t="n">
        <f>4</f>
        <v>4.0</v>
      </c>
      <c r="V150" s="32" t="n">
        <f>150387550</f>
        <v>1.5038755E8</v>
      </c>
      <c r="W150" s="32" t="n">
        <f>158700</f>
        <v>158700.0</v>
      </c>
      <c r="X150" s="36" t="n">
        <f>22</f>
        <v>22.0</v>
      </c>
    </row>
    <row r="151">
      <c r="A151" s="27" t="s">
        <v>42</v>
      </c>
      <c r="B151" s="27" t="s">
        <v>505</v>
      </c>
      <c r="C151" s="27" t="s">
        <v>506</v>
      </c>
      <c r="D151" s="27" t="s">
        <v>507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23150</f>
        <v>23150.0</v>
      </c>
      <c r="L151" s="34" t="s">
        <v>48</v>
      </c>
      <c r="M151" s="33" t="n">
        <f>24320</f>
        <v>24320.0</v>
      </c>
      <c r="N151" s="34" t="s">
        <v>239</v>
      </c>
      <c r="O151" s="33" t="n">
        <f>23000</f>
        <v>23000.0</v>
      </c>
      <c r="P151" s="34" t="s">
        <v>198</v>
      </c>
      <c r="Q151" s="33" t="n">
        <f>24000</f>
        <v>24000.0</v>
      </c>
      <c r="R151" s="34" t="s">
        <v>51</v>
      </c>
      <c r="S151" s="35" t="n">
        <f>23588.57</f>
        <v>23588.57</v>
      </c>
      <c r="T151" s="32" t="n">
        <f>625</f>
        <v>625.0</v>
      </c>
      <c r="U151" s="32" t="n">
        <f>2</f>
        <v>2.0</v>
      </c>
      <c r="V151" s="32" t="n">
        <f>14747940</f>
        <v>1.474794E7</v>
      </c>
      <c r="W151" s="32" t="n">
        <f>46530</f>
        <v>46530.0</v>
      </c>
      <c r="X151" s="36" t="n">
        <f>21</f>
        <v>21.0</v>
      </c>
    </row>
    <row r="152">
      <c r="A152" s="27" t="s">
        <v>42</v>
      </c>
      <c r="B152" s="27" t="s">
        <v>508</v>
      </c>
      <c r="C152" s="27" t="s">
        <v>509</v>
      </c>
      <c r="D152" s="27" t="s">
        <v>510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8080</f>
        <v>8080.0</v>
      </c>
      <c r="L152" s="34" t="s">
        <v>48</v>
      </c>
      <c r="M152" s="33" t="n">
        <f>8250</f>
        <v>8250.0</v>
      </c>
      <c r="N152" s="34" t="s">
        <v>171</v>
      </c>
      <c r="O152" s="33" t="n">
        <f>7600</f>
        <v>7600.0</v>
      </c>
      <c r="P152" s="34" t="s">
        <v>50</v>
      </c>
      <c r="Q152" s="33" t="n">
        <f>7750</f>
        <v>7750.0</v>
      </c>
      <c r="R152" s="34" t="s">
        <v>51</v>
      </c>
      <c r="S152" s="35" t="n">
        <f>7945</f>
        <v>7945.0</v>
      </c>
      <c r="T152" s="32" t="n">
        <f>60905</f>
        <v>60905.0</v>
      </c>
      <c r="U152" s="32" t="n">
        <f>15</f>
        <v>15.0</v>
      </c>
      <c r="V152" s="32" t="n">
        <f>481120795</f>
        <v>4.81120795E8</v>
      </c>
      <c r="W152" s="32" t="n">
        <f>120335</f>
        <v>120335.0</v>
      </c>
      <c r="X152" s="36" t="n">
        <f>22</f>
        <v>22.0</v>
      </c>
    </row>
    <row r="153">
      <c r="A153" s="27" t="s">
        <v>42</v>
      </c>
      <c r="B153" s="27" t="s">
        <v>511</v>
      </c>
      <c r="C153" s="27" t="s">
        <v>512</v>
      </c>
      <c r="D153" s="27" t="s">
        <v>513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13440</f>
        <v>13440.0</v>
      </c>
      <c r="L153" s="34" t="s">
        <v>48</v>
      </c>
      <c r="M153" s="33" t="n">
        <f>13840</f>
        <v>13840.0</v>
      </c>
      <c r="N153" s="34" t="s">
        <v>171</v>
      </c>
      <c r="O153" s="33" t="n">
        <f>12750</f>
        <v>12750.0</v>
      </c>
      <c r="P153" s="34" t="s">
        <v>50</v>
      </c>
      <c r="Q153" s="33" t="n">
        <f>13050</f>
        <v>13050.0</v>
      </c>
      <c r="R153" s="34" t="s">
        <v>51</v>
      </c>
      <c r="S153" s="35" t="n">
        <f>13355</f>
        <v>13355.0</v>
      </c>
      <c r="T153" s="32" t="n">
        <f>4980</f>
        <v>4980.0</v>
      </c>
      <c r="U153" s="32" t="n">
        <f>4</f>
        <v>4.0</v>
      </c>
      <c r="V153" s="32" t="n">
        <f>65856590</f>
        <v>6.585659E7</v>
      </c>
      <c r="W153" s="32" t="n">
        <f>53480</f>
        <v>53480.0</v>
      </c>
      <c r="X153" s="36" t="n">
        <f>22</f>
        <v>22.0</v>
      </c>
    </row>
    <row r="154">
      <c r="A154" s="27" t="s">
        <v>42</v>
      </c>
      <c r="B154" s="27" t="s">
        <v>514</v>
      </c>
      <c r="C154" s="27" t="s">
        <v>515</v>
      </c>
      <c r="D154" s="27" t="s">
        <v>516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29300</f>
        <v>29300.0</v>
      </c>
      <c r="L154" s="34" t="s">
        <v>48</v>
      </c>
      <c r="M154" s="33" t="n">
        <f>32150</f>
        <v>32150.0</v>
      </c>
      <c r="N154" s="34" t="s">
        <v>72</v>
      </c>
      <c r="O154" s="33" t="n">
        <f>29300</f>
        <v>29300.0</v>
      </c>
      <c r="P154" s="34" t="s">
        <v>48</v>
      </c>
      <c r="Q154" s="33" t="n">
        <f>30100</f>
        <v>30100.0</v>
      </c>
      <c r="R154" s="34" t="s">
        <v>51</v>
      </c>
      <c r="S154" s="35" t="n">
        <f>30939.09</f>
        <v>30939.09</v>
      </c>
      <c r="T154" s="32" t="n">
        <f>4239</f>
        <v>4239.0</v>
      </c>
      <c r="U154" s="32" t="n">
        <f>4</f>
        <v>4.0</v>
      </c>
      <c r="V154" s="32" t="n">
        <f>131100750</f>
        <v>1.3110075E8</v>
      </c>
      <c r="W154" s="32" t="n">
        <f>122000</f>
        <v>122000.0</v>
      </c>
      <c r="X154" s="36" t="n">
        <f>22</f>
        <v>22.0</v>
      </c>
    </row>
    <row r="155">
      <c r="A155" s="27" t="s">
        <v>42</v>
      </c>
      <c r="B155" s="27" t="s">
        <v>517</v>
      </c>
      <c r="C155" s="27" t="s">
        <v>518</v>
      </c>
      <c r="D155" s="27" t="s">
        <v>519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10.0</v>
      </c>
      <c r="K155" s="33" t="n">
        <f>1087</f>
        <v>1087.0</v>
      </c>
      <c r="L155" s="34" t="s">
        <v>48</v>
      </c>
      <c r="M155" s="33" t="n">
        <f>1115</f>
        <v>1115.0</v>
      </c>
      <c r="N155" s="34" t="s">
        <v>90</v>
      </c>
      <c r="O155" s="33" t="n">
        <f>1047</f>
        <v>1047.0</v>
      </c>
      <c r="P155" s="34" t="s">
        <v>50</v>
      </c>
      <c r="Q155" s="33" t="n">
        <f>1078</f>
        <v>1078.0</v>
      </c>
      <c r="R155" s="34" t="s">
        <v>51</v>
      </c>
      <c r="S155" s="35" t="n">
        <f>1092.68</f>
        <v>1092.68</v>
      </c>
      <c r="T155" s="32" t="n">
        <f>170220</f>
        <v>170220.0</v>
      </c>
      <c r="U155" s="32" t="n">
        <f>40030</f>
        <v>40030.0</v>
      </c>
      <c r="V155" s="32" t="n">
        <f>187333380</f>
        <v>1.8733338E8</v>
      </c>
      <c r="W155" s="32" t="n">
        <f>44420990</f>
        <v>4.442099E7</v>
      </c>
      <c r="X155" s="36" t="n">
        <f>22</f>
        <v>22.0</v>
      </c>
    </row>
    <row r="156">
      <c r="A156" s="27" t="s">
        <v>42</v>
      </c>
      <c r="B156" s="27" t="s">
        <v>520</v>
      </c>
      <c r="C156" s="27" t="s">
        <v>521</v>
      </c>
      <c r="D156" s="27" t="s">
        <v>522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2380</f>
        <v>2380.0</v>
      </c>
      <c r="L156" s="34" t="s">
        <v>122</v>
      </c>
      <c r="M156" s="33" t="n">
        <f>2431</f>
        <v>2431.0</v>
      </c>
      <c r="N156" s="34" t="s">
        <v>49</v>
      </c>
      <c r="O156" s="33" t="n">
        <f>2356</f>
        <v>2356.0</v>
      </c>
      <c r="P156" s="34" t="s">
        <v>50</v>
      </c>
      <c r="Q156" s="33" t="n">
        <f>2419</f>
        <v>2419.0</v>
      </c>
      <c r="R156" s="34" t="s">
        <v>71</v>
      </c>
      <c r="S156" s="35" t="n">
        <f>2403.5</f>
        <v>2403.5</v>
      </c>
      <c r="T156" s="32" t="n">
        <f>3520</f>
        <v>3520.0</v>
      </c>
      <c r="U156" s="32" t="str">
        <f>"－"</f>
        <v>－</v>
      </c>
      <c r="V156" s="32" t="n">
        <f>8459550</f>
        <v>8459550.0</v>
      </c>
      <c r="W156" s="32" t="str">
        <f>"－"</f>
        <v>－</v>
      </c>
      <c r="X156" s="36" t="n">
        <f>14</f>
        <v>14.0</v>
      </c>
    </row>
    <row r="157">
      <c r="A157" s="27" t="s">
        <v>42</v>
      </c>
      <c r="B157" s="27" t="s">
        <v>523</v>
      </c>
      <c r="C157" s="27" t="s">
        <v>524</v>
      </c>
      <c r="D157" s="27" t="s">
        <v>525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10.0</v>
      </c>
      <c r="K157" s="33" t="n">
        <f>2465</f>
        <v>2465.0</v>
      </c>
      <c r="L157" s="34" t="s">
        <v>48</v>
      </c>
      <c r="M157" s="33" t="n">
        <f>2528</f>
        <v>2528.0</v>
      </c>
      <c r="N157" s="34" t="s">
        <v>49</v>
      </c>
      <c r="O157" s="33" t="n">
        <f>2416</f>
        <v>2416.0</v>
      </c>
      <c r="P157" s="34" t="s">
        <v>50</v>
      </c>
      <c r="Q157" s="33" t="n">
        <f>2481</f>
        <v>2481.0</v>
      </c>
      <c r="R157" s="34" t="s">
        <v>51</v>
      </c>
      <c r="S157" s="35" t="n">
        <f>2493.05</f>
        <v>2493.05</v>
      </c>
      <c r="T157" s="32" t="n">
        <f>96270</f>
        <v>96270.0</v>
      </c>
      <c r="U157" s="32" t="n">
        <f>83000</f>
        <v>83000.0</v>
      </c>
      <c r="V157" s="32" t="n">
        <f>233588990</f>
        <v>2.3358899E8</v>
      </c>
      <c r="W157" s="32" t="n">
        <f>201026000</f>
        <v>2.01026E8</v>
      </c>
      <c r="X157" s="36" t="n">
        <f>21</f>
        <v>21.0</v>
      </c>
    </row>
    <row r="158">
      <c r="A158" s="27" t="s">
        <v>42</v>
      </c>
      <c r="B158" s="27" t="s">
        <v>526</v>
      </c>
      <c r="C158" s="27" t="s">
        <v>527</v>
      </c>
      <c r="D158" s="27" t="s">
        <v>528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10.0</v>
      </c>
      <c r="K158" s="33" t="n">
        <f>1525</f>
        <v>1525.0</v>
      </c>
      <c r="L158" s="34" t="s">
        <v>122</v>
      </c>
      <c r="M158" s="33" t="n">
        <f>1529</f>
        <v>1529.0</v>
      </c>
      <c r="N158" s="34" t="s">
        <v>239</v>
      </c>
      <c r="O158" s="33" t="n">
        <f>1485</f>
        <v>1485.0</v>
      </c>
      <c r="P158" s="34" t="s">
        <v>50</v>
      </c>
      <c r="Q158" s="33" t="n">
        <f>1513</f>
        <v>1513.0</v>
      </c>
      <c r="R158" s="34" t="s">
        <v>51</v>
      </c>
      <c r="S158" s="35" t="n">
        <f>1516.13</f>
        <v>1516.13</v>
      </c>
      <c r="T158" s="32" t="n">
        <f>930</f>
        <v>930.0</v>
      </c>
      <c r="U158" s="32" t="n">
        <f>20</f>
        <v>20.0</v>
      </c>
      <c r="V158" s="32" t="n">
        <f>1415740</f>
        <v>1415740.0</v>
      </c>
      <c r="W158" s="32" t="n">
        <f>30380</f>
        <v>30380.0</v>
      </c>
      <c r="X158" s="36" t="n">
        <f>8</f>
        <v>8.0</v>
      </c>
    </row>
    <row r="159">
      <c r="A159" s="27" t="s">
        <v>42</v>
      </c>
      <c r="B159" s="27" t="s">
        <v>529</v>
      </c>
      <c r="C159" s="27" t="s">
        <v>530</v>
      </c>
      <c r="D159" s="27" t="s">
        <v>531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1.0</v>
      </c>
      <c r="K159" s="33" t="n">
        <f>3300</f>
        <v>3300.0</v>
      </c>
      <c r="L159" s="34" t="s">
        <v>48</v>
      </c>
      <c r="M159" s="33" t="n">
        <f>3410</f>
        <v>3410.0</v>
      </c>
      <c r="N159" s="34" t="s">
        <v>239</v>
      </c>
      <c r="O159" s="33" t="n">
        <f>3255</f>
        <v>3255.0</v>
      </c>
      <c r="P159" s="34" t="s">
        <v>50</v>
      </c>
      <c r="Q159" s="33" t="n">
        <f>3400</f>
        <v>3400.0</v>
      </c>
      <c r="R159" s="34" t="s">
        <v>51</v>
      </c>
      <c r="S159" s="35" t="n">
        <f>3344.09</f>
        <v>3344.09</v>
      </c>
      <c r="T159" s="32" t="n">
        <f>4053286</f>
        <v>4053286.0</v>
      </c>
      <c r="U159" s="32" t="n">
        <f>559740</f>
        <v>559740.0</v>
      </c>
      <c r="V159" s="32" t="n">
        <f>13513714191</f>
        <v>1.3513714191E10</v>
      </c>
      <c r="W159" s="32" t="n">
        <f>1827851301</f>
        <v>1.827851301E9</v>
      </c>
      <c r="X159" s="36" t="n">
        <f>22</f>
        <v>22.0</v>
      </c>
    </row>
    <row r="160">
      <c r="A160" s="27" t="s">
        <v>42</v>
      </c>
      <c r="B160" s="27" t="s">
        <v>532</v>
      </c>
      <c r="C160" s="27" t="s">
        <v>533</v>
      </c>
      <c r="D160" s="27" t="s">
        <v>534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2590</f>
        <v>2590.0</v>
      </c>
      <c r="L160" s="34" t="s">
        <v>48</v>
      </c>
      <c r="M160" s="33" t="n">
        <f>2645</f>
        <v>2645.0</v>
      </c>
      <c r="N160" s="34" t="s">
        <v>199</v>
      </c>
      <c r="O160" s="33" t="n">
        <f>2580</f>
        <v>2580.0</v>
      </c>
      <c r="P160" s="34" t="s">
        <v>48</v>
      </c>
      <c r="Q160" s="33" t="n">
        <f>2630</f>
        <v>2630.0</v>
      </c>
      <c r="R160" s="34" t="s">
        <v>51</v>
      </c>
      <c r="S160" s="35" t="n">
        <f>2615.05</f>
        <v>2615.05</v>
      </c>
      <c r="T160" s="32" t="n">
        <f>1396502</f>
        <v>1396502.0</v>
      </c>
      <c r="U160" s="32" t="n">
        <f>261101</f>
        <v>261101.0</v>
      </c>
      <c r="V160" s="32" t="n">
        <f>3652044086</f>
        <v>3.652044086E9</v>
      </c>
      <c r="W160" s="32" t="n">
        <f>687965130</f>
        <v>6.8796513E8</v>
      </c>
      <c r="X160" s="36" t="n">
        <f>22</f>
        <v>22.0</v>
      </c>
    </row>
    <row r="161">
      <c r="A161" s="27" t="s">
        <v>42</v>
      </c>
      <c r="B161" s="27" t="s">
        <v>535</v>
      </c>
      <c r="C161" s="27" t="s">
        <v>536</v>
      </c>
      <c r="D161" s="27" t="s">
        <v>537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2999</f>
        <v>2999.0</v>
      </c>
      <c r="L161" s="34" t="s">
        <v>48</v>
      </c>
      <c r="M161" s="33" t="n">
        <f>3075</f>
        <v>3075.0</v>
      </c>
      <c r="N161" s="34" t="s">
        <v>239</v>
      </c>
      <c r="O161" s="33" t="n">
        <f>2935</f>
        <v>2935.0</v>
      </c>
      <c r="P161" s="34" t="s">
        <v>50</v>
      </c>
      <c r="Q161" s="33" t="n">
        <f>3060</f>
        <v>3060.0</v>
      </c>
      <c r="R161" s="34" t="s">
        <v>51</v>
      </c>
      <c r="S161" s="35" t="n">
        <f>3023.5</f>
        <v>3023.5</v>
      </c>
      <c r="T161" s="32" t="n">
        <f>83587</f>
        <v>83587.0</v>
      </c>
      <c r="U161" s="32" t="n">
        <f>3276</f>
        <v>3276.0</v>
      </c>
      <c r="V161" s="32" t="n">
        <f>252319713</f>
        <v>2.52319713E8</v>
      </c>
      <c r="W161" s="32" t="n">
        <f>9970337</f>
        <v>9970337.0</v>
      </c>
      <c r="X161" s="36" t="n">
        <f>22</f>
        <v>22.0</v>
      </c>
    </row>
    <row r="162">
      <c r="A162" s="27" t="s">
        <v>42</v>
      </c>
      <c r="B162" s="27" t="s">
        <v>538</v>
      </c>
      <c r="C162" s="27" t="s">
        <v>539</v>
      </c>
      <c r="D162" s="27" t="s">
        <v>540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2461</f>
        <v>2461.0</v>
      </c>
      <c r="L162" s="34" t="s">
        <v>48</v>
      </c>
      <c r="M162" s="33" t="n">
        <f>2550</f>
        <v>2550.0</v>
      </c>
      <c r="N162" s="34" t="s">
        <v>239</v>
      </c>
      <c r="O162" s="33" t="n">
        <f>2411</f>
        <v>2411.0</v>
      </c>
      <c r="P162" s="34" t="s">
        <v>50</v>
      </c>
      <c r="Q162" s="33" t="n">
        <f>2494</f>
        <v>2494.0</v>
      </c>
      <c r="R162" s="34" t="s">
        <v>51</v>
      </c>
      <c r="S162" s="35" t="n">
        <f>2477</f>
        <v>2477.0</v>
      </c>
      <c r="T162" s="32" t="n">
        <f>142693</f>
        <v>142693.0</v>
      </c>
      <c r="U162" s="32" t="n">
        <f>2</f>
        <v>2.0</v>
      </c>
      <c r="V162" s="32" t="n">
        <f>351974208</f>
        <v>3.51974208E8</v>
      </c>
      <c r="W162" s="32" t="n">
        <f>4946</f>
        <v>4946.0</v>
      </c>
      <c r="X162" s="36" t="n">
        <f>22</f>
        <v>22.0</v>
      </c>
    </row>
    <row r="163">
      <c r="A163" s="27" t="s">
        <v>42</v>
      </c>
      <c r="B163" s="27" t="s">
        <v>541</v>
      </c>
      <c r="C163" s="27" t="s">
        <v>542</v>
      </c>
      <c r="D163" s="27" t="s">
        <v>543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1.0</v>
      </c>
      <c r="K163" s="33" t="n">
        <f>2340</f>
        <v>2340.0</v>
      </c>
      <c r="L163" s="34" t="s">
        <v>48</v>
      </c>
      <c r="M163" s="33" t="n">
        <f>2486</f>
        <v>2486.0</v>
      </c>
      <c r="N163" s="34" t="s">
        <v>80</v>
      </c>
      <c r="O163" s="33" t="n">
        <f>2328</f>
        <v>2328.0</v>
      </c>
      <c r="P163" s="34" t="s">
        <v>48</v>
      </c>
      <c r="Q163" s="33" t="n">
        <f>2428</f>
        <v>2428.0</v>
      </c>
      <c r="R163" s="34" t="s">
        <v>51</v>
      </c>
      <c r="S163" s="35" t="n">
        <f>2434.95</f>
        <v>2434.95</v>
      </c>
      <c r="T163" s="32" t="n">
        <f>967451</f>
        <v>967451.0</v>
      </c>
      <c r="U163" s="32" t="n">
        <f>611932</f>
        <v>611932.0</v>
      </c>
      <c r="V163" s="32" t="n">
        <f>2366518100</f>
        <v>2.3665181E9</v>
      </c>
      <c r="W163" s="32" t="n">
        <f>1498468382</f>
        <v>1.498468382E9</v>
      </c>
      <c r="X163" s="36" t="n">
        <f>22</f>
        <v>22.0</v>
      </c>
    </row>
    <row r="164">
      <c r="A164" s="27" t="s">
        <v>42</v>
      </c>
      <c r="B164" s="27" t="s">
        <v>544</v>
      </c>
      <c r="C164" s="27" t="s">
        <v>545</v>
      </c>
      <c r="D164" s="27" t="s">
        <v>546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11950</f>
        <v>11950.0</v>
      </c>
      <c r="L164" s="34" t="s">
        <v>48</v>
      </c>
      <c r="M164" s="33" t="n">
        <f>14200</f>
        <v>14200.0</v>
      </c>
      <c r="N164" s="34" t="s">
        <v>67</v>
      </c>
      <c r="O164" s="33" t="n">
        <f>11850</f>
        <v>11850.0</v>
      </c>
      <c r="P164" s="34" t="s">
        <v>48</v>
      </c>
      <c r="Q164" s="33" t="n">
        <f>12450</f>
        <v>12450.0</v>
      </c>
      <c r="R164" s="34" t="s">
        <v>51</v>
      </c>
      <c r="S164" s="35" t="n">
        <f>12488.64</f>
        <v>12488.64</v>
      </c>
      <c r="T164" s="32" t="n">
        <f>118094</f>
        <v>118094.0</v>
      </c>
      <c r="U164" s="32" t="n">
        <f>8904</f>
        <v>8904.0</v>
      </c>
      <c r="V164" s="32" t="n">
        <f>1468272792</f>
        <v>1.468272792E9</v>
      </c>
      <c r="W164" s="32" t="n">
        <f>109739832</f>
        <v>1.09739832E8</v>
      </c>
      <c r="X164" s="36" t="n">
        <f>22</f>
        <v>22.0</v>
      </c>
    </row>
    <row r="165">
      <c r="A165" s="27" t="s">
        <v>42</v>
      </c>
      <c r="B165" s="27" t="s">
        <v>547</v>
      </c>
      <c r="C165" s="27" t="s">
        <v>548</v>
      </c>
      <c r="D165" s="27" t="s">
        <v>549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1.0</v>
      </c>
      <c r="K165" s="33" t="n">
        <f>1406</f>
        <v>1406.0</v>
      </c>
      <c r="L165" s="34" t="s">
        <v>48</v>
      </c>
      <c r="M165" s="33" t="n">
        <f>1583</f>
        <v>1583.0</v>
      </c>
      <c r="N165" s="34" t="s">
        <v>239</v>
      </c>
      <c r="O165" s="33" t="n">
        <f>1404</f>
        <v>1404.0</v>
      </c>
      <c r="P165" s="34" t="s">
        <v>48</v>
      </c>
      <c r="Q165" s="33" t="n">
        <f>1556</f>
        <v>1556.0</v>
      </c>
      <c r="R165" s="34" t="s">
        <v>51</v>
      </c>
      <c r="S165" s="35" t="n">
        <f>1500.91</f>
        <v>1500.91</v>
      </c>
      <c r="T165" s="32" t="n">
        <f>30706132</f>
        <v>3.0706132E7</v>
      </c>
      <c r="U165" s="32" t="n">
        <f>10679</f>
        <v>10679.0</v>
      </c>
      <c r="V165" s="32" t="n">
        <f>45903726844</f>
        <v>4.5903726844E10</v>
      </c>
      <c r="W165" s="32" t="n">
        <f>16552243</f>
        <v>1.6552243E7</v>
      </c>
      <c r="X165" s="36" t="n">
        <f>22</f>
        <v>22.0</v>
      </c>
    </row>
    <row r="166">
      <c r="A166" s="27" t="s">
        <v>42</v>
      </c>
      <c r="B166" s="27" t="s">
        <v>550</v>
      </c>
      <c r="C166" s="27" t="s">
        <v>551</v>
      </c>
      <c r="D166" s="27" t="s">
        <v>552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19840</f>
        <v>19840.0</v>
      </c>
      <c r="L166" s="34" t="s">
        <v>48</v>
      </c>
      <c r="M166" s="33" t="n">
        <f>19840</f>
        <v>19840.0</v>
      </c>
      <c r="N166" s="34" t="s">
        <v>48</v>
      </c>
      <c r="O166" s="33" t="n">
        <f>18020</f>
        <v>18020.0</v>
      </c>
      <c r="P166" s="34" t="s">
        <v>185</v>
      </c>
      <c r="Q166" s="33" t="n">
        <f>18400</f>
        <v>18400.0</v>
      </c>
      <c r="R166" s="34" t="s">
        <v>51</v>
      </c>
      <c r="S166" s="35" t="n">
        <f>19110.91</f>
        <v>19110.91</v>
      </c>
      <c r="T166" s="32" t="n">
        <f>8913</f>
        <v>8913.0</v>
      </c>
      <c r="U166" s="32" t="n">
        <f>6</f>
        <v>6.0</v>
      </c>
      <c r="V166" s="32" t="n">
        <f>171350920</f>
        <v>1.7135092E8</v>
      </c>
      <c r="W166" s="32" t="n">
        <f>114330</f>
        <v>114330.0</v>
      </c>
      <c r="X166" s="36" t="n">
        <f>22</f>
        <v>22.0</v>
      </c>
    </row>
    <row r="167">
      <c r="A167" s="27" t="s">
        <v>42</v>
      </c>
      <c r="B167" s="27" t="s">
        <v>553</v>
      </c>
      <c r="C167" s="27" t="s">
        <v>554</v>
      </c>
      <c r="D167" s="27" t="s">
        <v>555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10.0</v>
      </c>
      <c r="K167" s="33" t="n">
        <f>2865</f>
        <v>2865.0</v>
      </c>
      <c r="L167" s="34" t="s">
        <v>48</v>
      </c>
      <c r="M167" s="33" t="n">
        <f>2896</f>
        <v>2896.0</v>
      </c>
      <c r="N167" s="34" t="s">
        <v>122</v>
      </c>
      <c r="O167" s="33" t="n">
        <f>2625</f>
        <v>2625.0</v>
      </c>
      <c r="P167" s="34" t="s">
        <v>50</v>
      </c>
      <c r="Q167" s="33" t="n">
        <f>2666</f>
        <v>2666.0</v>
      </c>
      <c r="R167" s="34" t="s">
        <v>51</v>
      </c>
      <c r="S167" s="35" t="n">
        <f>2769.73</f>
        <v>2769.73</v>
      </c>
      <c r="T167" s="32" t="n">
        <f>42990</f>
        <v>42990.0</v>
      </c>
      <c r="U167" s="32" t="n">
        <f>40</f>
        <v>40.0</v>
      </c>
      <c r="V167" s="32" t="n">
        <f>120548320</f>
        <v>1.2054832E8</v>
      </c>
      <c r="W167" s="32" t="n">
        <f>108550</f>
        <v>108550.0</v>
      </c>
      <c r="X167" s="36" t="n">
        <f>22</f>
        <v>22.0</v>
      </c>
    </row>
    <row r="168">
      <c r="A168" s="27" t="s">
        <v>42</v>
      </c>
      <c r="B168" s="27" t="s">
        <v>556</v>
      </c>
      <c r="C168" s="27" t="s">
        <v>557</v>
      </c>
      <c r="D168" s="27" t="s">
        <v>558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1.0</v>
      </c>
      <c r="K168" s="33" t="n">
        <f>12200</f>
        <v>12200.0</v>
      </c>
      <c r="L168" s="34" t="s">
        <v>48</v>
      </c>
      <c r="M168" s="33" t="n">
        <f>12250</f>
        <v>12250.0</v>
      </c>
      <c r="N168" s="34" t="s">
        <v>198</v>
      </c>
      <c r="O168" s="33" t="n">
        <f>10560</f>
        <v>10560.0</v>
      </c>
      <c r="P168" s="34" t="s">
        <v>50</v>
      </c>
      <c r="Q168" s="33" t="n">
        <f>11010</f>
        <v>11010.0</v>
      </c>
      <c r="R168" s="34" t="s">
        <v>51</v>
      </c>
      <c r="S168" s="35" t="n">
        <f>11567.27</f>
        <v>11567.27</v>
      </c>
      <c r="T168" s="32" t="n">
        <f>8947</f>
        <v>8947.0</v>
      </c>
      <c r="U168" s="32" t="n">
        <f>3</f>
        <v>3.0</v>
      </c>
      <c r="V168" s="32" t="n">
        <f>102887660</f>
        <v>1.0288766E8</v>
      </c>
      <c r="W168" s="32" t="n">
        <f>34600</f>
        <v>34600.0</v>
      </c>
      <c r="X168" s="36" t="n">
        <f>22</f>
        <v>22.0</v>
      </c>
    </row>
    <row r="169">
      <c r="A169" s="27" t="s">
        <v>42</v>
      </c>
      <c r="B169" s="27" t="s">
        <v>559</v>
      </c>
      <c r="C169" s="27" t="s">
        <v>560</v>
      </c>
      <c r="D169" s="27" t="s">
        <v>561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1.0</v>
      </c>
      <c r="K169" s="33" t="n">
        <f>29000</f>
        <v>29000.0</v>
      </c>
      <c r="L169" s="34" t="s">
        <v>48</v>
      </c>
      <c r="M169" s="33" t="n">
        <f>29530</f>
        <v>29530.0</v>
      </c>
      <c r="N169" s="34" t="s">
        <v>48</v>
      </c>
      <c r="O169" s="33" t="n">
        <f>25330</f>
        <v>25330.0</v>
      </c>
      <c r="P169" s="34" t="s">
        <v>50</v>
      </c>
      <c r="Q169" s="33" t="n">
        <f>27590</f>
        <v>27590.0</v>
      </c>
      <c r="R169" s="34" t="s">
        <v>51</v>
      </c>
      <c r="S169" s="35" t="n">
        <f>27960</f>
        <v>27960.0</v>
      </c>
      <c r="T169" s="32" t="n">
        <f>1276</f>
        <v>1276.0</v>
      </c>
      <c r="U169" s="32" t="n">
        <f>2</f>
        <v>2.0</v>
      </c>
      <c r="V169" s="32" t="n">
        <f>35345530</f>
        <v>3.534553E7</v>
      </c>
      <c r="W169" s="32" t="n">
        <f>55600</f>
        <v>55600.0</v>
      </c>
      <c r="X169" s="36" t="n">
        <f>22</f>
        <v>22.0</v>
      </c>
    </row>
    <row r="170">
      <c r="A170" s="27" t="s">
        <v>42</v>
      </c>
      <c r="B170" s="27" t="s">
        <v>562</v>
      </c>
      <c r="C170" s="27" t="s">
        <v>563</v>
      </c>
      <c r="D170" s="27" t="s">
        <v>564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1.0</v>
      </c>
      <c r="K170" s="33" t="n">
        <f>18880</f>
        <v>18880.0</v>
      </c>
      <c r="L170" s="34" t="s">
        <v>171</v>
      </c>
      <c r="M170" s="33" t="n">
        <f>18890</f>
        <v>18890.0</v>
      </c>
      <c r="N170" s="34" t="s">
        <v>90</v>
      </c>
      <c r="O170" s="33" t="n">
        <f>16690</f>
        <v>16690.0</v>
      </c>
      <c r="P170" s="34" t="s">
        <v>199</v>
      </c>
      <c r="Q170" s="33" t="n">
        <f>17840</f>
        <v>17840.0</v>
      </c>
      <c r="R170" s="34" t="s">
        <v>239</v>
      </c>
      <c r="S170" s="35" t="n">
        <f>17994.44</f>
        <v>17994.44</v>
      </c>
      <c r="T170" s="32" t="n">
        <f>44</f>
        <v>44.0</v>
      </c>
      <c r="U170" s="32" t="str">
        <f>"－"</f>
        <v>－</v>
      </c>
      <c r="V170" s="32" t="n">
        <f>772330</f>
        <v>772330.0</v>
      </c>
      <c r="W170" s="32" t="str">
        <f>"－"</f>
        <v>－</v>
      </c>
      <c r="X170" s="36" t="n">
        <f>9</f>
        <v>9.0</v>
      </c>
    </row>
    <row r="171">
      <c r="A171" s="27" t="s">
        <v>42</v>
      </c>
      <c r="B171" s="27" t="s">
        <v>565</v>
      </c>
      <c r="C171" s="27" t="s">
        <v>566</v>
      </c>
      <c r="D171" s="27" t="s">
        <v>567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51900</f>
        <v>51900.0</v>
      </c>
      <c r="L171" s="34" t="s">
        <v>48</v>
      </c>
      <c r="M171" s="33" t="n">
        <f>52300</f>
        <v>52300.0</v>
      </c>
      <c r="N171" s="34" t="s">
        <v>105</v>
      </c>
      <c r="O171" s="33" t="n">
        <f>51600</f>
        <v>51600.0</v>
      </c>
      <c r="P171" s="34" t="s">
        <v>185</v>
      </c>
      <c r="Q171" s="33" t="n">
        <f>51800</f>
        <v>51800.0</v>
      </c>
      <c r="R171" s="34" t="s">
        <v>51</v>
      </c>
      <c r="S171" s="35" t="n">
        <f>51995.45</f>
        <v>51995.45</v>
      </c>
      <c r="T171" s="32" t="n">
        <f>7990</f>
        <v>7990.0</v>
      </c>
      <c r="U171" s="32" t="str">
        <f>"－"</f>
        <v>－</v>
      </c>
      <c r="V171" s="32" t="n">
        <f>415444000</f>
        <v>4.15444E8</v>
      </c>
      <c r="W171" s="32" t="str">
        <f>"－"</f>
        <v>－</v>
      </c>
      <c r="X171" s="36" t="n">
        <f>22</f>
        <v>22.0</v>
      </c>
    </row>
    <row r="172">
      <c r="A172" s="27" t="s">
        <v>42</v>
      </c>
      <c r="B172" s="27" t="s">
        <v>568</v>
      </c>
      <c r="C172" s="27" t="s">
        <v>569</v>
      </c>
      <c r="D172" s="27" t="s">
        <v>570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100.0</v>
      </c>
      <c r="K172" s="33" t="n">
        <f>210</f>
        <v>210.0</v>
      </c>
      <c r="L172" s="34" t="s">
        <v>48</v>
      </c>
      <c r="M172" s="33" t="n">
        <f>213</f>
        <v>213.0</v>
      </c>
      <c r="N172" s="34" t="s">
        <v>80</v>
      </c>
      <c r="O172" s="33" t="n">
        <f>204</f>
        <v>204.0</v>
      </c>
      <c r="P172" s="34" t="s">
        <v>185</v>
      </c>
      <c r="Q172" s="33" t="n">
        <f>210</f>
        <v>210.0</v>
      </c>
      <c r="R172" s="34" t="s">
        <v>51</v>
      </c>
      <c r="S172" s="35" t="n">
        <f>209.45</f>
        <v>209.45</v>
      </c>
      <c r="T172" s="32" t="n">
        <f>9169900</f>
        <v>9169900.0</v>
      </c>
      <c r="U172" s="32" t="n">
        <f>48800</f>
        <v>48800.0</v>
      </c>
      <c r="V172" s="32" t="n">
        <f>1919881770</f>
        <v>1.91988177E9</v>
      </c>
      <c r="W172" s="32" t="n">
        <f>10235970</f>
        <v>1.023597E7</v>
      </c>
      <c r="X172" s="36" t="n">
        <f>22</f>
        <v>22.0</v>
      </c>
    </row>
    <row r="173">
      <c r="A173" s="27" t="s">
        <v>42</v>
      </c>
      <c r="B173" s="27" t="s">
        <v>571</v>
      </c>
      <c r="C173" s="27" t="s">
        <v>572</v>
      </c>
      <c r="D173" s="27" t="s">
        <v>573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10.0</v>
      </c>
      <c r="K173" s="33" t="n">
        <f>33350</f>
        <v>33350.0</v>
      </c>
      <c r="L173" s="34" t="s">
        <v>48</v>
      </c>
      <c r="M173" s="33" t="n">
        <f>33600</f>
        <v>33600.0</v>
      </c>
      <c r="N173" s="34" t="s">
        <v>171</v>
      </c>
      <c r="O173" s="33" t="n">
        <f>31900</f>
        <v>31900.0</v>
      </c>
      <c r="P173" s="34" t="s">
        <v>50</v>
      </c>
      <c r="Q173" s="33" t="n">
        <f>33350</f>
        <v>33350.0</v>
      </c>
      <c r="R173" s="34" t="s">
        <v>51</v>
      </c>
      <c r="S173" s="35" t="n">
        <f>33227.27</f>
        <v>33227.27</v>
      </c>
      <c r="T173" s="32" t="n">
        <f>7880</f>
        <v>7880.0</v>
      </c>
      <c r="U173" s="32" t="n">
        <f>20</f>
        <v>20.0</v>
      </c>
      <c r="V173" s="32" t="n">
        <f>261285000</f>
        <v>2.61285E8</v>
      </c>
      <c r="W173" s="32" t="n">
        <f>669000</f>
        <v>669000.0</v>
      </c>
      <c r="X173" s="36" t="n">
        <f>22</f>
        <v>22.0</v>
      </c>
    </row>
    <row r="174">
      <c r="A174" s="27" t="s">
        <v>42</v>
      </c>
      <c r="B174" s="27" t="s">
        <v>574</v>
      </c>
      <c r="C174" s="27" t="s">
        <v>575</v>
      </c>
      <c r="D174" s="27" t="s">
        <v>576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10.0</v>
      </c>
      <c r="K174" s="33" t="n">
        <f>3430</f>
        <v>3430.0</v>
      </c>
      <c r="L174" s="34" t="s">
        <v>48</v>
      </c>
      <c r="M174" s="33" t="n">
        <f>3545</f>
        <v>3545.0</v>
      </c>
      <c r="N174" s="34" t="s">
        <v>239</v>
      </c>
      <c r="O174" s="33" t="n">
        <f>3390</f>
        <v>3390.0</v>
      </c>
      <c r="P174" s="34" t="s">
        <v>50</v>
      </c>
      <c r="Q174" s="33" t="n">
        <f>3535</f>
        <v>3535.0</v>
      </c>
      <c r="R174" s="34" t="s">
        <v>51</v>
      </c>
      <c r="S174" s="35" t="n">
        <f>3472.05</f>
        <v>3472.05</v>
      </c>
      <c r="T174" s="32" t="n">
        <f>92440</f>
        <v>92440.0</v>
      </c>
      <c r="U174" s="32" t="n">
        <f>190</f>
        <v>190.0</v>
      </c>
      <c r="V174" s="32" t="n">
        <f>322049800</f>
        <v>3.220498E8</v>
      </c>
      <c r="W174" s="32" t="n">
        <f>658450</f>
        <v>658450.0</v>
      </c>
      <c r="X174" s="36" t="n">
        <f>22</f>
        <v>22.0</v>
      </c>
    </row>
    <row r="175">
      <c r="A175" s="27" t="s">
        <v>42</v>
      </c>
      <c r="B175" s="27" t="s">
        <v>577</v>
      </c>
      <c r="C175" s="27" t="s">
        <v>578</v>
      </c>
      <c r="D175" s="27" t="s">
        <v>579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1886</f>
        <v>1886.0</v>
      </c>
      <c r="L175" s="34" t="s">
        <v>48</v>
      </c>
      <c r="M175" s="33" t="n">
        <f>1926</f>
        <v>1926.0</v>
      </c>
      <c r="N175" s="34" t="s">
        <v>122</v>
      </c>
      <c r="O175" s="33" t="n">
        <f>1849</f>
        <v>1849.0</v>
      </c>
      <c r="P175" s="34" t="s">
        <v>50</v>
      </c>
      <c r="Q175" s="33" t="n">
        <f>1912</f>
        <v>1912.0</v>
      </c>
      <c r="R175" s="34" t="s">
        <v>51</v>
      </c>
      <c r="S175" s="35" t="n">
        <f>1897.91</f>
        <v>1897.91</v>
      </c>
      <c r="T175" s="32" t="n">
        <f>175560</f>
        <v>175560.0</v>
      </c>
      <c r="U175" s="32" t="n">
        <f>120</f>
        <v>120.0</v>
      </c>
      <c r="V175" s="32" t="n">
        <f>333550880</f>
        <v>3.3355088E8</v>
      </c>
      <c r="W175" s="32" t="n">
        <f>231060</f>
        <v>231060.0</v>
      </c>
      <c r="X175" s="36" t="n">
        <f>22</f>
        <v>22.0</v>
      </c>
    </row>
    <row r="176">
      <c r="A176" s="27" t="s">
        <v>42</v>
      </c>
      <c r="B176" s="27" t="s">
        <v>580</v>
      </c>
      <c r="C176" s="27" t="s">
        <v>581</v>
      </c>
      <c r="D176" s="27" t="s">
        <v>582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100.0</v>
      </c>
      <c r="K176" s="33" t="n">
        <f>223</f>
        <v>223.0</v>
      </c>
      <c r="L176" s="34" t="s">
        <v>48</v>
      </c>
      <c r="M176" s="33" t="n">
        <f>225</f>
        <v>225.0</v>
      </c>
      <c r="N176" s="34" t="s">
        <v>198</v>
      </c>
      <c r="O176" s="33" t="n">
        <f>196</f>
        <v>196.0</v>
      </c>
      <c r="P176" s="34" t="s">
        <v>50</v>
      </c>
      <c r="Q176" s="33" t="n">
        <f>202</f>
        <v>202.0</v>
      </c>
      <c r="R176" s="34" t="s">
        <v>51</v>
      </c>
      <c r="S176" s="35" t="n">
        <f>213.5</f>
        <v>213.5</v>
      </c>
      <c r="T176" s="32" t="n">
        <f>573900</f>
        <v>573900.0</v>
      </c>
      <c r="U176" s="32" t="n">
        <f>200</f>
        <v>200.0</v>
      </c>
      <c r="V176" s="32" t="n">
        <f>120300600</f>
        <v>1.203006E8</v>
      </c>
      <c r="W176" s="32" t="n">
        <f>41000</f>
        <v>41000.0</v>
      </c>
      <c r="X176" s="36" t="n">
        <f>22</f>
        <v>22.0</v>
      </c>
    </row>
    <row r="177">
      <c r="A177" s="27" t="s">
        <v>42</v>
      </c>
      <c r="B177" s="27" t="s">
        <v>583</v>
      </c>
      <c r="C177" s="27" t="s">
        <v>584</v>
      </c>
      <c r="D177" s="27" t="s">
        <v>585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1063</f>
        <v>1063.0</v>
      </c>
      <c r="L177" s="34" t="s">
        <v>48</v>
      </c>
      <c r="M177" s="33" t="n">
        <f>1137</f>
        <v>1137.0</v>
      </c>
      <c r="N177" s="34" t="s">
        <v>67</v>
      </c>
      <c r="O177" s="33" t="n">
        <f>1039</f>
        <v>1039.0</v>
      </c>
      <c r="P177" s="34" t="s">
        <v>51</v>
      </c>
      <c r="Q177" s="33" t="n">
        <f>1039</f>
        <v>1039.0</v>
      </c>
      <c r="R177" s="34" t="s">
        <v>51</v>
      </c>
      <c r="S177" s="35" t="n">
        <f>1099.83</f>
        <v>1099.83</v>
      </c>
      <c r="T177" s="32" t="n">
        <f>420</f>
        <v>420.0</v>
      </c>
      <c r="U177" s="32" t="str">
        <f>"－"</f>
        <v>－</v>
      </c>
      <c r="V177" s="32" t="n">
        <f>450100</f>
        <v>450100.0</v>
      </c>
      <c r="W177" s="32" t="str">
        <f>"－"</f>
        <v>－</v>
      </c>
      <c r="X177" s="36" t="n">
        <f>6</f>
        <v>6.0</v>
      </c>
    </row>
    <row r="178">
      <c r="A178" s="27" t="s">
        <v>42</v>
      </c>
      <c r="B178" s="27" t="s">
        <v>586</v>
      </c>
      <c r="C178" s="27" t="s">
        <v>587</v>
      </c>
      <c r="D178" s="27" t="s">
        <v>588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310</f>
        <v>310.0</v>
      </c>
      <c r="L178" s="34" t="s">
        <v>48</v>
      </c>
      <c r="M178" s="33" t="n">
        <f>349</f>
        <v>349.0</v>
      </c>
      <c r="N178" s="34" t="s">
        <v>239</v>
      </c>
      <c r="O178" s="33" t="n">
        <f>309</f>
        <v>309.0</v>
      </c>
      <c r="P178" s="34" t="s">
        <v>48</v>
      </c>
      <c r="Q178" s="33" t="n">
        <f>344</f>
        <v>344.0</v>
      </c>
      <c r="R178" s="34" t="s">
        <v>51</v>
      </c>
      <c r="S178" s="35" t="n">
        <f>329.09</f>
        <v>329.09</v>
      </c>
      <c r="T178" s="32" t="n">
        <f>48790</f>
        <v>48790.0</v>
      </c>
      <c r="U178" s="32" t="n">
        <f>20</f>
        <v>20.0</v>
      </c>
      <c r="V178" s="32" t="n">
        <f>16161520</f>
        <v>1.616152E7</v>
      </c>
      <c r="W178" s="32" t="n">
        <f>6520</f>
        <v>6520.0</v>
      </c>
      <c r="X178" s="36" t="n">
        <f>22</f>
        <v>22.0</v>
      </c>
    </row>
    <row r="179">
      <c r="A179" s="27" t="s">
        <v>42</v>
      </c>
      <c r="B179" s="27" t="s">
        <v>589</v>
      </c>
      <c r="C179" s="27" t="s">
        <v>590</v>
      </c>
      <c r="D179" s="27" t="s">
        <v>591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10.0</v>
      </c>
      <c r="K179" s="33" t="n">
        <f>1726</f>
        <v>1726.0</v>
      </c>
      <c r="L179" s="34" t="s">
        <v>48</v>
      </c>
      <c r="M179" s="33" t="n">
        <f>1786</f>
        <v>1786.0</v>
      </c>
      <c r="N179" s="34" t="s">
        <v>198</v>
      </c>
      <c r="O179" s="33" t="n">
        <f>1582</f>
        <v>1582.0</v>
      </c>
      <c r="P179" s="34" t="s">
        <v>50</v>
      </c>
      <c r="Q179" s="33" t="n">
        <f>1728</f>
        <v>1728.0</v>
      </c>
      <c r="R179" s="34" t="s">
        <v>51</v>
      </c>
      <c r="S179" s="35" t="n">
        <f>1699.5</f>
        <v>1699.5</v>
      </c>
      <c r="T179" s="32" t="n">
        <f>6880</f>
        <v>6880.0</v>
      </c>
      <c r="U179" s="32" t="n">
        <f>30</f>
        <v>30.0</v>
      </c>
      <c r="V179" s="32" t="n">
        <f>11614400</f>
        <v>1.16144E7</v>
      </c>
      <c r="W179" s="32" t="n">
        <f>49700</f>
        <v>49700.0</v>
      </c>
      <c r="X179" s="36" t="n">
        <f>22</f>
        <v>22.0</v>
      </c>
    </row>
    <row r="180">
      <c r="A180" s="27" t="s">
        <v>42</v>
      </c>
      <c r="B180" s="27" t="s">
        <v>592</v>
      </c>
      <c r="C180" s="27" t="s">
        <v>593</v>
      </c>
      <c r="D180" s="27" t="s">
        <v>594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10.0</v>
      </c>
      <c r="K180" s="33" t="n">
        <f>632</f>
        <v>632.0</v>
      </c>
      <c r="L180" s="34" t="s">
        <v>48</v>
      </c>
      <c r="M180" s="33" t="n">
        <f>658</f>
        <v>658.0</v>
      </c>
      <c r="N180" s="34" t="s">
        <v>90</v>
      </c>
      <c r="O180" s="33" t="n">
        <f>570</f>
        <v>570.0</v>
      </c>
      <c r="P180" s="34" t="s">
        <v>185</v>
      </c>
      <c r="Q180" s="33" t="n">
        <f>604</f>
        <v>604.0</v>
      </c>
      <c r="R180" s="34" t="s">
        <v>51</v>
      </c>
      <c r="S180" s="35" t="n">
        <f>618.41</f>
        <v>618.41</v>
      </c>
      <c r="T180" s="32" t="n">
        <f>86250</f>
        <v>86250.0</v>
      </c>
      <c r="U180" s="32" t="n">
        <f>40</f>
        <v>40.0</v>
      </c>
      <c r="V180" s="32" t="n">
        <f>53324190</f>
        <v>5.332419E7</v>
      </c>
      <c r="W180" s="32" t="n">
        <f>24160</f>
        <v>24160.0</v>
      </c>
      <c r="X180" s="36" t="n">
        <f>22</f>
        <v>22.0</v>
      </c>
    </row>
    <row r="181">
      <c r="A181" s="27" t="s">
        <v>42</v>
      </c>
      <c r="B181" s="27" t="s">
        <v>595</v>
      </c>
      <c r="C181" s="27" t="s">
        <v>596</v>
      </c>
      <c r="D181" s="27" t="s">
        <v>597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10.0</v>
      </c>
      <c r="K181" s="33" t="n">
        <f>473</f>
        <v>473.0</v>
      </c>
      <c r="L181" s="34" t="s">
        <v>48</v>
      </c>
      <c r="M181" s="33" t="n">
        <f>495</f>
        <v>495.0</v>
      </c>
      <c r="N181" s="34" t="s">
        <v>90</v>
      </c>
      <c r="O181" s="33" t="n">
        <f>424</f>
        <v>424.0</v>
      </c>
      <c r="P181" s="34" t="s">
        <v>185</v>
      </c>
      <c r="Q181" s="33" t="n">
        <f>438</f>
        <v>438.0</v>
      </c>
      <c r="R181" s="34" t="s">
        <v>51</v>
      </c>
      <c r="S181" s="35" t="n">
        <f>458.09</f>
        <v>458.09</v>
      </c>
      <c r="T181" s="32" t="n">
        <f>318830</f>
        <v>318830.0</v>
      </c>
      <c r="U181" s="32" t="n">
        <f>40</f>
        <v>40.0</v>
      </c>
      <c r="V181" s="32" t="n">
        <f>145434310</f>
        <v>1.4543431E8</v>
      </c>
      <c r="W181" s="32" t="n">
        <f>17710</f>
        <v>17710.0</v>
      </c>
      <c r="X181" s="36" t="n">
        <f>22</f>
        <v>22.0</v>
      </c>
    </row>
    <row r="182">
      <c r="A182" s="27" t="s">
        <v>42</v>
      </c>
      <c r="B182" s="27" t="s">
        <v>598</v>
      </c>
      <c r="C182" s="27" t="s">
        <v>599</v>
      </c>
      <c r="D182" s="27" t="s">
        <v>600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100.0</v>
      </c>
      <c r="K182" s="33" t="n">
        <f>2</f>
        <v>2.0</v>
      </c>
      <c r="L182" s="34" t="s">
        <v>48</v>
      </c>
      <c r="M182" s="33" t="n">
        <f>2</f>
        <v>2.0</v>
      </c>
      <c r="N182" s="34" t="s">
        <v>48</v>
      </c>
      <c r="O182" s="33" t="n">
        <f>1</f>
        <v>1.0</v>
      </c>
      <c r="P182" s="34" t="s">
        <v>48</v>
      </c>
      <c r="Q182" s="33" t="n">
        <f>2</f>
        <v>2.0</v>
      </c>
      <c r="R182" s="34" t="s">
        <v>51</v>
      </c>
      <c r="S182" s="35" t="n">
        <f>1.59</f>
        <v>1.59</v>
      </c>
      <c r="T182" s="32" t="n">
        <f>204456800</f>
        <v>2.044568E8</v>
      </c>
      <c r="U182" s="32" t="str">
        <f>"－"</f>
        <v>－</v>
      </c>
      <c r="V182" s="32" t="n">
        <f>341691000</f>
        <v>3.41691E8</v>
      </c>
      <c r="W182" s="32" t="str">
        <f>"－"</f>
        <v>－</v>
      </c>
      <c r="X182" s="36" t="n">
        <f>22</f>
        <v>22.0</v>
      </c>
    </row>
    <row r="183">
      <c r="A183" s="27" t="s">
        <v>42</v>
      </c>
      <c r="B183" s="27" t="s">
        <v>601</v>
      </c>
      <c r="C183" s="27" t="s">
        <v>602</v>
      </c>
      <c r="D183" s="27" t="s">
        <v>603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10.0</v>
      </c>
      <c r="K183" s="33" t="n">
        <f>660</f>
        <v>660.0</v>
      </c>
      <c r="L183" s="34" t="s">
        <v>48</v>
      </c>
      <c r="M183" s="33" t="n">
        <f>739</f>
        <v>739.0</v>
      </c>
      <c r="N183" s="34" t="s">
        <v>239</v>
      </c>
      <c r="O183" s="33" t="n">
        <f>660</f>
        <v>660.0</v>
      </c>
      <c r="P183" s="34" t="s">
        <v>48</v>
      </c>
      <c r="Q183" s="33" t="n">
        <f>725</f>
        <v>725.0</v>
      </c>
      <c r="R183" s="34" t="s">
        <v>51</v>
      </c>
      <c r="S183" s="35" t="n">
        <f>702.14</f>
        <v>702.14</v>
      </c>
      <c r="T183" s="32" t="n">
        <f>895210</f>
        <v>895210.0</v>
      </c>
      <c r="U183" s="32" t="n">
        <f>20</f>
        <v>20.0</v>
      </c>
      <c r="V183" s="32" t="n">
        <f>627730310</f>
        <v>6.2773031E8</v>
      </c>
      <c r="W183" s="32" t="n">
        <f>14060</f>
        <v>14060.0</v>
      </c>
      <c r="X183" s="36" t="n">
        <f>22</f>
        <v>22.0</v>
      </c>
    </row>
    <row r="184">
      <c r="A184" s="27" t="s">
        <v>42</v>
      </c>
      <c r="B184" s="27" t="s">
        <v>604</v>
      </c>
      <c r="C184" s="27" t="s">
        <v>605</v>
      </c>
      <c r="D184" s="27" t="s">
        <v>606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1.0</v>
      </c>
      <c r="K184" s="33" t="n">
        <f>2919</f>
        <v>2919.0</v>
      </c>
      <c r="L184" s="34" t="s">
        <v>48</v>
      </c>
      <c r="M184" s="33" t="n">
        <f>3265</f>
        <v>3265.0</v>
      </c>
      <c r="N184" s="34" t="s">
        <v>71</v>
      </c>
      <c r="O184" s="33" t="n">
        <f>2874</f>
        <v>2874.0</v>
      </c>
      <c r="P184" s="34" t="s">
        <v>185</v>
      </c>
      <c r="Q184" s="33" t="n">
        <f>3085</f>
        <v>3085.0</v>
      </c>
      <c r="R184" s="34" t="s">
        <v>51</v>
      </c>
      <c r="S184" s="35" t="n">
        <f>3040</f>
        <v>3040.0</v>
      </c>
      <c r="T184" s="32" t="n">
        <f>3800</f>
        <v>3800.0</v>
      </c>
      <c r="U184" s="32" t="n">
        <f>3</f>
        <v>3.0</v>
      </c>
      <c r="V184" s="32" t="n">
        <f>11549730</f>
        <v>1.154973E7</v>
      </c>
      <c r="W184" s="32" t="n">
        <f>9062</f>
        <v>9062.0</v>
      </c>
      <c r="X184" s="36" t="n">
        <f>22</f>
        <v>22.0</v>
      </c>
    </row>
    <row r="185">
      <c r="A185" s="27" t="s">
        <v>42</v>
      </c>
      <c r="B185" s="27" t="s">
        <v>607</v>
      </c>
      <c r="C185" s="27" t="s">
        <v>608</v>
      </c>
      <c r="D185" s="27" t="s">
        <v>609</v>
      </c>
      <c r="E185" s="28" t="s">
        <v>46</v>
      </c>
      <c r="F185" s="29" t="s">
        <v>46</v>
      </c>
      <c r="G185" s="30" t="s">
        <v>46</v>
      </c>
      <c r="H185" s="31"/>
      <c r="I185" s="31" t="s">
        <v>47</v>
      </c>
      <c r="J185" s="32" t="n">
        <v>100.0</v>
      </c>
      <c r="K185" s="33" t="n">
        <f>383</f>
        <v>383.0</v>
      </c>
      <c r="L185" s="34" t="s">
        <v>48</v>
      </c>
      <c r="M185" s="33" t="n">
        <f>398</f>
        <v>398.0</v>
      </c>
      <c r="N185" s="34" t="s">
        <v>51</v>
      </c>
      <c r="O185" s="33" t="n">
        <f>364</f>
        <v>364.0</v>
      </c>
      <c r="P185" s="34" t="s">
        <v>50</v>
      </c>
      <c r="Q185" s="33" t="n">
        <f>397</f>
        <v>397.0</v>
      </c>
      <c r="R185" s="34" t="s">
        <v>51</v>
      </c>
      <c r="S185" s="35" t="n">
        <f>378.9</f>
        <v>378.9</v>
      </c>
      <c r="T185" s="32" t="n">
        <f>25000</f>
        <v>25000.0</v>
      </c>
      <c r="U185" s="32" t="n">
        <f>700</f>
        <v>700.0</v>
      </c>
      <c r="V185" s="32" t="n">
        <f>9491700</f>
        <v>9491700.0</v>
      </c>
      <c r="W185" s="32" t="n">
        <f>268600</f>
        <v>268600.0</v>
      </c>
      <c r="X185" s="36" t="n">
        <f>21</f>
        <v>21.0</v>
      </c>
    </row>
    <row r="186">
      <c r="A186" s="27" t="s">
        <v>42</v>
      </c>
      <c r="B186" s="27" t="s">
        <v>610</v>
      </c>
      <c r="C186" s="27" t="s">
        <v>611</v>
      </c>
      <c r="D186" s="27" t="s">
        <v>612</v>
      </c>
      <c r="E186" s="28" t="s">
        <v>46</v>
      </c>
      <c r="F186" s="29" t="s">
        <v>46</v>
      </c>
      <c r="G186" s="30" t="s">
        <v>46</v>
      </c>
      <c r="H186" s="31"/>
      <c r="I186" s="31" t="s">
        <v>47</v>
      </c>
      <c r="J186" s="32" t="n">
        <v>10.0</v>
      </c>
      <c r="K186" s="33" t="n">
        <f>4565</f>
        <v>4565.0</v>
      </c>
      <c r="L186" s="34" t="s">
        <v>48</v>
      </c>
      <c r="M186" s="33" t="n">
        <f>4595</f>
        <v>4595.0</v>
      </c>
      <c r="N186" s="34" t="s">
        <v>48</v>
      </c>
      <c r="O186" s="33" t="n">
        <f>4000</f>
        <v>4000.0</v>
      </c>
      <c r="P186" s="34" t="s">
        <v>50</v>
      </c>
      <c r="Q186" s="33" t="n">
        <f>4165</f>
        <v>4165.0</v>
      </c>
      <c r="R186" s="34" t="s">
        <v>51</v>
      </c>
      <c r="S186" s="35" t="n">
        <f>4313.41</f>
        <v>4313.41</v>
      </c>
      <c r="T186" s="32" t="n">
        <f>88070</f>
        <v>88070.0</v>
      </c>
      <c r="U186" s="32" t="n">
        <f>30</f>
        <v>30.0</v>
      </c>
      <c r="V186" s="32" t="n">
        <f>379962500</f>
        <v>3.799625E8</v>
      </c>
      <c r="W186" s="32" t="n">
        <f>125900</f>
        <v>125900.0</v>
      </c>
      <c r="X186" s="36" t="n">
        <f>22</f>
        <v>22.0</v>
      </c>
    </row>
    <row r="187">
      <c r="A187" s="27" t="s">
        <v>42</v>
      </c>
      <c r="B187" s="27" t="s">
        <v>613</v>
      </c>
      <c r="C187" s="27" t="s">
        <v>614</v>
      </c>
      <c r="D187" s="27" t="s">
        <v>615</v>
      </c>
      <c r="E187" s="28" t="s">
        <v>46</v>
      </c>
      <c r="F187" s="29" t="s">
        <v>46</v>
      </c>
      <c r="G187" s="30" t="s">
        <v>46</v>
      </c>
      <c r="H187" s="31"/>
      <c r="I187" s="31" t="s">
        <v>47</v>
      </c>
      <c r="J187" s="32" t="n">
        <v>10.0</v>
      </c>
      <c r="K187" s="33" t="n">
        <f>1843</f>
        <v>1843.0</v>
      </c>
      <c r="L187" s="34" t="s">
        <v>48</v>
      </c>
      <c r="M187" s="33" t="n">
        <f>1924</f>
        <v>1924.0</v>
      </c>
      <c r="N187" s="34" t="s">
        <v>239</v>
      </c>
      <c r="O187" s="33" t="n">
        <f>1752</f>
        <v>1752.0</v>
      </c>
      <c r="P187" s="34" t="s">
        <v>185</v>
      </c>
      <c r="Q187" s="33" t="n">
        <f>1871</f>
        <v>1871.0</v>
      </c>
      <c r="R187" s="34" t="s">
        <v>51</v>
      </c>
      <c r="S187" s="35" t="n">
        <f>1838.95</f>
        <v>1838.95</v>
      </c>
      <c r="T187" s="32" t="n">
        <f>36690</f>
        <v>36690.0</v>
      </c>
      <c r="U187" s="32" t="n">
        <f>40</f>
        <v>40.0</v>
      </c>
      <c r="V187" s="32" t="n">
        <f>67770220</f>
        <v>6.777022E7</v>
      </c>
      <c r="W187" s="32" t="n">
        <f>73800</f>
        <v>73800.0</v>
      </c>
      <c r="X187" s="36" t="n">
        <f>22</f>
        <v>22.0</v>
      </c>
    </row>
    <row r="188">
      <c r="A188" s="27" t="s">
        <v>42</v>
      </c>
      <c r="B188" s="27" t="s">
        <v>616</v>
      </c>
      <c r="C188" s="27" t="s">
        <v>617</v>
      </c>
      <c r="D188" s="27" t="s">
        <v>618</v>
      </c>
      <c r="E188" s="28" t="s">
        <v>46</v>
      </c>
      <c r="F188" s="29" t="s">
        <v>46</v>
      </c>
      <c r="G188" s="30" t="s">
        <v>46</v>
      </c>
      <c r="H188" s="31"/>
      <c r="I188" s="31" t="s">
        <v>47</v>
      </c>
      <c r="J188" s="32" t="n">
        <v>100.0</v>
      </c>
      <c r="K188" s="33" t="n">
        <f>82</f>
        <v>82.0</v>
      </c>
      <c r="L188" s="34" t="s">
        <v>48</v>
      </c>
      <c r="M188" s="33" t="n">
        <f>86</f>
        <v>86.0</v>
      </c>
      <c r="N188" s="34" t="s">
        <v>90</v>
      </c>
      <c r="O188" s="33" t="n">
        <f>78</f>
        <v>78.0</v>
      </c>
      <c r="P188" s="34" t="s">
        <v>185</v>
      </c>
      <c r="Q188" s="33" t="n">
        <f>79</f>
        <v>79.0</v>
      </c>
      <c r="R188" s="34" t="s">
        <v>51</v>
      </c>
      <c r="S188" s="35" t="n">
        <f>81.5</f>
        <v>81.5</v>
      </c>
      <c r="T188" s="32" t="n">
        <f>4007400</f>
        <v>4007400.0</v>
      </c>
      <c r="U188" s="32" t="str">
        <f>"－"</f>
        <v>－</v>
      </c>
      <c r="V188" s="32" t="n">
        <f>326636000</f>
        <v>3.26636E8</v>
      </c>
      <c r="W188" s="32" t="str">
        <f>"－"</f>
        <v>－</v>
      </c>
      <c r="X188" s="36" t="n">
        <f>22</f>
        <v>22.0</v>
      </c>
    </row>
    <row r="189">
      <c r="A189" s="27" t="s">
        <v>42</v>
      </c>
      <c r="B189" s="27" t="s">
        <v>619</v>
      </c>
      <c r="C189" s="27" t="s">
        <v>620</v>
      </c>
      <c r="D189" s="27" t="s">
        <v>621</v>
      </c>
      <c r="E189" s="28" t="s">
        <v>46</v>
      </c>
      <c r="F189" s="29" t="s">
        <v>46</v>
      </c>
      <c r="G189" s="30" t="s">
        <v>46</v>
      </c>
      <c r="H189" s="31"/>
      <c r="I189" s="31" t="s">
        <v>47</v>
      </c>
      <c r="J189" s="32" t="n">
        <v>100.0</v>
      </c>
      <c r="K189" s="33" t="n">
        <f>128</f>
        <v>128.0</v>
      </c>
      <c r="L189" s="34" t="s">
        <v>48</v>
      </c>
      <c r="M189" s="33" t="n">
        <f>137</f>
        <v>137.0</v>
      </c>
      <c r="N189" s="34" t="s">
        <v>90</v>
      </c>
      <c r="O189" s="33" t="n">
        <f>113</f>
        <v>113.0</v>
      </c>
      <c r="P189" s="34" t="s">
        <v>239</v>
      </c>
      <c r="Q189" s="33" t="n">
        <f>119</f>
        <v>119.0</v>
      </c>
      <c r="R189" s="34" t="s">
        <v>51</v>
      </c>
      <c r="S189" s="35" t="n">
        <f>125.45</f>
        <v>125.45</v>
      </c>
      <c r="T189" s="32" t="n">
        <f>3463800</f>
        <v>3463800.0</v>
      </c>
      <c r="U189" s="32" t="str">
        <f>"－"</f>
        <v>－</v>
      </c>
      <c r="V189" s="32" t="n">
        <f>433135600</f>
        <v>4.331356E8</v>
      </c>
      <c r="W189" s="32" t="str">
        <f>"－"</f>
        <v>－</v>
      </c>
      <c r="X189" s="36" t="n">
        <f>22</f>
        <v>22.0</v>
      </c>
    </row>
    <row r="190">
      <c r="A190" s="27" t="s">
        <v>42</v>
      </c>
      <c r="B190" s="27" t="s">
        <v>622</v>
      </c>
      <c r="C190" s="27" t="s">
        <v>623</v>
      </c>
      <c r="D190" s="27" t="s">
        <v>624</v>
      </c>
      <c r="E190" s="28" t="s">
        <v>46</v>
      </c>
      <c r="F190" s="29" t="s">
        <v>46</v>
      </c>
      <c r="G190" s="30" t="s">
        <v>46</v>
      </c>
      <c r="H190" s="31"/>
      <c r="I190" s="31" t="s">
        <v>47</v>
      </c>
      <c r="J190" s="32" t="n">
        <v>10.0</v>
      </c>
      <c r="K190" s="33" t="n">
        <f>2926</f>
        <v>2926.0</v>
      </c>
      <c r="L190" s="34" t="s">
        <v>48</v>
      </c>
      <c r="M190" s="33" t="n">
        <f>3080</f>
        <v>3080.0</v>
      </c>
      <c r="N190" s="34" t="s">
        <v>90</v>
      </c>
      <c r="O190" s="33" t="n">
        <f>2563</f>
        <v>2563.0</v>
      </c>
      <c r="P190" s="34" t="s">
        <v>185</v>
      </c>
      <c r="Q190" s="33" t="n">
        <f>2708</f>
        <v>2708.0</v>
      </c>
      <c r="R190" s="34" t="s">
        <v>51</v>
      </c>
      <c r="S190" s="35" t="n">
        <f>2826.64</f>
        <v>2826.64</v>
      </c>
      <c r="T190" s="32" t="n">
        <f>45690</f>
        <v>45690.0</v>
      </c>
      <c r="U190" s="32" t="n">
        <f>10</f>
        <v>10.0</v>
      </c>
      <c r="V190" s="32" t="n">
        <f>129498170</f>
        <v>1.2949817E8</v>
      </c>
      <c r="W190" s="32" t="n">
        <f>27080</f>
        <v>27080.0</v>
      </c>
      <c r="X190" s="36" t="n">
        <f>22</f>
        <v>22.0</v>
      </c>
    </row>
    <row r="191">
      <c r="A191" s="27" t="s">
        <v>42</v>
      </c>
      <c r="B191" s="27" t="s">
        <v>625</v>
      </c>
      <c r="C191" s="27" t="s">
        <v>626</v>
      </c>
      <c r="D191" s="27" t="s">
        <v>627</v>
      </c>
      <c r="E191" s="28" t="s">
        <v>46</v>
      </c>
      <c r="F191" s="29" t="s">
        <v>46</v>
      </c>
      <c r="G191" s="30" t="s">
        <v>46</v>
      </c>
      <c r="H191" s="31"/>
      <c r="I191" s="31" t="s">
        <v>47</v>
      </c>
      <c r="J191" s="32" t="n">
        <v>10.0</v>
      </c>
      <c r="K191" s="33" t="n">
        <f>1841</f>
        <v>1841.0</v>
      </c>
      <c r="L191" s="34" t="s">
        <v>48</v>
      </c>
      <c r="M191" s="33" t="n">
        <f>1904</f>
        <v>1904.0</v>
      </c>
      <c r="N191" s="34" t="s">
        <v>49</v>
      </c>
      <c r="O191" s="33" t="n">
        <f>1809</f>
        <v>1809.0</v>
      </c>
      <c r="P191" s="34" t="s">
        <v>50</v>
      </c>
      <c r="Q191" s="33" t="n">
        <f>1854</f>
        <v>1854.0</v>
      </c>
      <c r="R191" s="34" t="s">
        <v>51</v>
      </c>
      <c r="S191" s="35" t="n">
        <f>1868.18</f>
        <v>1868.18</v>
      </c>
      <c r="T191" s="32" t="n">
        <f>37080</f>
        <v>37080.0</v>
      </c>
      <c r="U191" s="32" t="str">
        <f>"－"</f>
        <v>－</v>
      </c>
      <c r="V191" s="32" t="n">
        <f>69160100</f>
        <v>6.91601E7</v>
      </c>
      <c r="W191" s="32" t="str">
        <f>"－"</f>
        <v>－</v>
      </c>
      <c r="X191" s="36" t="n">
        <f>22</f>
        <v>22.0</v>
      </c>
    </row>
    <row r="192">
      <c r="A192" s="27" t="s">
        <v>42</v>
      </c>
      <c r="B192" s="27" t="s">
        <v>628</v>
      </c>
      <c r="C192" s="27" t="s">
        <v>629</v>
      </c>
      <c r="D192" s="27" t="s">
        <v>630</v>
      </c>
      <c r="E192" s="28" t="s">
        <v>46</v>
      </c>
      <c r="F192" s="29" t="s">
        <v>46</v>
      </c>
      <c r="G192" s="30" t="s">
        <v>46</v>
      </c>
      <c r="H192" s="31"/>
      <c r="I192" s="31" t="s">
        <v>47</v>
      </c>
      <c r="J192" s="32" t="n">
        <v>10.0</v>
      </c>
      <c r="K192" s="33" t="n">
        <f>174</f>
        <v>174.0</v>
      </c>
      <c r="L192" s="34" t="s">
        <v>48</v>
      </c>
      <c r="M192" s="33" t="n">
        <f>195</f>
        <v>195.0</v>
      </c>
      <c r="N192" s="34" t="s">
        <v>239</v>
      </c>
      <c r="O192" s="33" t="n">
        <f>174</f>
        <v>174.0</v>
      </c>
      <c r="P192" s="34" t="s">
        <v>48</v>
      </c>
      <c r="Q192" s="33" t="n">
        <f>191</f>
        <v>191.0</v>
      </c>
      <c r="R192" s="34" t="s">
        <v>51</v>
      </c>
      <c r="S192" s="35" t="n">
        <f>185.23</f>
        <v>185.23</v>
      </c>
      <c r="T192" s="32" t="n">
        <f>132805420</f>
        <v>1.3280542E8</v>
      </c>
      <c r="U192" s="32" t="n">
        <f>174170</f>
        <v>174170.0</v>
      </c>
      <c r="V192" s="32" t="n">
        <f>24507173342</f>
        <v>2.4507173342E10</v>
      </c>
      <c r="W192" s="32" t="n">
        <f>32762042</f>
        <v>3.2762042E7</v>
      </c>
      <c r="X192" s="36" t="n">
        <f>22</f>
        <v>22.0</v>
      </c>
    </row>
    <row r="193">
      <c r="A193" s="27" t="s">
        <v>42</v>
      </c>
      <c r="B193" s="27" t="s">
        <v>631</v>
      </c>
      <c r="C193" s="27" t="s">
        <v>632</v>
      </c>
      <c r="D193" s="27" t="s">
        <v>633</v>
      </c>
      <c r="E193" s="28" t="s">
        <v>46</v>
      </c>
      <c r="F193" s="29" t="s">
        <v>46</v>
      </c>
      <c r="G193" s="30" t="s">
        <v>46</v>
      </c>
      <c r="H193" s="31"/>
      <c r="I193" s="31" t="s">
        <v>634</v>
      </c>
      <c r="J193" s="32" t="n">
        <v>1.0</v>
      </c>
      <c r="K193" s="33" t="n">
        <f>12230</f>
        <v>12230.0</v>
      </c>
      <c r="L193" s="34" t="s">
        <v>48</v>
      </c>
      <c r="M193" s="33" t="n">
        <f>12430</f>
        <v>12430.0</v>
      </c>
      <c r="N193" s="34" t="s">
        <v>198</v>
      </c>
      <c r="O193" s="33" t="n">
        <f>11400</f>
        <v>11400.0</v>
      </c>
      <c r="P193" s="34" t="s">
        <v>50</v>
      </c>
      <c r="Q193" s="33" t="n">
        <f>12010</f>
        <v>12010.0</v>
      </c>
      <c r="R193" s="34" t="s">
        <v>51</v>
      </c>
      <c r="S193" s="35" t="n">
        <f>11902.73</f>
        <v>11902.73</v>
      </c>
      <c r="T193" s="32" t="n">
        <f>2920</f>
        <v>2920.0</v>
      </c>
      <c r="U193" s="32" t="str">
        <f>"－"</f>
        <v>－</v>
      </c>
      <c r="V193" s="32" t="n">
        <f>35085610</f>
        <v>3.508561E7</v>
      </c>
      <c r="W193" s="32" t="str">
        <f>"－"</f>
        <v>－</v>
      </c>
      <c r="X193" s="36" t="n">
        <f>22</f>
        <v>22.0</v>
      </c>
    </row>
    <row r="194">
      <c r="A194" s="27" t="s">
        <v>42</v>
      </c>
      <c r="B194" s="27" t="s">
        <v>635</v>
      </c>
      <c r="C194" s="27" t="s">
        <v>636</v>
      </c>
      <c r="D194" s="27" t="s">
        <v>637</v>
      </c>
      <c r="E194" s="28" t="s">
        <v>46</v>
      </c>
      <c r="F194" s="29" t="s">
        <v>46</v>
      </c>
      <c r="G194" s="30" t="s">
        <v>46</v>
      </c>
      <c r="H194" s="31"/>
      <c r="I194" s="31" t="s">
        <v>634</v>
      </c>
      <c r="J194" s="32" t="n">
        <v>1.0</v>
      </c>
      <c r="K194" s="33" t="n">
        <f>5110</f>
        <v>5110.0</v>
      </c>
      <c r="L194" s="34" t="s">
        <v>48</v>
      </c>
      <c r="M194" s="33" t="n">
        <f>5380</f>
        <v>5380.0</v>
      </c>
      <c r="N194" s="34" t="s">
        <v>175</v>
      </c>
      <c r="O194" s="33" t="n">
        <f>5100</f>
        <v>5100.0</v>
      </c>
      <c r="P194" s="34" t="s">
        <v>48</v>
      </c>
      <c r="Q194" s="33" t="n">
        <f>5230</f>
        <v>5230.0</v>
      </c>
      <c r="R194" s="34" t="s">
        <v>51</v>
      </c>
      <c r="S194" s="35" t="n">
        <f>5227.62</f>
        <v>5227.62</v>
      </c>
      <c r="T194" s="32" t="n">
        <f>533</f>
        <v>533.0</v>
      </c>
      <c r="U194" s="32" t="str">
        <f>"－"</f>
        <v>－</v>
      </c>
      <c r="V194" s="32" t="n">
        <f>2777670</f>
        <v>2777670.0</v>
      </c>
      <c r="W194" s="32" t="str">
        <f>"－"</f>
        <v>－</v>
      </c>
      <c r="X194" s="36" t="n">
        <f>21</f>
        <v>21.0</v>
      </c>
    </row>
    <row r="195">
      <c r="A195" s="27" t="s">
        <v>42</v>
      </c>
      <c r="B195" s="27" t="s">
        <v>638</v>
      </c>
      <c r="C195" s="27" t="s">
        <v>639</v>
      </c>
      <c r="D195" s="27" t="s">
        <v>640</v>
      </c>
      <c r="E195" s="28" t="s">
        <v>46</v>
      </c>
      <c r="F195" s="29" t="s">
        <v>46</v>
      </c>
      <c r="G195" s="30" t="s">
        <v>46</v>
      </c>
      <c r="H195" s="31"/>
      <c r="I195" s="31" t="s">
        <v>634</v>
      </c>
      <c r="J195" s="32" t="n">
        <v>1.0</v>
      </c>
      <c r="K195" s="33" t="n">
        <f>20180</f>
        <v>20180.0</v>
      </c>
      <c r="L195" s="34" t="s">
        <v>48</v>
      </c>
      <c r="M195" s="33" t="n">
        <f>21340</f>
        <v>21340.0</v>
      </c>
      <c r="N195" s="34" t="s">
        <v>239</v>
      </c>
      <c r="O195" s="33" t="n">
        <f>19700</f>
        <v>19700.0</v>
      </c>
      <c r="P195" s="34" t="s">
        <v>50</v>
      </c>
      <c r="Q195" s="33" t="n">
        <f>21120</f>
        <v>21120.0</v>
      </c>
      <c r="R195" s="34" t="s">
        <v>51</v>
      </c>
      <c r="S195" s="35" t="n">
        <f>20427.65</f>
        <v>20427.65</v>
      </c>
      <c r="T195" s="32" t="n">
        <f>2458</f>
        <v>2458.0</v>
      </c>
      <c r="U195" s="32" t="n">
        <f>1</f>
        <v>1.0</v>
      </c>
      <c r="V195" s="32" t="n">
        <f>51901440</f>
        <v>5.190144E7</v>
      </c>
      <c r="W195" s="32" t="n">
        <f>19700</f>
        <v>19700.0</v>
      </c>
      <c r="X195" s="36" t="n">
        <f>17</f>
        <v>17.0</v>
      </c>
    </row>
    <row r="196">
      <c r="A196" s="27" t="s">
        <v>42</v>
      </c>
      <c r="B196" s="27" t="s">
        <v>641</v>
      </c>
      <c r="C196" s="27" t="s">
        <v>642</v>
      </c>
      <c r="D196" s="27" t="s">
        <v>643</v>
      </c>
      <c r="E196" s="28" t="s">
        <v>46</v>
      </c>
      <c r="F196" s="29" t="s">
        <v>46</v>
      </c>
      <c r="G196" s="30" t="s">
        <v>46</v>
      </c>
      <c r="H196" s="31"/>
      <c r="I196" s="31" t="s">
        <v>634</v>
      </c>
      <c r="J196" s="32" t="n">
        <v>1.0</v>
      </c>
      <c r="K196" s="33" t="n">
        <f>5900</f>
        <v>5900.0</v>
      </c>
      <c r="L196" s="34" t="s">
        <v>48</v>
      </c>
      <c r="M196" s="33" t="n">
        <f>5970</f>
        <v>5970.0</v>
      </c>
      <c r="N196" s="34" t="s">
        <v>198</v>
      </c>
      <c r="O196" s="33" t="n">
        <f>5760</f>
        <v>5760.0</v>
      </c>
      <c r="P196" s="34" t="s">
        <v>51</v>
      </c>
      <c r="Q196" s="33" t="n">
        <f>5760</f>
        <v>5760.0</v>
      </c>
      <c r="R196" s="34" t="s">
        <v>51</v>
      </c>
      <c r="S196" s="35" t="n">
        <f>5835.91</f>
        <v>5835.91</v>
      </c>
      <c r="T196" s="32" t="n">
        <f>6583</f>
        <v>6583.0</v>
      </c>
      <c r="U196" s="32" t="str">
        <f>"－"</f>
        <v>－</v>
      </c>
      <c r="V196" s="32" t="n">
        <f>38470440</f>
        <v>3.847044E7</v>
      </c>
      <c r="W196" s="32" t="str">
        <f>"－"</f>
        <v>－</v>
      </c>
      <c r="X196" s="36" t="n">
        <f>22</f>
        <v>22.0</v>
      </c>
    </row>
    <row r="197">
      <c r="A197" s="27" t="s">
        <v>42</v>
      </c>
      <c r="B197" s="27" t="s">
        <v>644</v>
      </c>
      <c r="C197" s="27" t="s">
        <v>645</v>
      </c>
      <c r="D197" s="27" t="s">
        <v>646</v>
      </c>
      <c r="E197" s="28" t="s">
        <v>46</v>
      </c>
      <c r="F197" s="29" t="s">
        <v>46</v>
      </c>
      <c r="G197" s="30" t="s">
        <v>46</v>
      </c>
      <c r="H197" s="31"/>
      <c r="I197" s="31" t="s">
        <v>634</v>
      </c>
      <c r="J197" s="32" t="n">
        <v>1.0</v>
      </c>
      <c r="K197" s="33" t="n">
        <f>223</f>
        <v>223.0</v>
      </c>
      <c r="L197" s="34" t="s">
        <v>48</v>
      </c>
      <c r="M197" s="33" t="n">
        <f>227</f>
        <v>227.0</v>
      </c>
      <c r="N197" s="34" t="s">
        <v>48</v>
      </c>
      <c r="O197" s="33" t="n">
        <f>175</f>
        <v>175.0</v>
      </c>
      <c r="P197" s="34" t="s">
        <v>51</v>
      </c>
      <c r="Q197" s="33" t="n">
        <f>178</f>
        <v>178.0</v>
      </c>
      <c r="R197" s="34" t="s">
        <v>51</v>
      </c>
      <c r="S197" s="35" t="n">
        <f>201.82</f>
        <v>201.82</v>
      </c>
      <c r="T197" s="32" t="n">
        <f>19943677</f>
        <v>1.9943677E7</v>
      </c>
      <c r="U197" s="32" t="str">
        <f>"－"</f>
        <v>－</v>
      </c>
      <c r="V197" s="32" t="n">
        <f>4006908992</f>
        <v>4.006908992E9</v>
      </c>
      <c r="W197" s="32" t="str">
        <f>"－"</f>
        <v>－</v>
      </c>
      <c r="X197" s="36" t="n">
        <f>22</f>
        <v>22.0</v>
      </c>
    </row>
    <row r="198">
      <c r="A198" s="27" t="s">
        <v>42</v>
      </c>
      <c r="B198" s="27" t="s">
        <v>647</v>
      </c>
      <c r="C198" s="27" t="s">
        <v>648</v>
      </c>
      <c r="D198" s="27" t="s">
        <v>649</v>
      </c>
      <c r="E198" s="28" t="s">
        <v>46</v>
      </c>
      <c r="F198" s="29" t="s">
        <v>46</v>
      </c>
      <c r="G198" s="30" t="s">
        <v>46</v>
      </c>
      <c r="H198" s="31"/>
      <c r="I198" s="31" t="s">
        <v>634</v>
      </c>
      <c r="J198" s="32" t="n">
        <v>1.0</v>
      </c>
      <c r="K198" s="33" t="n">
        <f>19900</f>
        <v>19900.0</v>
      </c>
      <c r="L198" s="34" t="s">
        <v>48</v>
      </c>
      <c r="M198" s="33" t="n">
        <f>20110</f>
        <v>20110.0</v>
      </c>
      <c r="N198" s="34" t="s">
        <v>48</v>
      </c>
      <c r="O198" s="33" t="n">
        <f>17100</f>
        <v>17100.0</v>
      </c>
      <c r="P198" s="34" t="s">
        <v>51</v>
      </c>
      <c r="Q198" s="33" t="n">
        <f>17250</f>
        <v>17250.0</v>
      </c>
      <c r="R198" s="34" t="s">
        <v>51</v>
      </c>
      <c r="S198" s="35" t="n">
        <f>18598.18</f>
        <v>18598.18</v>
      </c>
      <c r="T198" s="32" t="n">
        <f>86885</f>
        <v>86885.0</v>
      </c>
      <c r="U198" s="32" t="n">
        <f>15</f>
        <v>15.0</v>
      </c>
      <c r="V198" s="32" t="n">
        <f>1614502660</f>
        <v>1.61450266E9</v>
      </c>
      <c r="W198" s="32" t="n">
        <f>294340</f>
        <v>294340.0</v>
      </c>
      <c r="X198" s="36" t="n">
        <f>22</f>
        <v>22.0</v>
      </c>
    </row>
    <row r="199">
      <c r="A199" s="27" t="s">
        <v>42</v>
      </c>
      <c r="B199" s="27" t="s">
        <v>650</v>
      </c>
      <c r="C199" s="27" t="s">
        <v>651</v>
      </c>
      <c r="D199" s="27" t="s">
        <v>652</v>
      </c>
      <c r="E199" s="28" t="s">
        <v>46</v>
      </c>
      <c r="F199" s="29" t="s">
        <v>46</v>
      </c>
      <c r="G199" s="30" t="s">
        <v>46</v>
      </c>
      <c r="H199" s="31"/>
      <c r="I199" s="31" t="s">
        <v>634</v>
      </c>
      <c r="J199" s="32" t="n">
        <v>1.0</v>
      </c>
      <c r="K199" s="33" t="n">
        <f>5240</f>
        <v>5240.0</v>
      </c>
      <c r="L199" s="34" t="s">
        <v>48</v>
      </c>
      <c r="M199" s="33" t="n">
        <f>5690</f>
        <v>5690.0</v>
      </c>
      <c r="N199" s="34" t="s">
        <v>50</v>
      </c>
      <c r="O199" s="33" t="n">
        <f>5200</f>
        <v>5200.0</v>
      </c>
      <c r="P199" s="34" t="s">
        <v>122</v>
      </c>
      <c r="Q199" s="33" t="n">
        <f>5610</f>
        <v>5610.0</v>
      </c>
      <c r="R199" s="34" t="s">
        <v>51</v>
      </c>
      <c r="S199" s="35" t="n">
        <f>5431.82</f>
        <v>5431.82</v>
      </c>
      <c r="T199" s="32" t="n">
        <f>54268</f>
        <v>54268.0</v>
      </c>
      <c r="U199" s="32" t="n">
        <f>3</f>
        <v>3.0</v>
      </c>
      <c r="V199" s="32" t="n">
        <f>298004310</f>
        <v>2.9800431E8</v>
      </c>
      <c r="W199" s="32" t="n">
        <f>16600</f>
        <v>16600.0</v>
      </c>
      <c r="X199" s="36" t="n">
        <f>22</f>
        <v>22.0</v>
      </c>
    </row>
    <row r="200">
      <c r="A200" s="27" t="s">
        <v>42</v>
      </c>
      <c r="B200" s="27" t="s">
        <v>653</v>
      </c>
      <c r="C200" s="27" t="s">
        <v>654</v>
      </c>
      <c r="D200" s="27" t="s">
        <v>655</v>
      </c>
      <c r="E200" s="28" t="s">
        <v>46</v>
      </c>
      <c r="F200" s="29" t="s">
        <v>46</v>
      </c>
      <c r="G200" s="30" t="s">
        <v>46</v>
      </c>
      <c r="H200" s="31"/>
      <c r="I200" s="31" t="s">
        <v>634</v>
      </c>
      <c r="J200" s="32" t="n">
        <v>1.0</v>
      </c>
      <c r="K200" s="33" t="n">
        <f>540</f>
        <v>540.0</v>
      </c>
      <c r="L200" s="34" t="s">
        <v>48</v>
      </c>
      <c r="M200" s="33" t="n">
        <f>656</f>
        <v>656.0</v>
      </c>
      <c r="N200" s="34" t="s">
        <v>239</v>
      </c>
      <c r="O200" s="33" t="n">
        <f>538</f>
        <v>538.0</v>
      </c>
      <c r="P200" s="34" t="s">
        <v>48</v>
      </c>
      <c r="Q200" s="33" t="n">
        <f>634</f>
        <v>634.0</v>
      </c>
      <c r="R200" s="34" t="s">
        <v>51</v>
      </c>
      <c r="S200" s="35" t="n">
        <f>599.18</f>
        <v>599.18</v>
      </c>
      <c r="T200" s="32" t="n">
        <f>177304380</f>
        <v>1.7730438E8</v>
      </c>
      <c r="U200" s="32" t="n">
        <f>1203833</f>
        <v>1203833.0</v>
      </c>
      <c r="V200" s="32" t="n">
        <f>106362131300</f>
        <v>1.063621313E11</v>
      </c>
      <c r="W200" s="32" t="n">
        <f>788236555</f>
        <v>7.88236555E8</v>
      </c>
      <c r="X200" s="36" t="n">
        <f>22</f>
        <v>22.0</v>
      </c>
    </row>
    <row r="201">
      <c r="A201" s="27" t="s">
        <v>42</v>
      </c>
      <c r="B201" s="27" t="s">
        <v>656</v>
      </c>
      <c r="C201" s="27" t="s">
        <v>657</v>
      </c>
      <c r="D201" s="27" t="s">
        <v>658</v>
      </c>
      <c r="E201" s="28" t="s">
        <v>46</v>
      </c>
      <c r="F201" s="29" t="s">
        <v>46</v>
      </c>
      <c r="G201" s="30" t="s">
        <v>46</v>
      </c>
      <c r="H201" s="31"/>
      <c r="I201" s="31" t="s">
        <v>634</v>
      </c>
      <c r="J201" s="32" t="n">
        <v>1.0</v>
      </c>
      <c r="K201" s="33" t="n">
        <f>3560</f>
        <v>3560.0</v>
      </c>
      <c r="L201" s="34" t="s">
        <v>48</v>
      </c>
      <c r="M201" s="33" t="n">
        <f>3580</f>
        <v>3580.0</v>
      </c>
      <c r="N201" s="34" t="s">
        <v>48</v>
      </c>
      <c r="O201" s="33" t="n">
        <f>3220</f>
        <v>3220.0</v>
      </c>
      <c r="P201" s="34" t="s">
        <v>239</v>
      </c>
      <c r="Q201" s="33" t="n">
        <f>3280</f>
        <v>3280.0</v>
      </c>
      <c r="R201" s="34" t="s">
        <v>51</v>
      </c>
      <c r="S201" s="35" t="n">
        <f>3370.91</f>
        <v>3370.91</v>
      </c>
      <c r="T201" s="32" t="n">
        <f>366249</f>
        <v>366249.0</v>
      </c>
      <c r="U201" s="32" t="n">
        <f>1</f>
        <v>1.0</v>
      </c>
      <c r="V201" s="32" t="n">
        <f>1244910705</f>
        <v>1.244910705E9</v>
      </c>
      <c r="W201" s="32" t="n">
        <f>3540</f>
        <v>3540.0</v>
      </c>
      <c r="X201" s="36" t="n">
        <f>22</f>
        <v>22.0</v>
      </c>
    </row>
    <row r="202">
      <c r="A202" s="27" t="s">
        <v>42</v>
      </c>
      <c r="B202" s="27" t="s">
        <v>659</v>
      </c>
      <c r="C202" s="27" t="s">
        <v>660</v>
      </c>
      <c r="D202" s="27" t="s">
        <v>661</v>
      </c>
      <c r="E202" s="28" t="s">
        <v>46</v>
      </c>
      <c r="F202" s="29" t="s">
        <v>46</v>
      </c>
      <c r="G202" s="30" t="s">
        <v>46</v>
      </c>
      <c r="H202" s="31"/>
      <c r="I202" s="31" t="s">
        <v>634</v>
      </c>
      <c r="J202" s="32" t="n">
        <v>1.0</v>
      </c>
      <c r="K202" s="33" t="n">
        <f>30900</f>
        <v>30900.0</v>
      </c>
      <c r="L202" s="34" t="s">
        <v>48</v>
      </c>
      <c r="M202" s="33" t="n">
        <f>31300</f>
        <v>31300.0</v>
      </c>
      <c r="N202" s="34" t="s">
        <v>90</v>
      </c>
      <c r="O202" s="33" t="n">
        <f>28530</f>
        <v>28530.0</v>
      </c>
      <c r="P202" s="34" t="s">
        <v>50</v>
      </c>
      <c r="Q202" s="33" t="n">
        <f>30550</f>
        <v>30550.0</v>
      </c>
      <c r="R202" s="34" t="s">
        <v>51</v>
      </c>
      <c r="S202" s="35" t="n">
        <f>30505.91</f>
        <v>30505.91</v>
      </c>
      <c r="T202" s="32" t="n">
        <f>122579</f>
        <v>122579.0</v>
      </c>
      <c r="U202" s="32" t="str">
        <f>"－"</f>
        <v>－</v>
      </c>
      <c r="V202" s="32" t="n">
        <f>3695453590</f>
        <v>3.69545359E9</v>
      </c>
      <c r="W202" s="32" t="str">
        <f>"－"</f>
        <v>－</v>
      </c>
      <c r="X202" s="36" t="n">
        <f>22</f>
        <v>22.0</v>
      </c>
    </row>
    <row r="203">
      <c r="A203" s="27" t="s">
        <v>42</v>
      </c>
      <c r="B203" s="27" t="s">
        <v>662</v>
      </c>
      <c r="C203" s="27" t="s">
        <v>663</v>
      </c>
      <c r="D203" s="27" t="s">
        <v>664</v>
      </c>
      <c r="E203" s="28" t="s">
        <v>46</v>
      </c>
      <c r="F203" s="29" t="s">
        <v>46</v>
      </c>
      <c r="G203" s="30" t="s">
        <v>46</v>
      </c>
      <c r="H203" s="31"/>
      <c r="I203" s="31" t="s">
        <v>634</v>
      </c>
      <c r="J203" s="32" t="n">
        <v>1.0</v>
      </c>
      <c r="K203" s="33" t="n">
        <f>2995</f>
        <v>2995.0</v>
      </c>
      <c r="L203" s="34" t="s">
        <v>48</v>
      </c>
      <c r="M203" s="33" t="n">
        <f>3135</f>
        <v>3135.0</v>
      </c>
      <c r="N203" s="34" t="s">
        <v>50</v>
      </c>
      <c r="O203" s="33" t="n">
        <f>2966</f>
        <v>2966.0</v>
      </c>
      <c r="P203" s="34" t="s">
        <v>90</v>
      </c>
      <c r="Q203" s="33" t="n">
        <f>2997</f>
        <v>2997.0</v>
      </c>
      <c r="R203" s="34" t="s">
        <v>51</v>
      </c>
      <c r="S203" s="35" t="n">
        <f>3005.45</f>
        <v>3005.45</v>
      </c>
      <c r="T203" s="32" t="n">
        <f>244919</f>
        <v>244919.0</v>
      </c>
      <c r="U203" s="32" t="str">
        <f>"－"</f>
        <v>－</v>
      </c>
      <c r="V203" s="32" t="n">
        <f>743367447</f>
        <v>7.43367447E8</v>
      </c>
      <c r="W203" s="32" t="str">
        <f>"－"</f>
        <v>－</v>
      </c>
      <c r="X203" s="36" t="n">
        <f>22</f>
        <v>22.0</v>
      </c>
    </row>
    <row r="204">
      <c r="A204" s="27" t="s">
        <v>42</v>
      </c>
      <c r="B204" s="27" t="s">
        <v>665</v>
      </c>
      <c r="C204" s="27" t="s">
        <v>666</v>
      </c>
      <c r="D204" s="27" t="s">
        <v>667</v>
      </c>
      <c r="E204" s="28" t="s">
        <v>46</v>
      </c>
      <c r="F204" s="29" t="s">
        <v>46</v>
      </c>
      <c r="G204" s="30" t="s">
        <v>46</v>
      </c>
      <c r="H204" s="31"/>
      <c r="I204" s="31" t="s">
        <v>634</v>
      </c>
      <c r="J204" s="32" t="n">
        <v>1.0</v>
      </c>
      <c r="K204" s="33" t="n">
        <f>12280</f>
        <v>12280.0</v>
      </c>
      <c r="L204" s="34" t="s">
        <v>48</v>
      </c>
      <c r="M204" s="33" t="n">
        <f>13080</f>
        <v>13080.0</v>
      </c>
      <c r="N204" s="34" t="s">
        <v>51</v>
      </c>
      <c r="O204" s="33" t="n">
        <f>11840</f>
        <v>11840.0</v>
      </c>
      <c r="P204" s="34" t="s">
        <v>171</v>
      </c>
      <c r="Q204" s="33" t="n">
        <f>13010</f>
        <v>13010.0</v>
      </c>
      <c r="R204" s="34" t="s">
        <v>51</v>
      </c>
      <c r="S204" s="35" t="n">
        <f>12552.27</f>
        <v>12552.27</v>
      </c>
      <c r="T204" s="32" t="n">
        <f>79552</f>
        <v>79552.0</v>
      </c>
      <c r="U204" s="32" t="n">
        <f>9004</f>
        <v>9004.0</v>
      </c>
      <c r="V204" s="32" t="n">
        <f>1006946170</f>
        <v>1.00694617E9</v>
      </c>
      <c r="W204" s="32" t="n">
        <f>114199790</f>
        <v>1.1419979E8</v>
      </c>
      <c r="X204" s="36" t="n">
        <f>22</f>
        <v>22.0</v>
      </c>
    </row>
    <row r="205">
      <c r="A205" s="27" t="s">
        <v>42</v>
      </c>
      <c r="B205" s="27" t="s">
        <v>668</v>
      </c>
      <c r="C205" s="27" t="s">
        <v>669</v>
      </c>
      <c r="D205" s="27" t="s">
        <v>670</v>
      </c>
      <c r="E205" s="28" t="s">
        <v>46</v>
      </c>
      <c r="F205" s="29" t="s">
        <v>46</v>
      </c>
      <c r="G205" s="30" t="s">
        <v>46</v>
      </c>
      <c r="H205" s="31"/>
      <c r="I205" s="31" t="s">
        <v>634</v>
      </c>
      <c r="J205" s="32" t="n">
        <v>1.0</v>
      </c>
      <c r="K205" s="33" t="n">
        <f>13440</f>
        <v>13440.0</v>
      </c>
      <c r="L205" s="34" t="s">
        <v>48</v>
      </c>
      <c r="M205" s="33" t="n">
        <f>13780</f>
        <v>13780.0</v>
      </c>
      <c r="N205" s="34" t="s">
        <v>171</v>
      </c>
      <c r="O205" s="33" t="n">
        <f>13010</f>
        <v>13010.0</v>
      </c>
      <c r="P205" s="34" t="s">
        <v>199</v>
      </c>
      <c r="Q205" s="33" t="n">
        <f>13050</f>
        <v>13050.0</v>
      </c>
      <c r="R205" s="34" t="s">
        <v>51</v>
      </c>
      <c r="S205" s="35" t="n">
        <f>13402.78</f>
        <v>13402.78</v>
      </c>
      <c r="T205" s="32" t="n">
        <f>310</f>
        <v>310.0</v>
      </c>
      <c r="U205" s="32" t="n">
        <f>2</f>
        <v>2.0</v>
      </c>
      <c r="V205" s="32" t="n">
        <f>4161620</f>
        <v>4161620.0</v>
      </c>
      <c r="W205" s="32" t="n">
        <f>26840</f>
        <v>26840.0</v>
      </c>
      <c r="X205" s="36" t="n">
        <f>18</f>
        <v>18.0</v>
      </c>
    </row>
    <row r="206">
      <c r="A206" s="27" t="s">
        <v>42</v>
      </c>
      <c r="B206" s="27" t="s">
        <v>671</v>
      </c>
      <c r="C206" s="27" t="s">
        <v>672</v>
      </c>
      <c r="D206" s="27" t="s">
        <v>673</v>
      </c>
      <c r="E206" s="28" t="s">
        <v>46</v>
      </c>
      <c r="F206" s="29" t="s">
        <v>46</v>
      </c>
      <c r="G206" s="30" t="s">
        <v>46</v>
      </c>
      <c r="H206" s="31"/>
      <c r="I206" s="31" t="s">
        <v>634</v>
      </c>
      <c r="J206" s="32" t="n">
        <v>1.0</v>
      </c>
      <c r="K206" s="33" t="n">
        <f>18780</f>
        <v>18780.0</v>
      </c>
      <c r="L206" s="34" t="s">
        <v>48</v>
      </c>
      <c r="M206" s="33" t="n">
        <f>19000</f>
        <v>19000.0</v>
      </c>
      <c r="N206" s="34" t="s">
        <v>171</v>
      </c>
      <c r="O206" s="33" t="n">
        <f>17890</f>
        <v>17890.0</v>
      </c>
      <c r="P206" s="34" t="s">
        <v>50</v>
      </c>
      <c r="Q206" s="33" t="n">
        <f>18730</f>
        <v>18730.0</v>
      </c>
      <c r="R206" s="34" t="s">
        <v>51</v>
      </c>
      <c r="S206" s="35" t="n">
        <f>18689.09</f>
        <v>18689.09</v>
      </c>
      <c r="T206" s="32" t="n">
        <f>49474</f>
        <v>49474.0</v>
      </c>
      <c r="U206" s="32" t="n">
        <f>8802</f>
        <v>8802.0</v>
      </c>
      <c r="V206" s="32" t="n">
        <f>923173650</f>
        <v>9.2317365E8</v>
      </c>
      <c r="W206" s="32" t="n">
        <f>164298880</f>
        <v>1.6429888E8</v>
      </c>
      <c r="X206" s="36" t="n">
        <f>22</f>
        <v>22.0</v>
      </c>
    </row>
    <row r="207">
      <c r="A207" s="27" t="s">
        <v>42</v>
      </c>
      <c r="B207" s="27" t="s">
        <v>674</v>
      </c>
      <c r="C207" s="27" t="s">
        <v>675</v>
      </c>
      <c r="D207" s="27" t="s">
        <v>676</v>
      </c>
      <c r="E207" s="28" t="s">
        <v>46</v>
      </c>
      <c r="F207" s="29" t="s">
        <v>46</v>
      </c>
      <c r="G207" s="30" t="s">
        <v>46</v>
      </c>
      <c r="H207" s="31"/>
      <c r="I207" s="31" t="s">
        <v>634</v>
      </c>
      <c r="J207" s="32" t="n">
        <v>1.0</v>
      </c>
      <c r="K207" s="33" t="n">
        <f>13470</f>
        <v>13470.0</v>
      </c>
      <c r="L207" s="34" t="s">
        <v>198</v>
      </c>
      <c r="M207" s="33" t="n">
        <f>13910</f>
        <v>13910.0</v>
      </c>
      <c r="N207" s="34" t="s">
        <v>49</v>
      </c>
      <c r="O207" s="33" t="n">
        <f>13380</f>
        <v>13380.0</v>
      </c>
      <c r="P207" s="34" t="s">
        <v>185</v>
      </c>
      <c r="Q207" s="33" t="n">
        <f>13720</f>
        <v>13720.0</v>
      </c>
      <c r="R207" s="34" t="s">
        <v>73</v>
      </c>
      <c r="S207" s="35" t="n">
        <f>13604.12</f>
        <v>13604.12</v>
      </c>
      <c r="T207" s="32" t="n">
        <f>670</f>
        <v>670.0</v>
      </c>
      <c r="U207" s="32" t="n">
        <f>2</f>
        <v>2.0</v>
      </c>
      <c r="V207" s="32" t="n">
        <f>9131780</f>
        <v>9131780.0</v>
      </c>
      <c r="W207" s="32" t="n">
        <f>27220</f>
        <v>27220.0</v>
      </c>
      <c r="X207" s="36" t="n">
        <f>17</f>
        <v>17.0</v>
      </c>
    </row>
    <row r="208">
      <c r="A208" s="27" t="s">
        <v>42</v>
      </c>
      <c r="B208" s="27" t="s">
        <v>677</v>
      </c>
      <c r="C208" s="27" t="s">
        <v>678</v>
      </c>
      <c r="D208" s="27" t="s">
        <v>679</v>
      </c>
      <c r="E208" s="28" t="s">
        <v>46</v>
      </c>
      <c r="F208" s="29" t="s">
        <v>46</v>
      </c>
      <c r="G208" s="30" t="s">
        <v>46</v>
      </c>
      <c r="H208" s="31"/>
      <c r="I208" s="31" t="s">
        <v>634</v>
      </c>
      <c r="J208" s="32" t="n">
        <v>1.0</v>
      </c>
      <c r="K208" s="33" t="n">
        <f>14490</f>
        <v>14490.0</v>
      </c>
      <c r="L208" s="34" t="s">
        <v>48</v>
      </c>
      <c r="M208" s="33" t="n">
        <f>15080</f>
        <v>15080.0</v>
      </c>
      <c r="N208" s="34" t="s">
        <v>49</v>
      </c>
      <c r="O208" s="33" t="n">
        <f>13770</f>
        <v>13770.0</v>
      </c>
      <c r="P208" s="34" t="s">
        <v>50</v>
      </c>
      <c r="Q208" s="33" t="n">
        <f>14840</f>
        <v>14840.0</v>
      </c>
      <c r="R208" s="34" t="s">
        <v>51</v>
      </c>
      <c r="S208" s="35" t="n">
        <f>14700</f>
        <v>14700.0</v>
      </c>
      <c r="T208" s="32" t="n">
        <f>49752</f>
        <v>49752.0</v>
      </c>
      <c r="U208" s="32" t="n">
        <f>13</f>
        <v>13.0</v>
      </c>
      <c r="V208" s="32" t="n">
        <f>728130180</f>
        <v>7.2813018E8</v>
      </c>
      <c r="W208" s="32" t="n">
        <f>190870</f>
        <v>190870.0</v>
      </c>
      <c r="X208" s="36" t="n">
        <f>22</f>
        <v>22.0</v>
      </c>
    </row>
    <row r="209">
      <c r="A209" s="27" t="s">
        <v>42</v>
      </c>
      <c r="B209" s="27" t="s">
        <v>680</v>
      </c>
      <c r="C209" s="27" t="s">
        <v>681</v>
      </c>
      <c r="D209" s="27" t="s">
        <v>682</v>
      </c>
      <c r="E209" s="28" t="s">
        <v>46</v>
      </c>
      <c r="F209" s="29" t="s">
        <v>46</v>
      </c>
      <c r="G209" s="30" t="s">
        <v>46</v>
      </c>
      <c r="H209" s="31"/>
      <c r="I209" s="31" t="s">
        <v>634</v>
      </c>
      <c r="J209" s="32" t="n">
        <v>1.0</v>
      </c>
      <c r="K209" s="33" t="n">
        <f>4525</f>
        <v>4525.0</v>
      </c>
      <c r="L209" s="34" t="s">
        <v>48</v>
      </c>
      <c r="M209" s="33" t="n">
        <f>4550</f>
        <v>4550.0</v>
      </c>
      <c r="N209" s="34" t="s">
        <v>50</v>
      </c>
      <c r="O209" s="33" t="n">
        <f>4275</f>
        <v>4275.0</v>
      </c>
      <c r="P209" s="34" t="s">
        <v>73</v>
      </c>
      <c r="Q209" s="33" t="n">
        <f>4320</f>
        <v>4320.0</v>
      </c>
      <c r="R209" s="34" t="s">
        <v>51</v>
      </c>
      <c r="S209" s="35" t="n">
        <f>4387.95</f>
        <v>4387.95</v>
      </c>
      <c r="T209" s="32" t="n">
        <f>5461</f>
        <v>5461.0</v>
      </c>
      <c r="U209" s="32" t="n">
        <f>2</f>
        <v>2.0</v>
      </c>
      <c r="V209" s="32" t="n">
        <f>23968145</f>
        <v>2.3968145E7</v>
      </c>
      <c r="W209" s="32" t="n">
        <f>8800</f>
        <v>8800.0</v>
      </c>
      <c r="X209" s="36" t="n">
        <f>22</f>
        <v>22.0</v>
      </c>
    </row>
    <row r="210">
      <c r="A210" s="27" t="s">
        <v>42</v>
      </c>
      <c r="B210" s="27" t="s">
        <v>683</v>
      </c>
      <c r="C210" s="27" t="s">
        <v>684</v>
      </c>
      <c r="D210" s="27" t="s">
        <v>685</v>
      </c>
      <c r="E210" s="28" t="s">
        <v>46</v>
      </c>
      <c r="F210" s="29" t="s">
        <v>46</v>
      </c>
      <c r="G210" s="30" t="s">
        <v>46</v>
      </c>
      <c r="H210" s="31"/>
      <c r="I210" s="31" t="s">
        <v>634</v>
      </c>
      <c r="J210" s="32" t="n">
        <v>1.0</v>
      </c>
      <c r="K210" s="33" t="n">
        <f>11190</f>
        <v>11190.0</v>
      </c>
      <c r="L210" s="34" t="s">
        <v>122</v>
      </c>
      <c r="M210" s="33" t="n">
        <f>11300</f>
        <v>11300.0</v>
      </c>
      <c r="N210" s="34" t="s">
        <v>175</v>
      </c>
      <c r="O210" s="33" t="n">
        <f>10660</f>
        <v>10660.0</v>
      </c>
      <c r="P210" s="34" t="s">
        <v>50</v>
      </c>
      <c r="Q210" s="33" t="n">
        <f>10930</f>
        <v>10930.0</v>
      </c>
      <c r="R210" s="34" t="s">
        <v>73</v>
      </c>
      <c r="S210" s="35" t="n">
        <f>11121.67</f>
        <v>11121.67</v>
      </c>
      <c r="T210" s="32" t="n">
        <f>1398</f>
        <v>1398.0</v>
      </c>
      <c r="U210" s="32" t="n">
        <f>2</f>
        <v>2.0</v>
      </c>
      <c r="V210" s="32" t="n">
        <f>15525150</f>
        <v>1.552515E7</v>
      </c>
      <c r="W210" s="32" t="n">
        <f>22340</f>
        <v>22340.0</v>
      </c>
      <c r="X210" s="36" t="n">
        <f>12</f>
        <v>12.0</v>
      </c>
    </row>
    <row r="211">
      <c r="A211" s="27" t="s">
        <v>42</v>
      </c>
      <c r="B211" s="27" t="s">
        <v>686</v>
      </c>
      <c r="C211" s="27" t="s">
        <v>687</v>
      </c>
      <c r="D211" s="27" t="s">
        <v>688</v>
      </c>
      <c r="E211" s="28" t="s">
        <v>46</v>
      </c>
      <c r="F211" s="29" t="s">
        <v>46</v>
      </c>
      <c r="G211" s="30" t="s">
        <v>46</v>
      </c>
      <c r="H211" s="31"/>
      <c r="I211" s="31" t="s">
        <v>634</v>
      </c>
      <c r="J211" s="32" t="n">
        <v>1.0</v>
      </c>
      <c r="K211" s="33" t="n">
        <f>12430</f>
        <v>12430.0</v>
      </c>
      <c r="L211" s="34" t="s">
        <v>122</v>
      </c>
      <c r="M211" s="33" t="n">
        <f>12760</f>
        <v>12760.0</v>
      </c>
      <c r="N211" s="34" t="s">
        <v>71</v>
      </c>
      <c r="O211" s="33" t="n">
        <f>12410</f>
        <v>12410.0</v>
      </c>
      <c r="P211" s="34" t="s">
        <v>122</v>
      </c>
      <c r="Q211" s="33" t="n">
        <f>12760</f>
        <v>12760.0</v>
      </c>
      <c r="R211" s="34" t="s">
        <v>71</v>
      </c>
      <c r="S211" s="35" t="n">
        <f>12592.86</f>
        <v>12592.86</v>
      </c>
      <c r="T211" s="32" t="n">
        <f>77</f>
        <v>77.0</v>
      </c>
      <c r="U211" s="32" t="str">
        <f>"－"</f>
        <v>－</v>
      </c>
      <c r="V211" s="32" t="n">
        <f>961140</f>
        <v>961140.0</v>
      </c>
      <c r="W211" s="32" t="str">
        <f>"－"</f>
        <v>－</v>
      </c>
      <c r="X211" s="36" t="n">
        <f>7</f>
        <v>7.0</v>
      </c>
    </row>
    <row r="212">
      <c r="A212" s="27" t="s">
        <v>42</v>
      </c>
      <c r="B212" s="27" t="s">
        <v>689</v>
      </c>
      <c r="C212" s="27" t="s">
        <v>690</v>
      </c>
      <c r="D212" s="27" t="s">
        <v>691</v>
      </c>
      <c r="E212" s="28" t="s">
        <v>46</v>
      </c>
      <c r="F212" s="29" t="s">
        <v>46</v>
      </c>
      <c r="G212" s="30" t="s">
        <v>46</v>
      </c>
      <c r="H212" s="31"/>
      <c r="I212" s="31" t="s">
        <v>634</v>
      </c>
      <c r="J212" s="32" t="n">
        <v>1.0</v>
      </c>
      <c r="K212" s="33" t="n">
        <f>12970</f>
        <v>12970.0</v>
      </c>
      <c r="L212" s="34" t="s">
        <v>105</v>
      </c>
      <c r="M212" s="33" t="n">
        <f>13030</f>
        <v>13030.0</v>
      </c>
      <c r="N212" s="34" t="s">
        <v>403</v>
      </c>
      <c r="O212" s="33" t="n">
        <f>12900</f>
        <v>12900.0</v>
      </c>
      <c r="P212" s="34" t="s">
        <v>105</v>
      </c>
      <c r="Q212" s="33" t="n">
        <f>13030</f>
        <v>13030.0</v>
      </c>
      <c r="R212" s="34" t="s">
        <v>403</v>
      </c>
      <c r="S212" s="35" t="n">
        <f>12965</f>
        <v>12965.0</v>
      </c>
      <c r="T212" s="32" t="n">
        <f>21</f>
        <v>21.0</v>
      </c>
      <c r="U212" s="32" t="n">
        <f>1</f>
        <v>1.0</v>
      </c>
      <c r="V212" s="32" t="n">
        <f>271730</f>
        <v>271730.0</v>
      </c>
      <c r="W212" s="32" t="n">
        <f>12900</f>
        <v>12900.0</v>
      </c>
      <c r="X212" s="36" t="n">
        <f>2</f>
        <v>2.0</v>
      </c>
    </row>
    <row r="213">
      <c r="A213" s="27" t="s">
        <v>42</v>
      </c>
      <c r="B213" s="27" t="s">
        <v>692</v>
      </c>
      <c r="C213" s="27" t="s">
        <v>693</v>
      </c>
      <c r="D213" s="27" t="s">
        <v>694</v>
      </c>
      <c r="E213" s="28" t="s">
        <v>46</v>
      </c>
      <c r="F213" s="29" t="s">
        <v>46</v>
      </c>
      <c r="G213" s="30" t="s">
        <v>46</v>
      </c>
      <c r="H213" s="31"/>
      <c r="I213" s="31" t="s">
        <v>634</v>
      </c>
      <c r="J213" s="32" t="n">
        <v>1.0</v>
      </c>
      <c r="K213" s="33" t="n">
        <f>13560</f>
        <v>13560.0</v>
      </c>
      <c r="L213" s="34" t="s">
        <v>48</v>
      </c>
      <c r="M213" s="33" t="n">
        <f>14470</f>
        <v>14470.0</v>
      </c>
      <c r="N213" s="34" t="s">
        <v>80</v>
      </c>
      <c r="O213" s="33" t="n">
        <f>13560</f>
        <v>13560.0</v>
      </c>
      <c r="P213" s="34" t="s">
        <v>48</v>
      </c>
      <c r="Q213" s="33" t="n">
        <f>14340</f>
        <v>14340.0</v>
      </c>
      <c r="R213" s="34" t="s">
        <v>73</v>
      </c>
      <c r="S213" s="35" t="n">
        <f>14108.57</f>
        <v>14108.57</v>
      </c>
      <c r="T213" s="32" t="n">
        <f>2318</f>
        <v>2318.0</v>
      </c>
      <c r="U213" s="32" t="n">
        <f>1</f>
        <v>1.0</v>
      </c>
      <c r="V213" s="32" t="n">
        <f>32409380</f>
        <v>3.240938E7</v>
      </c>
      <c r="W213" s="32" t="n">
        <f>13970</f>
        <v>13970.0</v>
      </c>
      <c r="X213" s="36" t="n">
        <f>14</f>
        <v>14.0</v>
      </c>
    </row>
    <row r="214">
      <c r="A214" s="27" t="s">
        <v>42</v>
      </c>
      <c r="B214" s="27" t="s">
        <v>695</v>
      </c>
      <c r="C214" s="27" t="s">
        <v>696</v>
      </c>
      <c r="D214" s="27" t="s">
        <v>697</v>
      </c>
      <c r="E214" s="28" t="s">
        <v>46</v>
      </c>
      <c r="F214" s="29" t="s">
        <v>46</v>
      </c>
      <c r="G214" s="30" t="s">
        <v>46</v>
      </c>
      <c r="H214" s="31"/>
      <c r="I214" s="31" t="s">
        <v>634</v>
      </c>
      <c r="J214" s="32" t="n">
        <v>1.0</v>
      </c>
      <c r="K214" s="33" t="n">
        <f>12800</f>
        <v>12800.0</v>
      </c>
      <c r="L214" s="34" t="s">
        <v>48</v>
      </c>
      <c r="M214" s="33" t="n">
        <f>13150</f>
        <v>13150.0</v>
      </c>
      <c r="N214" s="34" t="s">
        <v>90</v>
      </c>
      <c r="O214" s="33" t="n">
        <f>12400</f>
        <v>12400.0</v>
      </c>
      <c r="P214" s="34" t="s">
        <v>50</v>
      </c>
      <c r="Q214" s="33" t="n">
        <f>12830</f>
        <v>12830.0</v>
      </c>
      <c r="R214" s="34" t="s">
        <v>51</v>
      </c>
      <c r="S214" s="35" t="n">
        <f>12937.22</f>
        <v>12937.22</v>
      </c>
      <c r="T214" s="32" t="n">
        <f>6904</f>
        <v>6904.0</v>
      </c>
      <c r="U214" s="32" t="n">
        <f>2</f>
        <v>2.0</v>
      </c>
      <c r="V214" s="32" t="n">
        <f>89618480</f>
        <v>8.961848E7</v>
      </c>
      <c r="W214" s="32" t="n">
        <f>26010</f>
        <v>26010.0</v>
      </c>
      <c r="X214" s="36" t="n">
        <f>18</f>
        <v>18.0</v>
      </c>
    </row>
    <row r="215">
      <c r="A215" s="27" t="s">
        <v>42</v>
      </c>
      <c r="B215" s="27" t="s">
        <v>698</v>
      </c>
      <c r="C215" s="27" t="s">
        <v>699</v>
      </c>
      <c r="D215" s="27" t="s">
        <v>700</v>
      </c>
      <c r="E215" s="28" t="s">
        <v>46</v>
      </c>
      <c r="F215" s="29" t="s">
        <v>46</v>
      </c>
      <c r="G215" s="30" t="s">
        <v>46</v>
      </c>
      <c r="H215" s="31"/>
      <c r="I215" s="31" t="s">
        <v>634</v>
      </c>
      <c r="J215" s="32" t="n">
        <v>1.0</v>
      </c>
      <c r="K215" s="33" t="n">
        <f>13570</f>
        <v>13570.0</v>
      </c>
      <c r="L215" s="34" t="s">
        <v>198</v>
      </c>
      <c r="M215" s="33" t="n">
        <f>13600</f>
        <v>13600.0</v>
      </c>
      <c r="N215" s="34" t="s">
        <v>122</v>
      </c>
      <c r="O215" s="33" t="n">
        <f>13470</f>
        <v>13470.0</v>
      </c>
      <c r="P215" s="34" t="s">
        <v>198</v>
      </c>
      <c r="Q215" s="33" t="n">
        <f>13600</f>
        <v>13600.0</v>
      </c>
      <c r="R215" s="34" t="s">
        <v>67</v>
      </c>
      <c r="S215" s="35" t="n">
        <f>13567.5</f>
        <v>13567.5</v>
      </c>
      <c r="T215" s="32" t="n">
        <f>108</f>
        <v>108.0</v>
      </c>
      <c r="U215" s="32" t="n">
        <f>1</f>
        <v>1.0</v>
      </c>
      <c r="V215" s="32" t="n">
        <f>1468480</f>
        <v>1468480.0</v>
      </c>
      <c r="W215" s="32" t="n">
        <f>13600</f>
        <v>13600.0</v>
      </c>
      <c r="X215" s="36" t="n">
        <f>4</f>
        <v>4.0</v>
      </c>
    </row>
    <row r="216">
      <c r="A216" s="27" t="s">
        <v>42</v>
      </c>
      <c r="B216" s="27" t="s">
        <v>701</v>
      </c>
      <c r="C216" s="27" t="s">
        <v>702</v>
      </c>
      <c r="D216" s="27" t="s">
        <v>703</v>
      </c>
      <c r="E216" s="28" t="s">
        <v>46</v>
      </c>
      <c r="F216" s="29" t="s">
        <v>46</v>
      </c>
      <c r="G216" s="30" t="s">
        <v>46</v>
      </c>
      <c r="H216" s="31"/>
      <c r="I216" s="31" t="s">
        <v>634</v>
      </c>
      <c r="J216" s="32" t="n">
        <v>1.0</v>
      </c>
      <c r="K216" s="33" t="n">
        <f>12660</f>
        <v>12660.0</v>
      </c>
      <c r="L216" s="34" t="s">
        <v>94</v>
      </c>
      <c r="M216" s="33" t="n">
        <f>12690</f>
        <v>12690.0</v>
      </c>
      <c r="N216" s="34" t="s">
        <v>403</v>
      </c>
      <c r="O216" s="33" t="n">
        <f>12660</f>
        <v>12660.0</v>
      </c>
      <c r="P216" s="34" t="s">
        <v>94</v>
      </c>
      <c r="Q216" s="33" t="n">
        <f>12690</f>
        <v>12690.0</v>
      </c>
      <c r="R216" s="34" t="s">
        <v>403</v>
      </c>
      <c r="S216" s="35" t="n">
        <f>12675</f>
        <v>12675.0</v>
      </c>
      <c r="T216" s="32" t="n">
        <f>2</f>
        <v>2.0</v>
      </c>
      <c r="U216" s="32" t="str">
        <f>"－"</f>
        <v>－</v>
      </c>
      <c r="V216" s="32" t="n">
        <f>25350</f>
        <v>25350.0</v>
      </c>
      <c r="W216" s="32" t="str">
        <f>"－"</f>
        <v>－</v>
      </c>
      <c r="X216" s="36" t="n">
        <f>2</f>
        <v>2.0</v>
      </c>
    </row>
    <row r="217">
      <c r="A217" s="27" t="s">
        <v>42</v>
      </c>
      <c r="B217" s="27" t="s">
        <v>704</v>
      </c>
      <c r="C217" s="27" t="s">
        <v>705</v>
      </c>
      <c r="D217" s="27" t="s">
        <v>706</v>
      </c>
      <c r="E217" s="28" t="s">
        <v>46</v>
      </c>
      <c r="F217" s="29" t="s">
        <v>46</v>
      </c>
      <c r="G217" s="30" t="s">
        <v>46</v>
      </c>
      <c r="H217" s="31"/>
      <c r="I217" s="31" t="s">
        <v>634</v>
      </c>
      <c r="J217" s="32" t="n">
        <v>1.0</v>
      </c>
      <c r="K217" s="33" t="n">
        <f>9980</f>
        <v>9980.0</v>
      </c>
      <c r="L217" s="34" t="s">
        <v>48</v>
      </c>
      <c r="M217" s="33" t="n">
        <f>10330</f>
        <v>10330.0</v>
      </c>
      <c r="N217" s="34" t="s">
        <v>239</v>
      </c>
      <c r="O217" s="33" t="n">
        <f>9850</f>
        <v>9850.0</v>
      </c>
      <c r="P217" s="34" t="s">
        <v>50</v>
      </c>
      <c r="Q217" s="33" t="n">
        <f>10290</f>
        <v>10290.0</v>
      </c>
      <c r="R217" s="34" t="s">
        <v>51</v>
      </c>
      <c r="S217" s="35" t="n">
        <f>10122.22</f>
        <v>10122.22</v>
      </c>
      <c r="T217" s="32" t="n">
        <f>13243</f>
        <v>13243.0</v>
      </c>
      <c r="U217" s="32" t="n">
        <f>1</f>
        <v>1.0</v>
      </c>
      <c r="V217" s="32" t="n">
        <f>135179020</f>
        <v>1.3517902E8</v>
      </c>
      <c r="W217" s="32" t="n">
        <f>10150</f>
        <v>10150.0</v>
      </c>
      <c r="X217" s="36" t="n">
        <f>18</f>
        <v>18.0</v>
      </c>
    </row>
    <row r="218">
      <c r="A218" s="27" t="s">
        <v>42</v>
      </c>
      <c r="B218" s="27" t="s">
        <v>707</v>
      </c>
      <c r="C218" s="27" t="s">
        <v>708</v>
      </c>
      <c r="D218" s="27" t="s">
        <v>709</v>
      </c>
      <c r="E218" s="28" t="s">
        <v>46</v>
      </c>
      <c r="F218" s="29" t="s">
        <v>46</v>
      </c>
      <c r="G218" s="30" t="s">
        <v>46</v>
      </c>
      <c r="H218" s="31"/>
      <c r="I218" s="31" t="s">
        <v>634</v>
      </c>
      <c r="J218" s="32" t="n">
        <v>1.0</v>
      </c>
      <c r="K218" s="33" t="n">
        <f>10490</f>
        <v>10490.0</v>
      </c>
      <c r="L218" s="34" t="s">
        <v>48</v>
      </c>
      <c r="M218" s="33" t="n">
        <f>10980</f>
        <v>10980.0</v>
      </c>
      <c r="N218" s="34" t="s">
        <v>51</v>
      </c>
      <c r="O218" s="33" t="n">
        <f>10390</f>
        <v>10390.0</v>
      </c>
      <c r="P218" s="34" t="s">
        <v>198</v>
      </c>
      <c r="Q218" s="33" t="n">
        <f>10900</f>
        <v>10900.0</v>
      </c>
      <c r="R218" s="34" t="s">
        <v>51</v>
      </c>
      <c r="S218" s="35" t="n">
        <f>10703.64</f>
        <v>10703.64</v>
      </c>
      <c r="T218" s="32" t="n">
        <f>61237</f>
        <v>61237.0</v>
      </c>
      <c r="U218" s="32" t="n">
        <f>2</f>
        <v>2.0</v>
      </c>
      <c r="V218" s="32" t="n">
        <f>659211750</f>
        <v>6.5921175E8</v>
      </c>
      <c r="W218" s="32" t="n">
        <f>21780</f>
        <v>21780.0</v>
      </c>
      <c r="X218" s="36" t="n">
        <f>22</f>
        <v>22.0</v>
      </c>
    </row>
    <row r="219">
      <c r="A219" s="27" t="s">
        <v>42</v>
      </c>
      <c r="B219" s="27" t="s">
        <v>710</v>
      </c>
      <c r="C219" s="27" t="s">
        <v>711</v>
      </c>
      <c r="D219" s="27" t="s">
        <v>712</v>
      </c>
      <c r="E219" s="28" t="s">
        <v>46</v>
      </c>
      <c r="F219" s="29" t="s">
        <v>46</v>
      </c>
      <c r="G219" s="30" t="s">
        <v>46</v>
      </c>
      <c r="H219" s="31"/>
      <c r="I219" s="31" t="s">
        <v>634</v>
      </c>
      <c r="J219" s="32" t="n">
        <v>1.0</v>
      </c>
      <c r="K219" s="33" t="n">
        <f>10510</f>
        <v>10510.0</v>
      </c>
      <c r="L219" s="34" t="s">
        <v>48</v>
      </c>
      <c r="M219" s="33" t="n">
        <f>10690</f>
        <v>10690.0</v>
      </c>
      <c r="N219" s="34" t="s">
        <v>71</v>
      </c>
      <c r="O219" s="33" t="n">
        <f>10310</f>
        <v>10310.0</v>
      </c>
      <c r="P219" s="34" t="s">
        <v>50</v>
      </c>
      <c r="Q219" s="33" t="n">
        <f>10660</f>
        <v>10660.0</v>
      </c>
      <c r="R219" s="34" t="s">
        <v>51</v>
      </c>
      <c r="S219" s="35" t="n">
        <f>10583.81</f>
        <v>10583.81</v>
      </c>
      <c r="T219" s="32" t="n">
        <f>32856</f>
        <v>32856.0</v>
      </c>
      <c r="U219" s="32" t="n">
        <f>1</f>
        <v>1.0</v>
      </c>
      <c r="V219" s="32" t="n">
        <f>349114140</f>
        <v>3.4911414E8</v>
      </c>
      <c r="W219" s="32" t="n">
        <f>10630</f>
        <v>10630.0</v>
      </c>
      <c r="X219" s="36" t="n">
        <f>21</f>
        <v>21.0</v>
      </c>
    </row>
    <row r="220">
      <c r="A220" s="27" t="s">
        <v>42</v>
      </c>
      <c r="B220" s="27" t="s">
        <v>713</v>
      </c>
      <c r="C220" s="27" t="s">
        <v>714</v>
      </c>
      <c r="D220" s="27" t="s">
        <v>715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995</f>
        <v>995.0</v>
      </c>
      <c r="L220" s="34" t="s">
        <v>48</v>
      </c>
      <c r="M220" s="33" t="n">
        <f>999</f>
        <v>999.0</v>
      </c>
      <c r="N220" s="34" t="s">
        <v>50</v>
      </c>
      <c r="O220" s="33" t="n">
        <f>993</f>
        <v>993.0</v>
      </c>
      <c r="P220" s="34" t="s">
        <v>48</v>
      </c>
      <c r="Q220" s="33" t="n">
        <f>996</f>
        <v>996.0</v>
      </c>
      <c r="R220" s="34" t="s">
        <v>51</v>
      </c>
      <c r="S220" s="35" t="n">
        <f>995.5</f>
        <v>995.5</v>
      </c>
      <c r="T220" s="32" t="n">
        <f>3927250</f>
        <v>3927250.0</v>
      </c>
      <c r="U220" s="32" t="n">
        <f>2832930</f>
        <v>2832930.0</v>
      </c>
      <c r="V220" s="32" t="n">
        <f>3912836390</f>
        <v>3.91283639E9</v>
      </c>
      <c r="W220" s="32" t="n">
        <f>2823126730</f>
        <v>2.82312673E9</v>
      </c>
      <c r="X220" s="36" t="n">
        <f>22</f>
        <v>22.0</v>
      </c>
    </row>
    <row r="221">
      <c r="A221" s="27" t="s">
        <v>42</v>
      </c>
      <c r="B221" s="27" t="s">
        <v>716</v>
      </c>
      <c r="C221" s="27" t="s">
        <v>717</v>
      </c>
      <c r="D221" s="27" t="s">
        <v>718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1023</f>
        <v>1023.0</v>
      </c>
      <c r="L221" s="34" t="s">
        <v>48</v>
      </c>
      <c r="M221" s="33" t="n">
        <f>1030</f>
        <v>1030.0</v>
      </c>
      <c r="N221" s="34" t="s">
        <v>49</v>
      </c>
      <c r="O221" s="33" t="n">
        <f>1012</f>
        <v>1012.0</v>
      </c>
      <c r="P221" s="34" t="s">
        <v>50</v>
      </c>
      <c r="Q221" s="33" t="n">
        <f>1018</f>
        <v>1018.0</v>
      </c>
      <c r="R221" s="34" t="s">
        <v>51</v>
      </c>
      <c r="S221" s="35" t="n">
        <f>1022.36</f>
        <v>1022.36</v>
      </c>
      <c r="T221" s="32" t="n">
        <f>2145300</f>
        <v>2145300.0</v>
      </c>
      <c r="U221" s="32" t="n">
        <f>487040</f>
        <v>487040.0</v>
      </c>
      <c r="V221" s="32" t="n">
        <f>2195843595</f>
        <v>2.195843595E9</v>
      </c>
      <c r="W221" s="32" t="n">
        <f>500482085</f>
        <v>5.00482085E8</v>
      </c>
      <c r="X221" s="36" t="n">
        <f>22</f>
        <v>22.0</v>
      </c>
    </row>
    <row r="222">
      <c r="A222" s="27" t="s">
        <v>42</v>
      </c>
      <c r="B222" s="27" t="s">
        <v>719</v>
      </c>
      <c r="C222" s="27" t="s">
        <v>720</v>
      </c>
      <c r="D222" s="27" t="s">
        <v>721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1017</f>
        <v>1017.0</v>
      </c>
      <c r="L222" s="34" t="s">
        <v>48</v>
      </c>
      <c r="M222" s="33" t="n">
        <f>1023</f>
        <v>1023.0</v>
      </c>
      <c r="N222" s="34" t="s">
        <v>50</v>
      </c>
      <c r="O222" s="33" t="n">
        <f>1012</f>
        <v>1012.0</v>
      </c>
      <c r="P222" s="34" t="s">
        <v>198</v>
      </c>
      <c r="Q222" s="33" t="n">
        <f>1018</f>
        <v>1018.0</v>
      </c>
      <c r="R222" s="34" t="s">
        <v>51</v>
      </c>
      <c r="S222" s="35" t="n">
        <f>1017.18</f>
        <v>1017.18</v>
      </c>
      <c r="T222" s="32" t="n">
        <f>8223450</f>
        <v>8223450.0</v>
      </c>
      <c r="U222" s="32" t="n">
        <f>6379040</f>
        <v>6379040.0</v>
      </c>
      <c r="V222" s="32" t="n">
        <f>8375648841</f>
        <v>8.375648841E9</v>
      </c>
      <c r="W222" s="32" t="n">
        <f>6497698651</f>
        <v>6.497698651E9</v>
      </c>
      <c r="X222" s="36" t="n">
        <f>22</f>
        <v>22.0</v>
      </c>
    </row>
    <row r="223">
      <c r="A223" s="27" t="s">
        <v>42</v>
      </c>
      <c r="B223" s="27" t="s">
        <v>722</v>
      </c>
      <c r="C223" s="27" t="s">
        <v>723</v>
      </c>
      <c r="D223" s="27" t="s">
        <v>724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1470</f>
        <v>1470.0</v>
      </c>
      <c r="L223" s="34" t="s">
        <v>48</v>
      </c>
      <c r="M223" s="33" t="n">
        <f>1519</f>
        <v>1519.0</v>
      </c>
      <c r="N223" s="34" t="s">
        <v>51</v>
      </c>
      <c r="O223" s="33" t="n">
        <f>1450</f>
        <v>1450.0</v>
      </c>
      <c r="P223" s="34" t="s">
        <v>50</v>
      </c>
      <c r="Q223" s="33" t="n">
        <f>1513</f>
        <v>1513.0</v>
      </c>
      <c r="R223" s="34" t="s">
        <v>51</v>
      </c>
      <c r="S223" s="35" t="n">
        <f>1490.64</f>
        <v>1490.64</v>
      </c>
      <c r="T223" s="32" t="n">
        <f>1862120</f>
        <v>1862120.0</v>
      </c>
      <c r="U223" s="32" t="n">
        <f>1273670</f>
        <v>1273670.0</v>
      </c>
      <c r="V223" s="32" t="n">
        <f>2780402608</f>
        <v>2.780402608E9</v>
      </c>
      <c r="W223" s="32" t="n">
        <f>1902104638</f>
        <v>1.902104638E9</v>
      </c>
      <c r="X223" s="36" t="n">
        <f>22</f>
        <v>22.0</v>
      </c>
    </row>
    <row r="224">
      <c r="A224" s="27" t="s">
        <v>42</v>
      </c>
      <c r="B224" s="27" t="s">
        <v>725</v>
      </c>
      <c r="C224" s="27" t="s">
        <v>726</v>
      </c>
      <c r="D224" s="27" t="s">
        <v>727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1450</f>
        <v>1450.0</v>
      </c>
      <c r="L224" s="34" t="s">
        <v>48</v>
      </c>
      <c r="M224" s="33" t="n">
        <f>1487</f>
        <v>1487.0</v>
      </c>
      <c r="N224" s="34" t="s">
        <v>51</v>
      </c>
      <c r="O224" s="33" t="n">
        <f>1437</f>
        <v>1437.0</v>
      </c>
      <c r="P224" s="34" t="s">
        <v>50</v>
      </c>
      <c r="Q224" s="33" t="n">
        <f>1483</f>
        <v>1483.0</v>
      </c>
      <c r="R224" s="34" t="s">
        <v>51</v>
      </c>
      <c r="S224" s="35" t="n">
        <f>1463.45</f>
        <v>1463.45</v>
      </c>
      <c r="T224" s="32" t="n">
        <f>657470</f>
        <v>657470.0</v>
      </c>
      <c r="U224" s="32" t="n">
        <f>550020</f>
        <v>550020.0</v>
      </c>
      <c r="V224" s="32" t="n">
        <f>959032210</f>
        <v>9.5903221E8</v>
      </c>
      <c r="W224" s="32" t="n">
        <f>801429640</f>
        <v>8.0142964E8</v>
      </c>
      <c r="X224" s="36" t="n">
        <f>22</f>
        <v>22.0</v>
      </c>
    </row>
    <row r="225">
      <c r="A225" s="27" t="s">
        <v>42</v>
      </c>
      <c r="B225" s="27" t="s">
        <v>728</v>
      </c>
      <c r="C225" s="27" t="s">
        <v>729</v>
      </c>
      <c r="D225" s="27" t="s">
        <v>730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1108</f>
        <v>1108.0</v>
      </c>
      <c r="L225" s="34" t="s">
        <v>48</v>
      </c>
      <c r="M225" s="33" t="n">
        <f>1170</f>
        <v>1170.0</v>
      </c>
      <c r="N225" s="34" t="s">
        <v>80</v>
      </c>
      <c r="O225" s="33" t="n">
        <f>1100</f>
        <v>1100.0</v>
      </c>
      <c r="P225" s="34" t="s">
        <v>48</v>
      </c>
      <c r="Q225" s="33" t="n">
        <f>1143</f>
        <v>1143.0</v>
      </c>
      <c r="R225" s="34" t="s">
        <v>51</v>
      </c>
      <c r="S225" s="35" t="n">
        <f>1142.64</f>
        <v>1142.64</v>
      </c>
      <c r="T225" s="32" t="n">
        <f>1307970</f>
        <v>1307970.0</v>
      </c>
      <c r="U225" s="32" t="n">
        <f>342490</f>
        <v>342490.0</v>
      </c>
      <c r="V225" s="32" t="n">
        <f>1495943558</f>
        <v>1.495943558E9</v>
      </c>
      <c r="W225" s="32" t="n">
        <f>393188018</f>
        <v>3.93188018E8</v>
      </c>
      <c r="X225" s="36" t="n">
        <f>22</f>
        <v>22.0</v>
      </c>
    </row>
    <row r="226">
      <c r="A226" s="27" t="s">
        <v>42</v>
      </c>
      <c r="B226" s="27" t="s">
        <v>731</v>
      </c>
      <c r="C226" s="27" t="s">
        <v>732</v>
      </c>
      <c r="D226" s="27" t="s">
        <v>733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10.0</v>
      </c>
      <c r="K226" s="33" t="n">
        <f>873</f>
        <v>873.0</v>
      </c>
      <c r="L226" s="34" t="s">
        <v>48</v>
      </c>
      <c r="M226" s="33" t="n">
        <f>930</f>
        <v>930.0</v>
      </c>
      <c r="N226" s="34" t="s">
        <v>51</v>
      </c>
      <c r="O226" s="33" t="n">
        <f>851</f>
        <v>851.0</v>
      </c>
      <c r="P226" s="34" t="s">
        <v>171</v>
      </c>
      <c r="Q226" s="33" t="n">
        <f>930</f>
        <v>930.0</v>
      </c>
      <c r="R226" s="34" t="s">
        <v>51</v>
      </c>
      <c r="S226" s="35" t="n">
        <f>900.36</f>
        <v>900.36</v>
      </c>
      <c r="T226" s="32" t="n">
        <f>13844510</f>
        <v>1.384451E7</v>
      </c>
      <c r="U226" s="32" t="n">
        <f>62600</f>
        <v>62600.0</v>
      </c>
      <c r="V226" s="32" t="n">
        <f>12375612488</f>
        <v>1.2375612488E10</v>
      </c>
      <c r="W226" s="32" t="n">
        <f>57094088</f>
        <v>5.7094088E7</v>
      </c>
      <c r="X226" s="36" t="n">
        <f>22</f>
        <v>22.0</v>
      </c>
    </row>
    <row r="227">
      <c r="A227" s="27" t="s">
        <v>42</v>
      </c>
      <c r="B227" s="27" t="s">
        <v>734</v>
      </c>
      <c r="C227" s="27" t="s">
        <v>735</v>
      </c>
      <c r="D227" s="27" t="s">
        <v>736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1219</f>
        <v>1219.0</v>
      </c>
      <c r="L227" s="34" t="s">
        <v>48</v>
      </c>
      <c r="M227" s="33" t="n">
        <f>1272</f>
        <v>1272.0</v>
      </c>
      <c r="N227" s="34" t="s">
        <v>98</v>
      </c>
      <c r="O227" s="33" t="n">
        <f>1211</f>
        <v>1211.0</v>
      </c>
      <c r="P227" s="34" t="s">
        <v>48</v>
      </c>
      <c r="Q227" s="33" t="n">
        <f>1261</f>
        <v>1261.0</v>
      </c>
      <c r="R227" s="34" t="s">
        <v>51</v>
      </c>
      <c r="S227" s="35" t="n">
        <f>1252.68</f>
        <v>1252.68</v>
      </c>
      <c r="T227" s="32" t="n">
        <f>277120</f>
        <v>277120.0</v>
      </c>
      <c r="U227" s="32" t="n">
        <f>70</f>
        <v>70.0</v>
      </c>
      <c r="V227" s="32" t="n">
        <f>344472150</f>
        <v>3.4447215E8</v>
      </c>
      <c r="W227" s="32" t="n">
        <f>87600</f>
        <v>87600.0</v>
      </c>
      <c r="X227" s="36" t="n">
        <f>22</f>
        <v>22.0</v>
      </c>
    </row>
    <row r="228">
      <c r="A228" s="27" t="s">
        <v>42</v>
      </c>
      <c r="B228" s="27" t="s">
        <v>737</v>
      </c>
      <c r="C228" s="27" t="s">
        <v>738</v>
      </c>
      <c r="D228" s="27" t="s">
        <v>739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1102</f>
        <v>1102.0</v>
      </c>
      <c r="L228" s="34" t="s">
        <v>48</v>
      </c>
      <c r="M228" s="33" t="n">
        <f>1140</f>
        <v>1140.0</v>
      </c>
      <c r="N228" s="34" t="s">
        <v>105</v>
      </c>
      <c r="O228" s="33" t="n">
        <f>1083</f>
        <v>1083.0</v>
      </c>
      <c r="P228" s="34" t="s">
        <v>50</v>
      </c>
      <c r="Q228" s="33" t="n">
        <f>1117</f>
        <v>1117.0</v>
      </c>
      <c r="R228" s="34" t="s">
        <v>51</v>
      </c>
      <c r="S228" s="35" t="n">
        <f>1114.73</f>
        <v>1114.73</v>
      </c>
      <c r="T228" s="32" t="n">
        <f>13024</f>
        <v>13024.0</v>
      </c>
      <c r="U228" s="32" t="n">
        <f>1</f>
        <v>1.0</v>
      </c>
      <c r="V228" s="32" t="n">
        <f>14547510</f>
        <v>1.454751E7</v>
      </c>
      <c r="W228" s="32" t="n">
        <f>1117</f>
        <v>1117.0</v>
      </c>
      <c r="X228" s="36" t="n">
        <f>22</f>
        <v>22.0</v>
      </c>
    </row>
    <row r="229">
      <c r="A229" s="27" t="s">
        <v>42</v>
      </c>
      <c r="B229" s="27" t="s">
        <v>740</v>
      </c>
      <c r="C229" s="27" t="s">
        <v>741</v>
      </c>
      <c r="D229" s="27" t="s">
        <v>742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10.0</v>
      </c>
      <c r="K229" s="33" t="n">
        <f>1034</f>
        <v>1034.0</v>
      </c>
      <c r="L229" s="34" t="s">
        <v>48</v>
      </c>
      <c r="M229" s="33" t="n">
        <f>1059</f>
        <v>1059.0</v>
      </c>
      <c r="N229" s="34" t="s">
        <v>73</v>
      </c>
      <c r="O229" s="33" t="n">
        <f>1026</f>
        <v>1026.0</v>
      </c>
      <c r="P229" s="34" t="s">
        <v>122</v>
      </c>
      <c r="Q229" s="33" t="n">
        <f>1049</f>
        <v>1049.0</v>
      </c>
      <c r="R229" s="34" t="s">
        <v>51</v>
      </c>
      <c r="S229" s="35" t="n">
        <f>1043.82</f>
        <v>1043.82</v>
      </c>
      <c r="T229" s="32" t="n">
        <f>154960</f>
        <v>154960.0</v>
      </c>
      <c r="U229" s="32" t="n">
        <f>90460</f>
        <v>90460.0</v>
      </c>
      <c r="V229" s="32" t="n">
        <f>162038528</f>
        <v>1.62038528E8</v>
      </c>
      <c r="W229" s="32" t="n">
        <f>94734638</f>
        <v>9.4734638E7</v>
      </c>
      <c r="X229" s="36" t="n">
        <f>22</f>
        <v>22.0</v>
      </c>
    </row>
    <row r="230">
      <c r="A230" s="27" t="s">
        <v>42</v>
      </c>
      <c r="B230" s="27" t="s">
        <v>743</v>
      </c>
      <c r="C230" s="27" t="s">
        <v>744</v>
      </c>
      <c r="D230" s="27" t="s">
        <v>745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10.0</v>
      </c>
      <c r="K230" s="33" t="n">
        <f>1296</f>
        <v>1296.0</v>
      </c>
      <c r="L230" s="34" t="s">
        <v>48</v>
      </c>
      <c r="M230" s="33" t="n">
        <f>1323</f>
        <v>1323.0</v>
      </c>
      <c r="N230" s="34" t="s">
        <v>239</v>
      </c>
      <c r="O230" s="33" t="n">
        <f>1268</f>
        <v>1268.0</v>
      </c>
      <c r="P230" s="34" t="s">
        <v>50</v>
      </c>
      <c r="Q230" s="33" t="n">
        <f>1317</f>
        <v>1317.0</v>
      </c>
      <c r="R230" s="34" t="s">
        <v>51</v>
      </c>
      <c r="S230" s="35" t="n">
        <f>1303.59</f>
        <v>1303.59</v>
      </c>
      <c r="T230" s="32" t="n">
        <f>133770</f>
        <v>133770.0</v>
      </c>
      <c r="U230" s="32" t="n">
        <f>54400</f>
        <v>54400.0</v>
      </c>
      <c r="V230" s="32" t="n">
        <f>174351573</f>
        <v>1.74351573E8</v>
      </c>
      <c r="W230" s="32" t="n">
        <f>70928793</f>
        <v>7.0928793E7</v>
      </c>
      <c r="X230" s="36" t="n">
        <f>22</f>
        <v>22.0</v>
      </c>
    </row>
    <row r="231">
      <c r="A231" s="27" t="s">
        <v>42</v>
      </c>
      <c r="B231" s="27" t="s">
        <v>746</v>
      </c>
      <c r="C231" s="27" t="s">
        <v>747</v>
      </c>
      <c r="D231" s="27" t="s">
        <v>748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10.0</v>
      </c>
      <c r="K231" s="33" t="n">
        <f>1466</f>
        <v>1466.0</v>
      </c>
      <c r="L231" s="34" t="s">
        <v>48</v>
      </c>
      <c r="M231" s="33" t="n">
        <f>1501</f>
        <v>1501.0</v>
      </c>
      <c r="N231" s="34" t="s">
        <v>51</v>
      </c>
      <c r="O231" s="33" t="n">
        <f>1443</f>
        <v>1443.0</v>
      </c>
      <c r="P231" s="34" t="s">
        <v>50</v>
      </c>
      <c r="Q231" s="33" t="n">
        <f>1499</f>
        <v>1499.0</v>
      </c>
      <c r="R231" s="34" t="s">
        <v>51</v>
      </c>
      <c r="S231" s="35" t="n">
        <f>1476.86</f>
        <v>1476.86</v>
      </c>
      <c r="T231" s="32" t="n">
        <f>11976260</f>
        <v>1.197626E7</v>
      </c>
      <c r="U231" s="32" t="n">
        <f>1351100</f>
        <v>1351100.0</v>
      </c>
      <c r="V231" s="32" t="n">
        <f>17688874760</f>
        <v>1.768887476E10</v>
      </c>
      <c r="W231" s="32" t="n">
        <f>1985811990</f>
        <v>1.98581199E9</v>
      </c>
      <c r="X231" s="36" t="n">
        <f>22</f>
        <v>22.0</v>
      </c>
    </row>
    <row r="232">
      <c r="A232" s="27" t="s">
        <v>42</v>
      </c>
      <c r="B232" s="27" t="s">
        <v>749</v>
      </c>
      <c r="C232" s="27" t="s">
        <v>750</v>
      </c>
      <c r="D232" s="27" t="s">
        <v>751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1.0</v>
      </c>
      <c r="K232" s="33" t="n">
        <f>3670</f>
        <v>3670.0</v>
      </c>
      <c r="L232" s="34" t="s">
        <v>48</v>
      </c>
      <c r="M232" s="33" t="n">
        <f>3870</f>
        <v>3870.0</v>
      </c>
      <c r="N232" s="34" t="s">
        <v>51</v>
      </c>
      <c r="O232" s="33" t="n">
        <f>3630</f>
        <v>3630.0</v>
      </c>
      <c r="P232" s="34" t="s">
        <v>48</v>
      </c>
      <c r="Q232" s="33" t="n">
        <f>3860</f>
        <v>3860.0</v>
      </c>
      <c r="R232" s="34" t="s">
        <v>51</v>
      </c>
      <c r="S232" s="35" t="n">
        <f>3725.45</f>
        <v>3725.45</v>
      </c>
      <c r="T232" s="32" t="n">
        <f>70623</f>
        <v>70623.0</v>
      </c>
      <c r="U232" s="32" t="str">
        <f>"－"</f>
        <v>－</v>
      </c>
      <c r="V232" s="32" t="n">
        <f>263842495</f>
        <v>2.63842495E8</v>
      </c>
      <c r="W232" s="32" t="str">
        <f>"－"</f>
        <v>－</v>
      </c>
      <c r="X232" s="36" t="n">
        <f>22</f>
        <v>22.0</v>
      </c>
    </row>
    <row r="233">
      <c r="A233" s="27" t="s">
        <v>42</v>
      </c>
      <c r="B233" s="27" t="s">
        <v>752</v>
      </c>
      <c r="C233" s="27" t="s">
        <v>753</v>
      </c>
      <c r="D233" s="27" t="s">
        <v>754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1719</f>
        <v>1719.0</v>
      </c>
      <c r="L233" s="34" t="s">
        <v>48</v>
      </c>
      <c r="M233" s="33" t="n">
        <f>1745</f>
        <v>1745.0</v>
      </c>
      <c r="N233" s="34" t="s">
        <v>80</v>
      </c>
      <c r="O233" s="33" t="n">
        <f>1702</f>
        <v>1702.0</v>
      </c>
      <c r="P233" s="34" t="s">
        <v>403</v>
      </c>
      <c r="Q233" s="33" t="n">
        <f>1725</f>
        <v>1725.0</v>
      </c>
      <c r="R233" s="34" t="s">
        <v>51</v>
      </c>
      <c r="S233" s="35" t="n">
        <f>1720.46</f>
        <v>1720.46</v>
      </c>
      <c r="T233" s="32" t="n">
        <f>2040</f>
        <v>2040.0</v>
      </c>
      <c r="U233" s="32" t="n">
        <f>10</f>
        <v>10.0</v>
      </c>
      <c r="V233" s="32" t="n">
        <f>3510020</f>
        <v>3510020.0</v>
      </c>
      <c r="W233" s="32" t="n">
        <f>17250</f>
        <v>17250.0</v>
      </c>
      <c r="X233" s="36" t="n">
        <f>13</f>
        <v>13.0</v>
      </c>
    </row>
    <row r="234">
      <c r="A234" s="27" t="s">
        <v>42</v>
      </c>
      <c r="B234" s="27" t="s">
        <v>755</v>
      </c>
      <c r="C234" s="27" t="s">
        <v>756</v>
      </c>
      <c r="D234" s="27" t="s">
        <v>757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2004</f>
        <v>2004.0</v>
      </c>
      <c r="L234" s="34" t="s">
        <v>122</v>
      </c>
      <c r="M234" s="33" t="n">
        <f>2022</f>
        <v>2022.0</v>
      </c>
      <c r="N234" s="34" t="s">
        <v>49</v>
      </c>
      <c r="O234" s="33" t="n">
        <f>2001</f>
        <v>2001.0</v>
      </c>
      <c r="P234" s="34" t="s">
        <v>67</v>
      </c>
      <c r="Q234" s="33" t="n">
        <f>2012</f>
        <v>2012.0</v>
      </c>
      <c r="R234" s="34" t="s">
        <v>239</v>
      </c>
      <c r="S234" s="35" t="n">
        <f>2010.5</f>
        <v>2010.5</v>
      </c>
      <c r="T234" s="32" t="n">
        <f>39460</f>
        <v>39460.0</v>
      </c>
      <c r="U234" s="32" t="str">
        <f>"－"</f>
        <v>－</v>
      </c>
      <c r="V234" s="32" t="n">
        <f>79196750</f>
        <v>7.919675E7</v>
      </c>
      <c r="W234" s="32" t="str">
        <f>"－"</f>
        <v>－</v>
      </c>
      <c r="X234" s="36" t="n">
        <f>6</f>
        <v>6.0</v>
      </c>
    </row>
    <row r="235">
      <c r="A235" s="27" t="s">
        <v>42</v>
      </c>
      <c r="B235" s="27" t="s">
        <v>758</v>
      </c>
      <c r="C235" s="27" t="s">
        <v>759</v>
      </c>
      <c r="D235" s="27" t="s">
        <v>760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1.0</v>
      </c>
      <c r="K235" s="33" t="n">
        <f>29060</f>
        <v>29060.0</v>
      </c>
      <c r="L235" s="34" t="s">
        <v>198</v>
      </c>
      <c r="M235" s="33" t="n">
        <f>29590</f>
        <v>29590.0</v>
      </c>
      <c r="N235" s="34" t="s">
        <v>90</v>
      </c>
      <c r="O235" s="33" t="n">
        <f>28200</f>
        <v>28200.0</v>
      </c>
      <c r="P235" s="34" t="s">
        <v>50</v>
      </c>
      <c r="Q235" s="33" t="n">
        <f>29270</f>
        <v>29270.0</v>
      </c>
      <c r="R235" s="34" t="s">
        <v>413</v>
      </c>
      <c r="S235" s="35" t="n">
        <f>29150</f>
        <v>29150.0</v>
      </c>
      <c r="T235" s="32" t="n">
        <f>79583</f>
        <v>79583.0</v>
      </c>
      <c r="U235" s="32" t="n">
        <f>20000</f>
        <v>20000.0</v>
      </c>
      <c r="V235" s="32" t="n">
        <f>2267783920</f>
        <v>2.26778392E9</v>
      </c>
      <c r="W235" s="32" t="n">
        <f>569960000</f>
        <v>5.6996E8</v>
      </c>
      <c r="X235" s="36" t="n">
        <f>6</f>
        <v>6.0</v>
      </c>
    </row>
    <row r="236">
      <c r="A236" s="27" t="s">
        <v>42</v>
      </c>
      <c r="B236" s="27" t="s">
        <v>761</v>
      </c>
      <c r="C236" s="27" t="s">
        <v>762</v>
      </c>
      <c r="D236" s="27" t="s">
        <v>763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17620</f>
        <v>17620.0</v>
      </c>
      <c r="L236" s="34" t="s">
        <v>198</v>
      </c>
      <c r="M236" s="33" t="n">
        <f>18080</f>
        <v>18080.0</v>
      </c>
      <c r="N236" s="34" t="s">
        <v>94</v>
      </c>
      <c r="O236" s="33" t="n">
        <f>17620</f>
        <v>17620.0</v>
      </c>
      <c r="P236" s="34" t="s">
        <v>198</v>
      </c>
      <c r="Q236" s="33" t="n">
        <f>17880</f>
        <v>17880.0</v>
      </c>
      <c r="R236" s="34" t="s">
        <v>73</v>
      </c>
      <c r="S236" s="35" t="n">
        <f>17943.08</f>
        <v>17943.08</v>
      </c>
      <c r="T236" s="32" t="n">
        <f>18070</f>
        <v>18070.0</v>
      </c>
      <c r="U236" s="32" t="str">
        <f>"－"</f>
        <v>－</v>
      </c>
      <c r="V236" s="32" t="n">
        <f>324685390</f>
        <v>3.2468539E8</v>
      </c>
      <c r="W236" s="32" t="str">
        <f>"－"</f>
        <v>－</v>
      </c>
      <c r="X236" s="36" t="n">
        <f>13</f>
        <v>13.0</v>
      </c>
    </row>
    <row r="237">
      <c r="A237" s="27" t="s">
        <v>42</v>
      </c>
      <c r="B237" s="27" t="s">
        <v>764</v>
      </c>
      <c r="C237" s="27" t="s">
        <v>765</v>
      </c>
      <c r="D237" s="27" t="s">
        <v>766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10.0</v>
      </c>
      <c r="K237" s="33" t="n">
        <f>1250</f>
        <v>1250.0</v>
      </c>
      <c r="L237" s="34" t="s">
        <v>198</v>
      </c>
      <c r="M237" s="33" t="n">
        <f>1286</f>
        <v>1286.0</v>
      </c>
      <c r="N237" s="34" t="s">
        <v>67</v>
      </c>
      <c r="O237" s="33" t="n">
        <f>1250</f>
        <v>1250.0</v>
      </c>
      <c r="P237" s="34" t="s">
        <v>198</v>
      </c>
      <c r="Q237" s="33" t="n">
        <f>1274</f>
        <v>1274.0</v>
      </c>
      <c r="R237" s="34" t="s">
        <v>403</v>
      </c>
      <c r="S237" s="35" t="n">
        <f>1267.7</f>
        <v>1267.7</v>
      </c>
      <c r="T237" s="32" t="n">
        <f>253780</f>
        <v>253780.0</v>
      </c>
      <c r="U237" s="32" t="n">
        <f>75000</f>
        <v>75000.0</v>
      </c>
      <c r="V237" s="32" t="n">
        <f>320151640</f>
        <v>3.2015164E8</v>
      </c>
      <c r="W237" s="32" t="n">
        <f>94354500</f>
        <v>9.43545E7</v>
      </c>
      <c r="X237" s="36" t="n">
        <f>10</f>
        <v>10.0</v>
      </c>
    </row>
    <row r="238">
      <c r="A238" s="27" t="s">
        <v>42</v>
      </c>
      <c r="B238" s="27" t="s">
        <v>767</v>
      </c>
      <c r="C238" s="27" t="s">
        <v>768</v>
      </c>
      <c r="D238" s="27" t="s">
        <v>769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10.0</v>
      </c>
      <c r="K238" s="33" t="n">
        <f>1225</f>
        <v>1225.0</v>
      </c>
      <c r="L238" s="34" t="s">
        <v>48</v>
      </c>
      <c r="M238" s="33" t="n">
        <f>1271</f>
        <v>1271.0</v>
      </c>
      <c r="N238" s="34" t="s">
        <v>94</v>
      </c>
      <c r="O238" s="33" t="n">
        <f>1215</f>
        <v>1215.0</v>
      </c>
      <c r="P238" s="34" t="s">
        <v>48</v>
      </c>
      <c r="Q238" s="33" t="n">
        <f>1266</f>
        <v>1266.0</v>
      </c>
      <c r="R238" s="34" t="s">
        <v>51</v>
      </c>
      <c r="S238" s="35" t="n">
        <f>1252.86</f>
        <v>1252.86</v>
      </c>
      <c r="T238" s="32" t="n">
        <f>177190</f>
        <v>177190.0</v>
      </c>
      <c r="U238" s="32" t="n">
        <f>20</f>
        <v>20.0</v>
      </c>
      <c r="V238" s="32" t="n">
        <f>223432350</f>
        <v>2.2343235E8</v>
      </c>
      <c r="W238" s="32" t="n">
        <f>25100</f>
        <v>25100.0</v>
      </c>
      <c r="X238" s="36" t="n">
        <f>22</f>
        <v>22.0</v>
      </c>
    </row>
    <row r="239">
      <c r="A239" s="27" t="s">
        <v>42</v>
      </c>
      <c r="B239" s="27" t="s">
        <v>770</v>
      </c>
      <c r="C239" s="27" t="s">
        <v>771</v>
      </c>
      <c r="D239" s="27" t="s">
        <v>772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1099</f>
        <v>1099.0</v>
      </c>
      <c r="L239" s="34" t="s">
        <v>48</v>
      </c>
      <c r="M239" s="33" t="n">
        <f>1130</f>
        <v>1130.0</v>
      </c>
      <c r="N239" s="34" t="s">
        <v>105</v>
      </c>
      <c r="O239" s="33" t="n">
        <f>1068</f>
        <v>1068.0</v>
      </c>
      <c r="P239" s="34" t="s">
        <v>50</v>
      </c>
      <c r="Q239" s="33" t="n">
        <f>1106</f>
        <v>1106.0</v>
      </c>
      <c r="R239" s="34" t="s">
        <v>51</v>
      </c>
      <c r="S239" s="35" t="n">
        <f>1110.05</f>
        <v>1110.05</v>
      </c>
      <c r="T239" s="32" t="n">
        <f>36951</f>
        <v>36951.0</v>
      </c>
      <c r="U239" s="32" t="n">
        <f>6</f>
        <v>6.0</v>
      </c>
      <c r="V239" s="32" t="n">
        <f>40905933</f>
        <v>4.0905933E7</v>
      </c>
      <c r="W239" s="32" t="n">
        <f>6678</f>
        <v>6678.0</v>
      </c>
      <c r="X239" s="36" t="n">
        <f>22</f>
        <v>22.0</v>
      </c>
    </row>
    <row r="240">
      <c r="A240" s="27" t="s">
        <v>42</v>
      </c>
      <c r="B240" s="27" t="s">
        <v>773</v>
      </c>
      <c r="C240" s="27" t="s">
        <v>774</v>
      </c>
      <c r="D240" s="27" t="s">
        <v>775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14170</f>
        <v>14170.0</v>
      </c>
      <c r="L240" s="34" t="s">
        <v>48</v>
      </c>
      <c r="M240" s="33" t="n">
        <f>14180</f>
        <v>14180.0</v>
      </c>
      <c r="N240" s="34" t="s">
        <v>198</v>
      </c>
      <c r="O240" s="33" t="n">
        <f>13170</f>
        <v>13170.0</v>
      </c>
      <c r="P240" s="34" t="s">
        <v>175</v>
      </c>
      <c r="Q240" s="33" t="n">
        <f>13840</f>
        <v>13840.0</v>
      </c>
      <c r="R240" s="34" t="s">
        <v>51</v>
      </c>
      <c r="S240" s="35" t="n">
        <f>13845.45</f>
        <v>13845.45</v>
      </c>
      <c r="T240" s="32" t="n">
        <f>2785</f>
        <v>2785.0</v>
      </c>
      <c r="U240" s="32" t="n">
        <f>9</f>
        <v>9.0</v>
      </c>
      <c r="V240" s="32" t="n">
        <f>38399580</f>
        <v>3.839958E7</v>
      </c>
      <c r="W240" s="32" t="n">
        <f>124260</f>
        <v>124260.0</v>
      </c>
      <c r="X240" s="36" t="n">
        <f>22</f>
        <v>22.0</v>
      </c>
    </row>
    <row r="241">
      <c r="A241" s="27" t="s">
        <v>42</v>
      </c>
      <c r="B241" s="27" t="s">
        <v>776</v>
      </c>
      <c r="C241" s="27" t="s">
        <v>777</v>
      </c>
      <c r="D241" s="27" t="s">
        <v>778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2211</f>
        <v>2211.0</v>
      </c>
      <c r="L241" s="34" t="s">
        <v>48</v>
      </c>
      <c r="M241" s="33" t="n">
        <f>2311</f>
        <v>2311.0</v>
      </c>
      <c r="N241" s="34" t="s">
        <v>51</v>
      </c>
      <c r="O241" s="33" t="n">
        <f>2196</f>
        <v>2196.0</v>
      </c>
      <c r="P241" s="34" t="s">
        <v>48</v>
      </c>
      <c r="Q241" s="33" t="n">
        <f>2298</f>
        <v>2298.0</v>
      </c>
      <c r="R241" s="34" t="s">
        <v>51</v>
      </c>
      <c r="S241" s="35" t="n">
        <f>2271.05</f>
        <v>2271.05</v>
      </c>
      <c r="T241" s="32" t="n">
        <f>19952</f>
        <v>19952.0</v>
      </c>
      <c r="U241" s="32" t="n">
        <f>4</f>
        <v>4.0</v>
      </c>
      <c r="V241" s="32" t="n">
        <f>45218085</f>
        <v>4.5218085E7</v>
      </c>
      <c r="W241" s="32" t="n">
        <f>9078</f>
        <v>9078.0</v>
      </c>
      <c r="X241" s="36" t="n">
        <f>22</f>
        <v>22.0</v>
      </c>
    </row>
    <row r="242">
      <c r="A242" s="27" t="s">
        <v>42</v>
      </c>
      <c r="B242" s="27" t="s">
        <v>779</v>
      </c>
      <c r="C242" s="27" t="s">
        <v>780</v>
      </c>
      <c r="D242" s="27" t="s">
        <v>781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1500</f>
        <v>1500.0</v>
      </c>
      <c r="L242" s="34" t="s">
        <v>48</v>
      </c>
      <c r="M242" s="33" t="n">
        <f>1549</f>
        <v>1549.0</v>
      </c>
      <c r="N242" s="34" t="s">
        <v>73</v>
      </c>
      <c r="O242" s="33" t="n">
        <f>1463</f>
        <v>1463.0</v>
      </c>
      <c r="P242" s="34" t="s">
        <v>72</v>
      </c>
      <c r="Q242" s="33" t="n">
        <f>1547</f>
        <v>1547.0</v>
      </c>
      <c r="R242" s="34" t="s">
        <v>51</v>
      </c>
      <c r="S242" s="35" t="n">
        <f>1502.13</f>
        <v>1502.13</v>
      </c>
      <c r="T242" s="32" t="n">
        <f>1810</f>
        <v>1810.0</v>
      </c>
      <c r="U242" s="32" t="n">
        <f>20</f>
        <v>20.0</v>
      </c>
      <c r="V242" s="32" t="n">
        <f>2756490</f>
        <v>2756490.0</v>
      </c>
      <c r="W242" s="32" t="n">
        <f>29990</f>
        <v>29990.0</v>
      </c>
      <c r="X242" s="36" t="n">
        <f>16</f>
        <v>16.0</v>
      </c>
    </row>
    <row r="243">
      <c r="A243" s="27" t="s">
        <v>42</v>
      </c>
      <c r="B243" s="27" t="s">
        <v>782</v>
      </c>
      <c r="C243" s="27" t="s">
        <v>783</v>
      </c>
      <c r="D243" s="27" t="s">
        <v>784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1017</f>
        <v>1017.0</v>
      </c>
      <c r="L243" s="34" t="s">
        <v>48</v>
      </c>
      <c r="M243" s="33" t="n">
        <f>1030</f>
        <v>1030.0</v>
      </c>
      <c r="N243" s="34" t="s">
        <v>198</v>
      </c>
      <c r="O243" s="33" t="n">
        <f>1007</f>
        <v>1007.0</v>
      </c>
      <c r="P243" s="34" t="s">
        <v>171</v>
      </c>
      <c r="Q243" s="33" t="n">
        <f>1012</f>
        <v>1012.0</v>
      </c>
      <c r="R243" s="34" t="s">
        <v>51</v>
      </c>
      <c r="S243" s="35" t="n">
        <f>1011.5</f>
        <v>1011.5</v>
      </c>
      <c r="T243" s="32" t="n">
        <f>1573420</f>
        <v>1573420.0</v>
      </c>
      <c r="U243" s="32" t="n">
        <f>943740</f>
        <v>943740.0</v>
      </c>
      <c r="V243" s="32" t="n">
        <f>1591757116</f>
        <v>1.591757116E9</v>
      </c>
      <c r="W243" s="32" t="n">
        <f>954864046</f>
        <v>9.54864046E8</v>
      </c>
      <c r="X243" s="36" t="n">
        <f>22</f>
        <v>22.0</v>
      </c>
    </row>
    <row r="244">
      <c r="A244" s="27" t="s">
        <v>42</v>
      </c>
      <c r="B244" s="27" t="s">
        <v>785</v>
      </c>
      <c r="C244" s="27" t="s">
        <v>786</v>
      </c>
      <c r="D244" s="27" t="s">
        <v>787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10.0</v>
      </c>
      <c r="K244" s="33" t="n">
        <f>2112</f>
        <v>2112.0</v>
      </c>
      <c r="L244" s="34" t="s">
        <v>48</v>
      </c>
      <c r="M244" s="33" t="n">
        <f>2240</f>
        <v>2240.0</v>
      </c>
      <c r="N244" s="34" t="s">
        <v>199</v>
      </c>
      <c r="O244" s="33" t="n">
        <f>2095</f>
        <v>2095.0</v>
      </c>
      <c r="P244" s="34" t="s">
        <v>48</v>
      </c>
      <c r="Q244" s="33" t="n">
        <f>2203</f>
        <v>2203.0</v>
      </c>
      <c r="R244" s="34" t="s">
        <v>73</v>
      </c>
      <c r="S244" s="35" t="n">
        <f>2173.67</f>
        <v>2173.67</v>
      </c>
      <c r="T244" s="32" t="n">
        <f>43360</f>
        <v>43360.0</v>
      </c>
      <c r="U244" s="32" t="n">
        <f>100</f>
        <v>100.0</v>
      </c>
      <c r="V244" s="32" t="n">
        <f>94870150</f>
        <v>9.487015E7</v>
      </c>
      <c r="W244" s="32" t="n">
        <f>218330</f>
        <v>218330.0</v>
      </c>
      <c r="X244" s="36" t="n">
        <f>21</f>
        <v>21.0</v>
      </c>
    </row>
    <row r="245">
      <c r="A245" s="27" t="s">
        <v>42</v>
      </c>
      <c r="B245" s="27" t="s">
        <v>788</v>
      </c>
      <c r="C245" s="27" t="s">
        <v>789</v>
      </c>
      <c r="D245" s="27" t="s">
        <v>790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2111</f>
        <v>2111.0</v>
      </c>
      <c r="L245" s="34" t="s">
        <v>48</v>
      </c>
      <c r="M245" s="33" t="n">
        <f>2220</f>
        <v>2220.0</v>
      </c>
      <c r="N245" s="34" t="s">
        <v>105</v>
      </c>
      <c r="O245" s="33" t="n">
        <f>2099</f>
        <v>2099.0</v>
      </c>
      <c r="P245" s="34" t="s">
        <v>48</v>
      </c>
      <c r="Q245" s="33" t="n">
        <f>2205</f>
        <v>2205.0</v>
      </c>
      <c r="R245" s="34" t="s">
        <v>51</v>
      </c>
      <c r="S245" s="35" t="n">
        <f>2174.59</f>
        <v>2174.59</v>
      </c>
      <c r="T245" s="32" t="n">
        <f>800770</f>
        <v>800770.0</v>
      </c>
      <c r="U245" s="32" t="n">
        <f>354620</f>
        <v>354620.0</v>
      </c>
      <c r="V245" s="32" t="n">
        <f>1746002471</f>
        <v>1.746002471E9</v>
      </c>
      <c r="W245" s="32" t="n">
        <f>774183481</f>
        <v>7.74183481E8</v>
      </c>
      <c r="X245" s="36" t="n">
        <f>22</f>
        <v>22.0</v>
      </c>
    </row>
    <row r="246">
      <c r="A246" s="27" t="s">
        <v>42</v>
      </c>
      <c r="B246" s="27" t="s">
        <v>791</v>
      </c>
      <c r="C246" s="27" t="s">
        <v>792</v>
      </c>
      <c r="D246" s="27" t="s">
        <v>793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1965</f>
        <v>1965.0</v>
      </c>
      <c r="L246" s="34" t="s">
        <v>122</v>
      </c>
      <c r="M246" s="33" t="n">
        <f>1973</f>
        <v>1973.0</v>
      </c>
      <c r="N246" s="34" t="s">
        <v>71</v>
      </c>
      <c r="O246" s="33" t="n">
        <f>1902</f>
        <v>1902.0</v>
      </c>
      <c r="P246" s="34" t="s">
        <v>50</v>
      </c>
      <c r="Q246" s="33" t="n">
        <f>1971</f>
        <v>1971.0</v>
      </c>
      <c r="R246" s="34" t="s">
        <v>239</v>
      </c>
      <c r="S246" s="35" t="n">
        <f>1959.25</f>
        <v>1959.25</v>
      </c>
      <c r="T246" s="32" t="n">
        <f>31590</f>
        <v>31590.0</v>
      </c>
      <c r="U246" s="32" t="str">
        <f>"－"</f>
        <v>－</v>
      </c>
      <c r="V246" s="32" t="n">
        <f>61113160</f>
        <v>6.111316E7</v>
      </c>
      <c r="W246" s="32" t="str">
        <f>"－"</f>
        <v>－</v>
      </c>
      <c r="X246" s="36" t="n">
        <f>8</f>
        <v>8.0</v>
      </c>
    </row>
    <row r="247">
      <c r="A247" s="27" t="s">
        <v>42</v>
      </c>
      <c r="B247" s="27" t="s">
        <v>794</v>
      </c>
      <c r="C247" s="27" t="s">
        <v>795</v>
      </c>
      <c r="D247" s="27" t="s">
        <v>796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13220</f>
        <v>13220.0</v>
      </c>
      <c r="L247" s="34" t="s">
        <v>48</v>
      </c>
      <c r="M247" s="33" t="n">
        <f>13610</f>
        <v>13610.0</v>
      </c>
      <c r="N247" s="34" t="s">
        <v>51</v>
      </c>
      <c r="O247" s="33" t="n">
        <f>12990</f>
        <v>12990.0</v>
      </c>
      <c r="P247" s="34" t="s">
        <v>50</v>
      </c>
      <c r="Q247" s="33" t="n">
        <f>13590</f>
        <v>13590.0</v>
      </c>
      <c r="R247" s="34" t="s">
        <v>51</v>
      </c>
      <c r="S247" s="35" t="n">
        <f>13348.64</f>
        <v>13348.64</v>
      </c>
      <c r="T247" s="32" t="n">
        <f>563105</f>
        <v>563105.0</v>
      </c>
      <c r="U247" s="32" t="n">
        <f>101140</f>
        <v>101140.0</v>
      </c>
      <c r="V247" s="32" t="n">
        <f>7484113010</f>
        <v>7.48411301E9</v>
      </c>
      <c r="W247" s="32" t="n">
        <f>1337653460</f>
        <v>1.33765346E9</v>
      </c>
      <c r="X247" s="36" t="n">
        <f>22</f>
        <v>22.0</v>
      </c>
    </row>
    <row r="248">
      <c r="A248" s="27" t="s">
        <v>42</v>
      </c>
      <c r="B248" s="27" t="s">
        <v>797</v>
      </c>
      <c r="C248" s="27" t="s">
        <v>798</v>
      </c>
      <c r="D248" s="27" t="s">
        <v>799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12840</f>
        <v>12840.0</v>
      </c>
      <c r="L248" s="34" t="s">
        <v>48</v>
      </c>
      <c r="M248" s="33" t="n">
        <f>13220</f>
        <v>13220.0</v>
      </c>
      <c r="N248" s="34" t="s">
        <v>239</v>
      </c>
      <c r="O248" s="33" t="n">
        <f>12620</f>
        <v>12620.0</v>
      </c>
      <c r="P248" s="34" t="s">
        <v>50</v>
      </c>
      <c r="Q248" s="33" t="n">
        <f>13150</f>
        <v>13150.0</v>
      </c>
      <c r="R248" s="34" t="s">
        <v>51</v>
      </c>
      <c r="S248" s="35" t="n">
        <f>12970.91</f>
        <v>12970.91</v>
      </c>
      <c r="T248" s="32" t="n">
        <f>191447</f>
        <v>191447.0</v>
      </c>
      <c r="U248" s="32" t="n">
        <f>10004</f>
        <v>10004.0</v>
      </c>
      <c r="V248" s="32" t="n">
        <f>2481144280</f>
        <v>2.48114428E9</v>
      </c>
      <c r="W248" s="32" t="n">
        <f>128854710</f>
        <v>1.2885471E8</v>
      </c>
      <c r="X248" s="36" t="n">
        <f>22</f>
        <v>22.0</v>
      </c>
    </row>
    <row r="249">
      <c r="A249" s="27" t="s">
        <v>42</v>
      </c>
      <c r="B249" s="27" t="s">
        <v>800</v>
      </c>
      <c r="C249" s="27" t="s">
        <v>801</v>
      </c>
      <c r="D249" s="27" t="s">
        <v>802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25890</f>
        <v>25890.0</v>
      </c>
      <c r="L249" s="34" t="s">
        <v>122</v>
      </c>
      <c r="M249" s="33" t="n">
        <f>26220</f>
        <v>26220.0</v>
      </c>
      <c r="N249" s="34" t="s">
        <v>49</v>
      </c>
      <c r="O249" s="33" t="n">
        <f>25150</f>
        <v>25150.0</v>
      </c>
      <c r="P249" s="34" t="s">
        <v>50</v>
      </c>
      <c r="Q249" s="33" t="n">
        <f>25820</f>
        <v>25820.0</v>
      </c>
      <c r="R249" s="34" t="s">
        <v>51</v>
      </c>
      <c r="S249" s="35" t="n">
        <f>25913.53</f>
        <v>25913.53</v>
      </c>
      <c r="T249" s="32" t="n">
        <f>305</f>
        <v>305.0</v>
      </c>
      <c r="U249" s="32" t="n">
        <f>3</f>
        <v>3.0</v>
      </c>
      <c r="V249" s="32" t="n">
        <f>7894150</f>
        <v>7894150.0</v>
      </c>
      <c r="W249" s="32" t="n">
        <f>77190</f>
        <v>77190.0</v>
      </c>
      <c r="X249" s="36" t="n">
        <f>17</f>
        <v>17.0</v>
      </c>
    </row>
    <row r="250">
      <c r="A250" s="27" t="s">
        <v>42</v>
      </c>
      <c r="B250" s="27" t="s">
        <v>803</v>
      </c>
      <c r="C250" s="27" t="s">
        <v>804</v>
      </c>
      <c r="D250" s="27" t="s">
        <v>805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2715</f>
        <v>2715.0</v>
      </c>
      <c r="L250" s="34" t="s">
        <v>48</v>
      </c>
      <c r="M250" s="33" t="n">
        <f>2727</f>
        <v>2727.0</v>
      </c>
      <c r="N250" s="34" t="s">
        <v>105</v>
      </c>
      <c r="O250" s="33" t="n">
        <f>2710</f>
        <v>2710.0</v>
      </c>
      <c r="P250" s="34" t="s">
        <v>171</v>
      </c>
      <c r="Q250" s="33" t="n">
        <f>2714</f>
        <v>2714.0</v>
      </c>
      <c r="R250" s="34" t="s">
        <v>51</v>
      </c>
      <c r="S250" s="35" t="n">
        <f>2716.18</f>
        <v>2716.18</v>
      </c>
      <c r="T250" s="32" t="n">
        <f>836678</f>
        <v>836678.0</v>
      </c>
      <c r="U250" s="32" t="n">
        <f>533032</f>
        <v>533032.0</v>
      </c>
      <c r="V250" s="32" t="n">
        <f>2273182297</f>
        <v>2.273182297E9</v>
      </c>
      <c r="W250" s="32" t="n">
        <f>1447706249</f>
        <v>1.447706249E9</v>
      </c>
      <c r="X250" s="36" t="n">
        <f>22</f>
        <v>22.0</v>
      </c>
    </row>
    <row r="251">
      <c r="A251" s="27" t="s">
        <v>42</v>
      </c>
      <c r="B251" s="27" t="s">
        <v>806</v>
      </c>
      <c r="C251" s="27" t="s">
        <v>807</v>
      </c>
      <c r="D251" s="27" t="s">
        <v>808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10.0</v>
      </c>
      <c r="K251" s="33" t="n">
        <f>2992</f>
        <v>2992.0</v>
      </c>
      <c r="L251" s="34" t="s">
        <v>48</v>
      </c>
      <c r="M251" s="33" t="n">
        <f>3015</f>
        <v>3015.0</v>
      </c>
      <c r="N251" s="34" t="s">
        <v>90</v>
      </c>
      <c r="O251" s="33" t="n">
        <f>2862</f>
        <v>2862.0</v>
      </c>
      <c r="P251" s="34" t="s">
        <v>50</v>
      </c>
      <c r="Q251" s="33" t="n">
        <f>2970</f>
        <v>2970.0</v>
      </c>
      <c r="R251" s="34" t="s">
        <v>51</v>
      </c>
      <c r="S251" s="35" t="n">
        <f>2971.55</f>
        <v>2971.55</v>
      </c>
      <c r="T251" s="32" t="n">
        <f>6269350</f>
        <v>6269350.0</v>
      </c>
      <c r="U251" s="32" t="n">
        <f>3910490</f>
        <v>3910490.0</v>
      </c>
      <c r="V251" s="32" t="n">
        <f>18559260415</f>
        <v>1.8559260415E10</v>
      </c>
      <c r="W251" s="32" t="n">
        <f>11554164665</f>
        <v>1.1554164665E10</v>
      </c>
      <c r="X251" s="36" t="n">
        <f>22</f>
        <v>22.0</v>
      </c>
    </row>
    <row r="252">
      <c r="A252" s="27" t="s">
        <v>42</v>
      </c>
      <c r="B252" s="27" t="s">
        <v>809</v>
      </c>
      <c r="C252" s="27" t="s">
        <v>810</v>
      </c>
      <c r="D252" s="27" t="s">
        <v>811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2733</f>
        <v>2733.0</v>
      </c>
      <c r="L252" s="34" t="s">
        <v>48</v>
      </c>
      <c r="M252" s="33" t="n">
        <f>2797</f>
        <v>2797.0</v>
      </c>
      <c r="N252" s="34" t="s">
        <v>51</v>
      </c>
      <c r="O252" s="33" t="n">
        <f>2690</f>
        <v>2690.0</v>
      </c>
      <c r="P252" s="34" t="s">
        <v>50</v>
      </c>
      <c r="Q252" s="33" t="n">
        <f>2794</f>
        <v>2794.0</v>
      </c>
      <c r="R252" s="34" t="s">
        <v>51</v>
      </c>
      <c r="S252" s="35" t="n">
        <f>2754</f>
        <v>2754.0</v>
      </c>
      <c r="T252" s="32" t="n">
        <f>7135610</f>
        <v>7135610.0</v>
      </c>
      <c r="U252" s="32" t="n">
        <f>5677201</f>
        <v>5677201.0</v>
      </c>
      <c r="V252" s="32" t="n">
        <f>19724701905</f>
        <v>1.9724701905E10</v>
      </c>
      <c r="W252" s="32" t="n">
        <f>15698773687</f>
        <v>1.5698773687E10</v>
      </c>
      <c r="X252" s="36" t="n">
        <f>22</f>
        <v>22.0</v>
      </c>
    </row>
    <row r="253">
      <c r="A253" s="27" t="s">
        <v>42</v>
      </c>
      <c r="B253" s="27" t="s">
        <v>812</v>
      </c>
      <c r="C253" s="27" t="s">
        <v>813</v>
      </c>
      <c r="D253" s="27" t="s">
        <v>814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1850</f>
        <v>1850.0</v>
      </c>
      <c r="L253" s="34" t="s">
        <v>48</v>
      </c>
      <c r="M253" s="33" t="n">
        <f>1896</f>
        <v>1896.0</v>
      </c>
      <c r="N253" s="34" t="s">
        <v>90</v>
      </c>
      <c r="O253" s="33" t="n">
        <f>1820</f>
        <v>1820.0</v>
      </c>
      <c r="P253" s="34" t="s">
        <v>50</v>
      </c>
      <c r="Q253" s="33" t="n">
        <f>1865</f>
        <v>1865.0</v>
      </c>
      <c r="R253" s="34" t="s">
        <v>51</v>
      </c>
      <c r="S253" s="35" t="n">
        <f>1869.27</f>
        <v>1869.27</v>
      </c>
      <c r="T253" s="32" t="n">
        <f>13023</f>
        <v>13023.0</v>
      </c>
      <c r="U253" s="32" t="n">
        <f>6</f>
        <v>6.0</v>
      </c>
      <c r="V253" s="32" t="n">
        <f>24383013</f>
        <v>2.4383013E7</v>
      </c>
      <c r="W253" s="32" t="n">
        <f>11160</f>
        <v>11160.0</v>
      </c>
      <c r="X253" s="36" t="n">
        <f>22</f>
        <v>22.0</v>
      </c>
    </row>
    <row r="254">
      <c r="A254" s="27" t="s">
        <v>42</v>
      </c>
      <c r="B254" s="27" t="s">
        <v>815</v>
      </c>
      <c r="C254" s="27" t="s">
        <v>816</v>
      </c>
      <c r="D254" s="27" t="s">
        <v>817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1134</f>
        <v>1134.0</v>
      </c>
      <c r="L254" s="34" t="s">
        <v>48</v>
      </c>
      <c r="M254" s="33" t="n">
        <f>1207</f>
        <v>1207.0</v>
      </c>
      <c r="N254" s="34" t="s">
        <v>51</v>
      </c>
      <c r="O254" s="33" t="n">
        <f>1124</f>
        <v>1124.0</v>
      </c>
      <c r="P254" s="34" t="s">
        <v>48</v>
      </c>
      <c r="Q254" s="33" t="n">
        <f>1191</f>
        <v>1191.0</v>
      </c>
      <c r="R254" s="34" t="s">
        <v>51</v>
      </c>
      <c r="S254" s="35" t="n">
        <f>1168.55</f>
        <v>1168.55</v>
      </c>
      <c r="T254" s="32" t="n">
        <f>202600</f>
        <v>202600.0</v>
      </c>
      <c r="U254" s="32" t="str">
        <f>"－"</f>
        <v>－</v>
      </c>
      <c r="V254" s="32" t="n">
        <f>237104172</f>
        <v>2.37104172E8</v>
      </c>
      <c r="W254" s="32" t="str">
        <f>"－"</f>
        <v>－</v>
      </c>
      <c r="X254" s="36" t="n">
        <f>22</f>
        <v>22.0</v>
      </c>
    </row>
    <row r="255">
      <c r="A255" s="27" t="s">
        <v>42</v>
      </c>
      <c r="B255" s="27" t="s">
        <v>818</v>
      </c>
      <c r="C255" s="27" t="s">
        <v>819</v>
      </c>
      <c r="D255" s="27" t="s">
        <v>820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10.0</v>
      </c>
      <c r="K255" s="33" t="n">
        <f>1164</f>
        <v>1164.0</v>
      </c>
      <c r="L255" s="34" t="s">
        <v>48</v>
      </c>
      <c r="M255" s="33" t="n">
        <f>1243</f>
        <v>1243.0</v>
      </c>
      <c r="N255" s="34" t="s">
        <v>105</v>
      </c>
      <c r="O255" s="33" t="n">
        <f>1156</f>
        <v>1156.0</v>
      </c>
      <c r="P255" s="34" t="s">
        <v>48</v>
      </c>
      <c r="Q255" s="33" t="n">
        <f>1216</f>
        <v>1216.0</v>
      </c>
      <c r="R255" s="34" t="s">
        <v>51</v>
      </c>
      <c r="S255" s="35" t="n">
        <f>1199.32</f>
        <v>1199.32</v>
      </c>
      <c r="T255" s="32" t="n">
        <f>40460</f>
        <v>40460.0</v>
      </c>
      <c r="U255" s="32" t="str">
        <f>"－"</f>
        <v>－</v>
      </c>
      <c r="V255" s="32" t="n">
        <f>48581730</f>
        <v>4.858173E7</v>
      </c>
      <c r="W255" s="32" t="str">
        <f>"－"</f>
        <v>－</v>
      </c>
      <c r="X255" s="36" t="n">
        <f>22</f>
        <v>22.0</v>
      </c>
    </row>
    <row r="256">
      <c r="A256" s="27" t="s">
        <v>42</v>
      </c>
      <c r="B256" s="27" t="s">
        <v>821</v>
      </c>
      <c r="C256" s="27" t="s">
        <v>822</v>
      </c>
      <c r="D256" s="27" t="s">
        <v>823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10.0</v>
      </c>
      <c r="K256" s="33" t="n">
        <f>261</f>
        <v>261.0</v>
      </c>
      <c r="L256" s="34" t="s">
        <v>48</v>
      </c>
      <c r="M256" s="33" t="n">
        <f>262</f>
        <v>262.0</v>
      </c>
      <c r="N256" s="34" t="s">
        <v>171</v>
      </c>
      <c r="O256" s="33" t="n">
        <f>250</f>
        <v>250.0</v>
      </c>
      <c r="P256" s="34" t="s">
        <v>239</v>
      </c>
      <c r="Q256" s="33" t="n">
        <f>259</f>
        <v>259.0</v>
      </c>
      <c r="R256" s="34" t="s">
        <v>51</v>
      </c>
      <c r="S256" s="35" t="n">
        <f>258.82</f>
        <v>258.82</v>
      </c>
      <c r="T256" s="32" t="n">
        <f>41630</f>
        <v>41630.0</v>
      </c>
      <c r="U256" s="32" t="n">
        <f>10000</f>
        <v>10000.0</v>
      </c>
      <c r="V256" s="32" t="n">
        <f>10711850</f>
        <v>1.071185E7</v>
      </c>
      <c r="W256" s="32" t="n">
        <f>2560000</f>
        <v>2560000.0</v>
      </c>
      <c r="X256" s="36" t="n">
        <f>22</f>
        <v>22.0</v>
      </c>
    </row>
    <row r="257">
      <c r="A257" s="27" t="s">
        <v>42</v>
      </c>
      <c r="B257" s="27" t="s">
        <v>824</v>
      </c>
      <c r="C257" s="27" t="s">
        <v>825</v>
      </c>
      <c r="D257" s="27" t="s">
        <v>826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10.0</v>
      </c>
      <c r="K257" s="33" t="n">
        <f>2584</f>
        <v>2584.0</v>
      </c>
      <c r="L257" s="34" t="s">
        <v>48</v>
      </c>
      <c r="M257" s="33" t="n">
        <f>2783</f>
        <v>2783.0</v>
      </c>
      <c r="N257" s="34" t="s">
        <v>51</v>
      </c>
      <c r="O257" s="33" t="n">
        <f>2561</f>
        <v>2561.0</v>
      </c>
      <c r="P257" s="34" t="s">
        <v>171</v>
      </c>
      <c r="Q257" s="33" t="n">
        <f>2775</f>
        <v>2775.0</v>
      </c>
      <c r="R257" s="34" t="s">
        <v>51</v>
      </c>
      <c r="S257" s="35" t="n">
        <f>2661.5</f>
        <v>2661.5</v>
      </c>
      <c r="T257" s="32" t="n">
        <f>849300</f>
        <v>849300.0</v>
      </c>
      <c r="U257" s="32" t="str">
        <f>"－"</f>
        <v>－</v>
      </c>
      <c r="V257" s="32" t="n">
        <f>2273424280</f>
        <v>2.27342428E9</v>
      </c>
      <c r="W257" s="32" t="str">
        <f>"－"</f>
        <v>－</v>
      </c>
      <c r="X257" s="36" t="n">
        <f>22</f>
        <v>22.0</v>
      </c>
    </row>
    <row r="258">
      <c r="A258" s="27" t="s">
        <v>42</v>
      </c>
      <c r="B258" s="27" t="s">
        <v>827</v>
      </c>
      <c r="C258" s="27" t="s">
        <v>828</v>
      </c>
      <c r="D258" s="27" t="s">
        <v>829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2461</f>
        <v>2461.0</v>
      </c>
      <c r="L258" s="34" t="s">
        <v>48</v>
      </c>
      <c r="M258" s="33" t="n">
        <f>2629</f>
        <v>2629.0</v>
      </c>
      <c r="N258" s="34" t="s">
        <v>51</v>
      </c>
      <c r="O258" s="33" t="n">
        <f>2423</f>
        <v>2423.0</v>
      </c>
      <c r="P258" s="34" t="s">
        <v>171</v>
      </c>
      <c r="Q258" s="33" t="n">
        <f>2622</f>
        <v>2622.0</v>
      </c>
      <c r="R258" s="34" t="s">
        <v>51</v>
      </c>
      <c r="S258" s="35" t="n">
        <f>2523.55</f>
        <v>2523.55</v>
      </c>
      <c r="T258" s="32" t="n">
        <f>5051170</f>
        <v>5051170.0</v>
      </c>
      <c r="U258" s="32" t="n">
        <f>2525190</f>
        <v>2525190.0</v>
      </c>
      <c r="V258" s="32" t="n">
        <f>12754516769</f>
        <v>1.2754516769E10</v>
      </c>
      <c r="W258" s="32" t="n">
        <f>6420009649</f>
        <v>6.420009649E9</v>
      </c>
      <c r="X258" s="36" t="n">
        <f>22</f>
        <v>22.0</v>
      </c>
    </row>
    <row r="259">
      <c r="A259" s="27" t="s">
        <v>42</v>
      </c>
      <c r="B259" s="27" t="s">
        <v>830</v>
      </c>
      <c r="C259" s="27" t="s">
        <v>831</v>
      </c>
      <c r="D259" s="27" t="s">
        <v>832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1.0</v>
      </c>
      <c r="K259" s="33" t="n">
        <f>2592</f>
        <v>2592.0</v>
      </c>
      <c r="L259" s="34" t="s">
        <v>48</v>
      </c>
      <c r="M259" s="33" t="n">
        <f>2624</f>
        <v>2624.0</v>
      </c>
      <c r="N259" s="34" t="s">
        <v>199</v>
      </c>
      <c r="O259" s="33" t="n">
        <f>2584</f>
        <v>2584.0</v>
      </c>
      <c r="P259" s="34" t="s">
        <v>94</v>
      </c>
      <c r="Q259" s="33" t="n">
        <f>2610</f>
        <v>2610.0</v>
      </c>
      <c r="R259" s="34" t="s">
        <v>51</v>
      </c>
      <c r="S259" s="35" t="n">
        <f>2602.45</f>
        <v>2602.45</v>
      </c>
      <c r="T259" s="32" t="n">
        <f>554560</f>
        <v>554560.0</v>
      </c>
      <c r="U259" s="32" t="str">
        <f>"－"</f>
        <v>－</v>
      </c>
      <c r="V259" s="32" t="n">
        <f>1444978789</f>
        <v>1.444978789E9</v>
      </c>
      <c r="W259" s="32" t="str">
        <f>"－"</f>
        <v>－</v>
      </c>
      <c r="X259" s="36" t="n">
        <f>22</f>
        <v>22.0</v>
      </c>
    </row>
    <row r="260">
      <c r="A260" s="27" t="s">
        <v>42</v>
      </c>
      <c r="B260" s="27" t="s">
        <v>833</v>
      </c>
      <c r="C260" s="27" t="s">
        <v>834</v>
      </c>
      <c r="D260" s="27" t="s">
        <v>835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2150</f>
        <v>2150.0</v>
      </c>
      <c r="L260" s="34" t="s">
        <v>48</v>
      </c>
      <c r="M260" s="33" t="n">
        <f>2279</f>
        <v>2279.0</v>
      </c>
      <c r="N260" s="34" t="s">
        <v>50</v>
      </c>
      <c r="O260" s="33" t="n">
        <f>2121</f>
        <v>2121.0</v>
      </c>
      <c r="P260" s="34" t="s">
        <v>171</v>
      </c>
      <c r="Q260" s="33" t="n">
        <f>2209</f>
        <v>2209.0</v>
      </c>
      <c r="R260" s="34" t="s">
        <v>51</v>
      </c>
      <c r="S260" s="35" t="n">
        <f>2179.14</f>
        <v>2179.14</v>
      </c>
      <c r="T260" s="32" t="n">
        <f>872490</f>
        <v>872490.0</v>
      </c>
      <c r="U260" s="32" t="n">
        <f>3</f>
        <v>3.0</v>
      </c>
      <c r="V260" s="32" t="n">
        <f>1923708583</f>
        <v>1.923708583E9</v>
      </c>
      <c r="W260" s="32" t="n">
        <f>6523</f>
        <v>6523.0</v>
      </c>
      <c r="X260" s="36" t="n">
        <f>22</f>
        <v>22.0</v>
      </c>
    </row>
    <row r="261">
      <c r="A261" s="27" t="s">
        <v>42</v>
      </c>
      <c r="B261" s="27" t="s">
        <v>836</v>
      </c>
      <c r="C261" s="27" t="s">
        <v>837</v>
      </c>
      <c r="D261" s="27" t="s">
        <v>838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2529</f>
        <v>2529.0</v>
      </c>
      <c r="L261" s="34" t="s">
        <v>48</v>
      </c>
      <c r="M261" s="33" t="n">
        <f>2571</f>
        <v>2571.0</v>
      </c>
      <c r="N261" s="34" t="s">
        <v>67</v>
      </c>
      <c r="O261" s="33" t="n">
        <f>2512</f>
        <v>2512.0</v>
      </c>
      <c r="P261" s="34" t="s">
        <v>171</v>
      </c>
      <c r="Q261" s="33" t="n">
        <f>2531</f>
        <v>2531.0</v>
      </c>
      <c r="R261" s="34" t="s">
        <v>51</v>
      </c>
      <c r="S261" s="35" t="n">
        <f>2527.62</f>
        <v>2527.62</v>
      </c>
      <c r="T261" s="32" t="n">
        <f>27828</f>
        <v>27828.0</v>
      </c>
      <c r="U261" s="32" t="n">
        <f>23682</f>
        <v>23682.0</v>
      </c>
      <c r="V261" s="32" t="n">
        <f>70195719</f>
        <v>7.0195719E7</v>
      </c>
      <c r="W261" s="32" t="n">
        <f>59722231</f>
        <v>5.9722231E7</v>
      </c>
      <c r="X261" s="36" t="n">
        <f>21</f>
        <v>21.0</v>
      </c>
    </row>
    <row r="262">
      <c r="A262" s="27" t="s">
        <v>42</v>
      </c>
      <c r="B262" s="27" t="s">
        <v>839</v>
      </c>
      <c r="C262" s="27" t="s">
        <v>840</v>
      </c>
      <c r="D262" s="27" t="s">
        <v>841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2518</f>
        <v>2518.0</v>
      </c>
      <c r="L262" s="34" t="s">
        <v>48</v>
      </c>
      <c r="M262" s="33" t="n">
        <f>2523</f>
        <v>2523.0</v>
      </c>
      <c r="N262" s="34" t="s">
        <v>122</v>
      </c>
      <c r="O262" s="33" t="n">
        <f>2495</f>
        <v>2495.0</v>
      </c>
      <c r="P262" s="34" t="s">
        <v>49</v>
      </c>
      <c r="Q262" s="33" t="n">
        <f>2512</f>
        <v>2512.0</v>
      </c>
      <c r="R262" s="34" t="s">
        <v>51</v>
      </c>
      <c r="S262" s="35" t="n">
        <f>2512.23</f>
        <v>2512.23</v>
      </c>
      <c r="T262" s="32" t="n">
        <f>1303</f>
        <v>1303.0</v>
      </c>
      <c r="U262" s="32" t="n">
        <f>2</f>
        <v>2.0</v>
      </c>
      <c r="V262" s="32" t="n">
        <f>3272381</f>
        <v>3272381.0</v>
      </c>
      <c r="W262" s="32" t="n">
        <f>5018</f>
        <v>5018.0</v>
      </c>
      <c r="X262" s="36" t="n">
        <f>22</f>
        <v>22.0</v>
      </c>
    </row>
    <row r="263">
      <c r="A263" s="27" t="s">
        <v>42</v>
      </c>
      <c r="B263" s="27" t="s">
        <v>842</v>
      </c>
      <c r="C263" s="27" t="s">
        <v>843</v>
      </c>
      <c r="D263" s="27" t="s">
        <v>844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2908</f>
        <v>2908.0</v>
      </c>
      <c r="L263" s="34" t="s">
        <v>48</v>
      </c>
      <c r="M263" s="33" t="n">
        <f>2954</f>
        <v>2954.0</v>
      </c>
      <c r="N263" s="34" t="s">
        <v>80</v>
      </c>
      <c r="O263" s="33" t="n">
        <f>2785</f>
        <v>2785.0</v>
      </c>
      <c r="P263" s="34" t="s">
        <v>50</v>
      </c>
      <c r="Q263" s="33" t="n">
        <f>2887</f>
        <v>2887.0</v>
      </c>
      <c r="R263" s="34" t="s">
        <v>51</v>
      </c>
      <c r="S263" s="35" t="n">
        <f>2899.41</f>
        <v>2899.41</v>
      </c>
      <c r="T263" s="32" t="n">
        <f>74768</f>
        <v>74768.0</v>
      </c>
      <c r="U263" s="32" t="n">
        <f>30000</f>
        <v>30000.0</v>
      </c>
      <c r="V263" s="32" t="n">
        <f>215686522</f>
        <v>2.15686522E8</v>
      </c>
      <c r="W263" s="32" t="n">
        <f>86436000</f>
        <v>8.6436E7</v>
      </c>
      <c r="X263" s="36" t="n">
        <f>22</f>
        <v>22.0</v>
      </c>
    </row>
    <row r="264">
      <c r="A264" s="27" t="s">
        <v>42</v>
      </c>
      <c r="B264" s="27" t="s">
        <v>845</v>
      </c>
      <c r="C264" s="27" t="s">
        <v>846</v>
      </c>
      <c r="D264" s="27" t="s">
        <v>847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1932</f>
        <v>1932.0</v>
      </c>
      <c r="L264" s="34" t="s">
        <v>48</v>
      </c>
      <c r="M264" s="33" t="n">
        <f>1984</f>
        <v>1984.0</v>
      </c>
      <c r="N264" s="34" t="s">
        <v>49</v>
      </c>
      <c r="O264" s="33" t="n">
        <f>1891</f>
        <v>1891.0</v>
      </c>
      <c r="P264" s="34" t="s">
        <v>50</v>
      </c>
      <c r="Q264" s="33" t="n">
        <f>1947</f>
        <v>1947.0</v>
      </c>
      <c r="R264" s="34" t="s">
        <v>51</v>
      </c>
      <c r="S264" s="35" t="n">
        <f>1955.27</f>
        <v>1955.27</v>
      </c>
      <c r="T264" s="32" t="n">
        <f>79301</f>
        <v>79301.0</v>
      </c>
      <c r="U264" s="32" t="n">
        <f>2</f>
        <v>2.0</v>
      </c>
      <c r="V264" s="32" t="n">
        <f>155252407</f>
        <v>1.55252407E8</v>
      </c>
      <c r="W264" s="32" t="n">
        <f>3954</f>
        <v>3954.0</v>
      </c>
      <c r="X264" s="36" t="n">
        <f>22</f>
        <v>22.0</v>
      </c>
    </row>
    <row r="265">
      <c r="A265" s="27" t="s">
        <v>42</v>
      </c>
      <c r="B265" s="27" t="s">
        <v>848</v>
      </c>
      <c r="C265" s="27" t="s">
        <v>849</v>
      </c>
      <c r="D265" s="27" t="s">
        <v>850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2089</f>
        <v>2089.0</v>
      </c>
      <c r="L265" s="34" t="s">
        <v>48</v>
      </c>
      <c r="M265" s="33" t="n">
        <f>2116</f>
        <v>2116.0</v>
      </c>
      <c r="N265" s="34" t="s">
        <v>80</v>
      </c>
      <c r="O265" s="33" t="n">
        <f>2022</f>
        <v>2022.0</v>
      </c>
      <c r="P265" s="34" t="s">
        <v>50</v>
      </c>
      <c r="Q265" s="33" t="n">
        <f>2103</f>
        <v>2103.0</v>
      </c>
      <c r="R265" s="34" t="s">
        <v>51</v>
      </c>
      <c r="S265" s="35" t="n">
        <f>2080.41</f>
        <v>2080.41</v>
      </c>
      <c r="T265" s="32" t="n">
        <f>277223</f>
        <v>277223.0</v>
      </c>
      <c r="U265" s="32" t="n">
        <f>5</f>
        <v>5.0</v>
      </c>
      <c r="V265" s="32" t="n">
        <f>575859416</f>
        <v>5.75859416E8</v>
      </c>
      <c r="W265" s="32" t="n">
        <f>10314</f>
        <v>10314.0</v>
      </c>
      <c r="X265" s="36" t="n">
        <f>22</f>
        <v>22.0</v>
      </c>
    </row>
    <row r="266">
      <c r="A266" s="27" t="s">
        <v>42</v>
      </c>
      <c r="B266" s="27" t="s">
        <v>851</v>
      </c>
      <c r="C266" s="27" t="s">
        <v>852</v>
      </c>
      <c r="D266" s="27" t="s">
        <v>853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2177</f>
        <v>2177.0</v>
      </c>
      <c r="L266" s="34" t="s">
        <v>48</v>
      </c>
      <c r="M266" s="33" t="n">
        <f>2290</f>
        <v>2290.0</v>
      </c>
      <c r="N266" s="34" t="s">
        <v>51</v>
      </c>
      <c r="O266" s="33" t="n">
        <f>2134</f>
        <v>2134.0</v>
      </c>
      <c r="P266" s="34" t="s">
        <v>171</v>
      </c>
      <c r="Q266" s="33" t="n">
        <f>2277</f>
        <v>2277.0</v>
      </c>
      <c r="R266" s="34" t="s">
        <v>51</v>
      </c>
      <c r="S266" s="35" t="n">
        <f>2216.77</f>
        <v>2216.77</v>
      </c>
      <c r="T266" s="32" t="n">
        <f>358533</f>
        <v>358533.0</v>
      </c>
      <c r="U266" s="32" t="str">
        <f>"－"</f>
        <v>－</v>
      </c>
      <c r="V266" s="32" t="n">
        <f>786708849</f>
        <v>7.86708849E8</v>
      </c>
      <c r="W266" s="32" t="str">
        <f>"－"</f>
        <v>－</v>
      </c>
      <c r="X266" s="36" t="n">
        <f>22</f>
        <v>22.0</v>
      </c>
    </row>
    <row r="267">
      <c r="A267" s="27" t="s">
        <v>42</v>
      </c>
      <c r="B267" s="27" t="s">
        <v>854</v>
      </c>
      <c r="C267" s="27" t="s">
        <v>855</v>
      </c>
      <c r="D267" s="27" t="s">
        <v>856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2510</f>
        <v>2510.0</v>
      </c>
      <c r="L267" s="34" t="s">
        <v>48</v>
      </c>
      <c r="M267" s="33" t="n">
        <f>2764</f>
        <v>2764.0</v>
      </c>
      <c r="N267" s="34" t="s">
        <v>51</v>
      </c>
      <c r="O267" s="33" t="n">
        <f>2368</f>
        <v>2368.0</v>
      </c>
      <c r="P267" s="34" t="s">
        <v>175</v>
      </c>
      <c r="Q267" s="33" t="n">
        <f>2749</f>
        <v>2749.0</v>
      </c>
      <c r="R267" s="34" t="s">
        <v>51</v>
      </c>
      <c r="S267" s="35" t="n">
        <f>2566.55</f>
        <v>2566.55</v>
      </c>
      <c r="T267" s="32" t="n">
        <f>55458</f>
        <v>55458.0</v>
      </c>
      <c r="U267" s="32" t="n">
        <f>2</f>
        <v>2.0</v>
      </c>
      <c r="V267" s="32" t="n">
        <f>143732215</f>
        <v>1.43732215E8</v>
      </c>
      <c r="W267" s="32" t="n">
        <f>5143</f>
        <v>5143.0</v>
      </c>
      <c r="X267" s="36" t="n">
        <f>22</f>
        <v>22.0</v>
      </c>
    </row>
    <row r="268">
      <c r="A268" s="27" t="s">
        <v>42</v>
      </c>
      <c r="B268" s="27" t="s">
        <v>857</v>
      </c>
      <c r="C268" s="27" t="s">
        <v>858</v>
      </c>
      <c r="D268" s="27" t="s">
        <v>859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3005</f>
        <v>3005.0</v>
      </c>
      <c r="L268" s="34" t="s">
        <v>48</v>
      </c>
      <c r="M268" s="33" t="n">
        <f>3005</f>
        <v>3005.0</v>
      </c>
      <c r="N268" s="34" t="s">
        <v>48</v>
      </c>
      <c r="O268" s="33" t="n">
        <f>2843</f>
        <v>2843.0</v>
      </c>
      <c r="P268" s="34" t="s">
        <v>50</v>
      </c>
      <c r="Q268" s="33" t="n">
        <f>2898</f>
        <v>2898.0</v>
      </c>
      <c r="R268" s="34" t="s">
        <v>51</v>
      </c>
      <c r="S268" s="35" t="n">
        <f>2921</f>
        <v>2921.0</v>
      </c>
      <c r="T268" s="32" t="n">
        <f>18957</f>
        <v>18957.0</v>
      </c>
      <c r="U268" s="32" t="n">
        <f>2</f>
        <v>2.0</v>
      </c>
      <c r="V268" s="32" t="n">
        <f>55404889</f>
        <v>5.5404889E7</v>
      </c>
      <c r="W268" s="32" t="n">
        <f>5764</f>
        <v>5764.0</v>
      </c>
      <c r="X268" s="36" t="n">
        <f>22</f>
        <v>22.0</v>
      </c>
    </row>
    <row r="269">
      <c r="A269" s="27" t="s">
        <v>42</v>
      </c>
      <c r="B269" s="27" t="s">
        <v>860</v>
      </c>
      <c r="C269" s="27" t="s">
        <v>861</v>
      </c>
      <c r="D269" s="27" t="s">
        <v>862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10870</f>
        <v>10870.0</v>
      </c>
      <c r="L269" s="34" t="s">
        <v>48</v>
      </c>
      <c r="M269" s="33" t="n">
        <f>11100</f>
        <v>11100.0</v>
      </c>
      <c r="N269" s="34" t="s">
        <v>51</v>
      </c>
      <c r="O269" s="33" t="n">
        <f>10670</f>
        <v>10670.0</v>
      </c>
      <c r="P269" s="34" t="s">
        <v>50</v>
      </c>
      <c r="Q269" s="33" t="n">
        <f>11100</f>
        <v>11100.0</v>
      </c>
      <c r="R269" s="34" t="s">
        <v>51</v>
      </c>
      <c r="S269" s="35" t="n">
        <f>10934.55</f>
        <v>10934.55</v>
      </c>
      <c r="T269" s="32" t="n">
        <f>48017</f>
        <v>48017.0</v>
      </c>
      <c r="U269" s="32" t="n">
        <f>2</f>
        <v>2.0</v>
      </c>
      <c r="V269" s="32" t="n">
        <f>525056440</f>
        <v>5.2505644E8</v>
      </c>
      <c r="W269" s="32" t="n">
        <f>21800</f>
        <v>21800.0</v>
      </c>
      <c r="X269" s="36" t="n">
        <f>22</f>
        <v>22.0</v>
      </c>
    </row>
    <row r="270">
      <c r="A270" s="27" t="s">
        <v>42</v>
      </c>
      <c r="B270" s="27" t="s">
        <v>863</v>
      </c>
      <c r="C270" s="27" t="s">
        <v>864</v>
      </c>
      <c r="D270" s="27" t="s">
        <v>865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10790</f>
        <v>10790.0</v>
      </c>
      <c r="L270" s="34" t="s">
        <v>48</v>
      </c>
      <c r="M270" s="33" t="n">
        <f>11610</f>
        <v>11610.0</v>
      </c>
      <c r="N270" s="34" t="s">
        <v>51</v>
      </c>
      <c r="O270" s="33" t="n">
        <f>10690</f>
        <v>10690.0</v>
      </c>
      <c r="P270" s="34" t="s">
        <v>171</v>
      </c>
      <c r="Q270" s="33" t="n">
        <f>11590</f>
        <v>11590.0</v>
      </c>
      <c r="R270" s="34" t="s">
        <v>51</v>
      </c>
      <c r="S270" s="35" t="n">
        <f>11104.09</f>
        <v>11104.09</v>
      </c>
      <c r="T270" s="32" t="n">
        <f>389179</f>
        <v>389179.0</v>
      </c>
      <c r="U270" s="32" t="n">
        <f>16</f>
        <v>16.0</v>
      </c>
      <c r="V270" s="32" t="n">
        <f>4346396330</f>
        <v>4.34639633E9</v>
      </c>
      <c r="W270" s="32" t="n">
        <f>187830</f>
        <v>187830.0</v>
      </c>
      <c r="X270" s="36" t="n">
        <f>22</f>
        <v>22.0</v>
      </c>
    </row>
    <row r="271">
      <c r="A271" s="27" t="s">
        <v>42</v>
      </c>
      <c r="B271" s="27" t="s">
        <v>866</v>
      </c>
      <c r="C271" s="27" t="s">
        <v>867</v>
      </c>
      <c r="D271" s="27" t="s">
        <v>868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10370</f>
        <v>10370.0</v>
      </c>
      <c r="L271" s="34" t="s">
        <v>48</v>
      </c>
      <c r="M271" s="33" t="n">
        <f>11060</f>
        <v>11060.0</v>
      </c>
      <c r="N271" s="34" t="s">
        <v>51</v>
      </c>
      <c r="O271" s="33" t="n">
        <f>10200</f>
        <v>10200.0</v>
      </c>
      <c r="P271" s="34" t="s">
        <v>171</v>
      </c>
      <c r="Q271" s="33" t="n">
        <f>11050</f>
        <v>11050.0</v>
      </c>
      <c r="R271" s="34" t="s">
        <v>51</v>
      </c>
      <c r="S271" s="35" t="n">
        <f>10618.64</f>
        <v>10618.64</v>
      </c>
      <c r="T271" s="32" t="n">
        <f>328748</f>
        <v>328748.0</v>
      </c>
      <c r="U271" s="32" t="n">
        <f>186006</f>
        <v>186006.0</v>
      </c>
      <c r="V271" s="32" t="n">
        <f>3499892290</f>
        <v>3.49989229E9</v>
      </c>
      <c r="W271" s="32" t="n">
        <f>1980472250</f>
        <v>1.98047225E9</v>
      </c>
      <c r="X271" s="36" t="n">
        <f>22</f>
        <v>22.0</v>
      </c>
    </row>
    <row r="272">
      <c r="A272" s="27" t="s">
        <v>42</v>
      </c>
      <c r="B272" s="27" t="s">
        <v>869</v>
      </c>
      <c r="C272" s="27" t="s">
        <v>870</v>
      </c>
      <c r="D272" s="27" t="s">
        <v>871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10.0</v>
      </c>
      <c r="K272" s="33" t="n">
        <f>2126</f>
        <v>2126.0</v>
      </c>
      <c r="L272" s="34" t="s">
        <v>48</v>
      </c>
      <c r="M272" s="33" t="n">
        <f>2196</f>
        <v>2196.0</v>
      </c>
      <c r="N272" s="34" t="s">
        <v>239</v>
      </c>
      <c r="O272" s="33" t="n">
        <f>2099</f>
        <v>2099.0</v>
      </c>
      <c r="P272" s="34" t="s">
        <v>50</v>
      </c>
      <c r="Q272" s="33" t="n">
        <f>2194</f>
        <v>2194.0</v>
      </c>
      <c r="R272" s="34" t="s">
        <v>51</v>
      </c>
      <c r="S272" s="35" t="n">
        <f>2153.68</f>
        <v>2153.68</v>
      </c>
      <c r="T272" s="32" t="n">
        <f>418190</f>
        <v>418190.0</v>
      </c>
      <c r="U272" s="32" t="str">
        <f>"－"</f>
        <v>－</v>
      </c>
      <c r="V272" s="32" t="n">
        <f>902724120</f>
        <v>9.0272412E8</v>
      </c>
      <c r="W272" s="32" t="str">
        <f>"－"</f>
        <v>－</v>
      </c>
      <c r="X272" s="36" t="n">
        <f>22</f>
        <v>22.0</v>
      </c>
    </row>
    <row r="273">
      <c r="A273" s="27" t="s">
        <v>42</v>
      </c>
      <c r="B273" s="27" t="s">
        <v>872</v>
      </c>
      <c r="C273" s="27" t="s">
        <v>873</v>
      </c>
      <c r="D273" s="27" t="s">
        <v>874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10.0</v>
      </c>
      <c r="K273" s="33" t="n">
        <f>2121</f>
        <v>2121.0</v>
      </c>
      <c r="L273" s="34" t="s">
        <v>48</v>
      </c>
      <c r="M273" s="33" t="n">
        <f>2173</f>
        <v>2173.0</v>
      </c>
      <c r="N273" s="34" t="s">
        <v>51</v>
      </c>
      <c r="O273" s="33" t="n">
        <f>2090</f>
        <v>2090.0</v>
      </c>
      <c r="P273" s="34" t="s">
        <v>50</v>
      </c>
      <c r="Q273" s="33" t="n">
        <f>2170</f>
        <v>2170.0</v>
      </c>
      <c r="R273" s="34" t="s">
        <v>51</v>
      </c>
      <c r="S273" s="35" t="n">
        <f>2139.55</f>
        <v>2139.55</v>
      </c>
      <c r="T273" s="32" t="n">
        <f>499850</f>
        <v>499850.0</v>
      </c>
      <c r="U273" s="32" t="n">
        <f>190000</f>
        <v>190000.0</v>
      </c>
      <c r="V273" s="32" t="n">
        <f>1066136840</f>
        <v>1.06613684E9</v>
      </c>
      <c r="W273" s="32" t="n">
        <f>406755800</f>
        <v>4.067558E8</v>
      </c>
      <c r="X273" s="36" t="n">
        <f>22</f>
        <v>22.0</v>
      </c>
    </row>
    <row r="274">
      <c r="A274" s="27" t="s">
        <v>42</v>
      </c>
      <c r="B274" s="27" t="s">
        <v>875</v>
      </c>
      <c r="C274" s="27" t="s">
        <v>876</v>
      </c>
      <c r="D274" s="27" t="s">
        <v>877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10.0</v>
      </c>
      <c r="K274" s="33" t="n">
        <f>2125</f>
        <v>2125.0</v>
      </c>
      <c r="L274" s="34" t="s">
        <v>48</v>
      </c>
      <c r="M274" s="33" t="n">
        <f>2203</f>
        <v>2203.0</v>
      </c>
      <c r="N274" s="34" t="s">
        <v>51</v>
      </c>
      <c r="O274" s="33" t="n">
        <f>2105</f>
        <v>2105.0</v>
      </c>
      <c r="P274" s="34" t="s">
        <v>50</v>
      </c>
      <c r="Q274" s="33" t="n">
        <f>2201</f>
        <v>2201.0</v>
      </c>
      <c r="R274" s="34" t="s">
        <v>51</v>
      </c>
      <c r="S274" s="35" t="n">
        <f>2156.77</f>
        <v>2156.77</v>
      </c>
      <c r="T274" s="32" t="n">
        <f>22170</f>
        <v>22170.0</v>
      </c>
      <c r="U274" s="32" t="str">
        <f>"－"</f>
        <v>－</v>
      </c>
      <c r="V274" s="32" t="n">
        <f>47644620</f>
        <v>4.764462E7</v>
      </c>
      <c r="W274" s="32" t="str">
        <f>"－"</f>
        <v>－</v>
      </c>
      <c r="X274" s="36" t="n">
        <f>22</f>
        <v>22.0</v>
      </c>
    </row>
    <row r="275">
      <c r="A275" s="27" t="s">
        <v>42</v>
      </c>
      <c r="B275" s="27" t="s">
        <v>878</v>
      </c>
      <c r="C275" s="27" t="s">
        <v>879</v>
      </c>
      <c r="D275" s="27" t="s">
        <v>880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2637</f>
        <v>2637.0</v>
      </c>
      <c r="L275" s="34" t="s">
        <v>48</v>
      </c>
      <c r="M275" s="33" t="n">
        <f>2706</f>
        <v>2706.0</v>
      </c>
      <c r="N275" s="34" t="s">
        <v>51</v>
      </c>
      <c r="O275" s="33" t="n">
        <f>2600</f>
        <v>2600.0</v>
      </c>
      <c r="P275" s="34" t="s">
        <v>50</v>
      </c>
      <c r="Q275" s="33" t="n">
        <f>2691</f>
        <v>2691.0</v>
      </c>
      <c r="R275" s="34" t="s">
        <v>51</v>
      </c>
      <c r="S275" s="35" t="n">
        <f>2665.18</f>
        <v>2665.18</v>
      </c>
      <c r="T275" s="32" t="n">
        <f>86036</f>
        <v>86036.0</v>
      </c>
      <c r="U275" s="32" t="str">
        <f>"－"</f>
        <v>－</v>
      </c>
      <c r="V275" s="32" t="n">
        <f>229110552</f>
        <v>2.29110552E8</v>
      </c>
      <c r="W275" s="32" t="str">
        <f>"－"</f>
        <v>－</v>
      </c>
      <c r="X275" s="36" t="n">
        <f>22</f>
        <v>22.0</v>
      </c>
    </row>
    <row r="276">
      <c r="A276" s="27" t="s">
        <v>42</v>
      </c>
      <c r="B276" s="27" t="s">
        <v>881</v>
      </c>
      <c r="C276" s="27" t="s">
        <v>882</v>
      </c>
      <c r="D276" s="27" t="s">
        <v>883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1695</f>
        <v>1695.0</v>
      </c>
      <c r="L276" s="34" t="s">
        <v>48</v>
      </c>
      <c r="M276" s="33" t="n">
        <f>1713</f>
        <v>1713.0</v>
      </c>
      <c r="N276" s="34" t="s">
        <v>51</v>
      </c>
      <c r="O276" s="33" t="n">
        <f>1635</f>
        <v>1635.0</v>
      </c>
      <c r="P276" s="34" t="s">
        <v>50</v>
      </c>
      <c r="Q276" s="33" t="n">
        <f>1693</f>
        <v>1693.0</v>
      </c>
      <c r="R276" s="34" t="s">
        <v>51</v>
      </c>
      <c r="S276" s="35" t="n">
        <f>1688.5</f>
        <v>1688.5</v>
      </c>
      <c r="T276" s="32" t="n">
        <f>1093873</f>
        <v>1093873.0</v>
      </c>
      <c r="U276" s="32" t="n">
        <f>540002</f>
        <v>540002.0</v>
      </c>
      <c r="V276" s="32" t="n">
        <f>1845665945</f>
        <v>1.845665945E9</v>
      </c>
      <c r="W276" s="32" t="n">
        <f>913159305</f>
        <v>9.13159305E8</v>
      </c>
      <c r="X276" s="36" t="n">
        <f>22</f>
        <v>22.0</v>
      </c>
    </row>
    <row r="277">
      <c r="A277" s="27" t="s">
        <v>42</v>
      </c>
      <c r="B277" s="27" t="s">
        <v>884</v>
      </c>
      <c r="C277" s="27" t="s">
        <v>885</v>
      </c>
      <c r="D277" s="27" t="s">
        <v>886</v>
      </c>
      <c r="E277" s="28" t="s">
        <v>887</v>
      </c>
      <c r="F277" s="29" t="s">
        <v>888</v>
      </c>
      <c r="G277" s="30" t="s">
        <v>889</v>
      </c>
      <c r="H277" s="31"/>
      <c r="I277" s="31" t="s">
        <v>47</v>
      </c>
      <c r="J277" s="32" t="n">
        <v>1.0</v>
      </c>
      <c r="K277" s="33" t="n">
        <f>2324</f>
        <v>2324.0</v>
      </c>
      <c r="L277" s="34" t="s">
        <v>413</v>
      </c>
      <c r="M277" s="33" t="n">
        <f>2336</f>
        <v>2336.0</v>
      </c>
      <c r="N277" s="34" t="s">
        <v>413</v>
      </c>
      <c r="O277" s="33" t="n">
        <f>2295</f>
        <v>2295.0</v>
      </c>
      <c r="P277" s="34" t="s">
        <v>199</v>
      </c>
      <c r="Q277" s="33" t="n">
        <f>2319</f>
        <v>2319.0</v>
      </c>
      <c r="R277" s="34" t="s">
        <v>51</v>
      </c>
      <c r="S277" s="35" t="n">
        <f>2317.67</f>
        <v>2317.67</v>
      </c>
      <c r="T277" s="32" t="n">
        <f>156719</f>
        <v>156719.0</v>
      </c>
      <c r="U277" s="32" t="n">
        <f>100000</f>
        <v>100000.0</v>
      </c>
      <c r="V277" s="32" t="n">
        <f>363456206</f>
        <v>3.63456206E8</v>
      </c>
      <c r="W277" s="32" t="n">
        <f>231716000</f>
        <v>2.31716E8</v>
      </c>
      <c r="X277" s="36" t="n">
        <f>6</f>
        <v>6.0</v>
      </c>
    </row>
    <row r="278">
      <c r="A278" s="27" t="s">
        <v>42</v>
      </c>
      <c r="B278" s="27" t="s">
        <v>890</v>
      </c>
      <c r="C278" s="27" t="s">
        <v>891</v>
      </c>
      <c r="D278" s="27" t="s">
        <v>892</v>
      </c>
      <c r="E278" s="28" t="s">
        <v>887</v>
      </c>
      <c r="F278" s="29" t="s">
        <v>888</v>
      </c>
      <c r="G278" s="30" t="s">
        <v>889</v>
      </c>
      <c r="H278" s="31"/>
      <c r="I278" s="31" t="s">
        <v>47</v>
      </c>
      <c r="J278" s="32" t="n">
        <v>1.0</v>
      </c>
      <c r="K278" s="33" t="n">
        <f>1877</f>
        <v>1877.0</v>
      </c>
      <c r="L278" s="34" t="s">
        <v>413</v>
      </c>
      <c r="M278" s="33" t="n">
        <f>1890</f>
        <v>1890.0</v>
      </c>
      <c r="N278" s="34" t="s">
        <v>413</v>
      </c>
      <c r="O278" s="33" t="n">
        <f>1858</f>
        <v>1858.0</v>
      </c>
      <c r="P278" s="34" t="s">
        <v>199</v>
      </c>
      <c r="Q278" s="33" t="n">
        <f>1876</f>
        <v>1876.0</v>
      </c>
      <c r="R278" s="34" t="s">
        <v>51</v>
      </c>
      <c r="S278" s="35" t="n">
        <f>1870.83</f>
        <v>1870.83</v>
      </c>
      <c r="T278" s="32" t="n">
        <f>172474</f>
        <v>172474.0</v>
      </c>
      <c r="U278" s="32" t="n">
        <f>130000</f>
        <v>130000.0</v>
      </c>
      <c r="V278" s="32" t="n">
        <f>323121878</f>
        <v>3.23121878E8</v>
      </c>
      <c r="W278" s="32" t="n">
        <f>243445400</f>
        <v>2.434454E8</v>
      </c>
      <c r="X278" s="36" t="n">
        <f>6</f>
        <v>6.0</v>
      </c>
    </row>
    <row r="279">
      <c r="A279" s="27" t="s">
        <v>42</v>
      </c>
      <c r="B279" s="27" t="s">
        <v>893</v>
      </c>
      <c r="C279" s="27" t="s">
        <v>894</v>
      </c>
      <c r="D279" s="27" t="s">
        <v>895</v>
      </c>
      <c r="E279" s="28" t="s">
        <v>887</v>
      </c>
      <c r="F279" s="29" t="s">
        <v>888</v>
      </c>
      <c r="G279" s="30" t="s">
        <v>889</v>
      </c>
      <c r="H279" s="31"/>
      <c r="I279" s="31" t="s">
        <v>47</v>
      </c>
      <c r="J279" s="32" t="n">
        <v>1.0</v>
      </c>
      <c r="K279" s="33" t="n">
        <f>2532</f>
        <v>2532.0</v>
      </c>
      <c r="L279" s="34" t="s">
        <v>413</v>
      </c>
      <c r="M279" s="33" t="n">
        <f>2549</f>
        <v>2549.0</v>
      </c>
      <c r="N279" s="34" t="s">
        <v>51</v>
      </c>
      <c r="O279" s="33" t="n">
        <f>2512</f>
        <v>2512.0</v>
      </c>
      <c r="P279" s="34" t="s">
        <v>239</v>
      </c>
      <c r="Q279" s="33" t="n">
        <f>2535</f>
        <v>2535.0</v>
      </c>
      <c r="R279" s="34" t="s">
        <v>51</v>
      </c>
      <c r="S279" s="35" t="n">
        <f>2526.17</f>
        <v>2526.17</v>
      </c>
      <c r="T279" s="32" t="n">
        <f>145709</f>
        <v>145709.0</v>
      </c>
      <c r="U279" s="32" t="n">
        <f>85000</f>
        <v>85000.0</v>
      </c>
      <c r="V279" s="32" t="n">
        <f>368285060</f>
        <v>3.6828506E8</v>
      </c>
      <c r="W279" s="32" t="n">
        <f>214640900</f>
        <v>2.146409E8</v>
      </c>
      <c r="X279" s="36" t="n">
        <f>6</f>
        <v>6.0</v>
      </c>
    </row>
    <row r="280">
      <c r="A280" s="27" t="s">
        <v>42</v>
      </c>
      <c r="B280" s="27" t="s">
        <v>896</v>
      </c>
      <c r="C280" s="27" t="s">
        <v>897</v>
      </c>
      <c r="D280" s="27" t="s">
        <v>898</v>
      </c>
      <c r="E280" s="28" t="s">
        <v>887</v>
      </c>
      <c r="F280" s="29" t="s">
        <v>888</v>
      </c>
      <c r="G280" s="30" t="s">
        <v>889</v>
      </c>
      <c r="H280" s="31"/>
      <c r="I280" s="31" t="s">
        <v>47</v>
      </c>
      <c r="J280" s="32" t="n">
        <v>1.0</v>
      </c>
      <c r="K280" s="33" t="n">
        <f>1947</f>
        <v>1947.0</v>
      </c>
      <c r="L280" s="34" t="s">
        <v>413</v>
      </c>
      <c r="M280" s="33" t="n">
        <f>1961</f>
        <v>1961.0</v>
      </c>
      <c r="N280" s="34" t="s">
        <v>239</v>
      </c>
      <c r="O280" s="33" t="n">
        <f>1935</f>
        <v>1935.0</v>
      </c>
      <c r="P280" s="34" t="s">
        <v>199</v>
      </c>
      <c r="Q280" s="33" t="n">
        <f>1947</f>
        <v>1947.0</v>
      </c>
      <c r="R280" s="34" t="s">
        <v>51</v>
      </c>
      <c r="S280" s="35" t="n">
        <f>1947.33</f>
        <v>1947.33</v>
      </c>
      <c r="T280" s="32" t="n">
        <f>217633</f>
        <v>217633.0</v>
      </c>
      <c r="U280" s="32" t="n">
        <f>115000</f>
        <v>115000.0</v>
      </c>
      <c r="V280" s="32" t="n">
        <f>424117942</f>
        <v>4.24117942E8</v>
      </c>
      <c r="W280" s="32" t="n">
        <f>223876500</f>
        <v>2.238765E8</v>
      </c>
      <c r="X280" s="36" t="n">
        <f>6</f>
        <v>6.0</v>
      </c>
    </row>
    <row r="281">
      <c r="A281" s="27" t="s">
        <v>42</v>
      </c>
      <c r="B281" s="27" t="s">
        <v>899</v>
      </c>
      <c r="C281" s="27" t="s">
        <v>900</v>
      </c>
      <c r="D281" s="27" t="s">
        <v>901</v>
      </c>
      <c r="E281" s="28" t="s">
        <v>887</v>
      </c>
      <c r="F281" s="29" t="s">
        <v>888</v>
      </c>
      <c r="G281" s="30" t="s">
        <v>889</v>
      </c>
      <c r="H281" s="31"/>
      <c r="I281" s="31" t="s">
        <v>47</v>
      </c>
      <c r="J281" s="32" t="n">
        <v>1.0</v>
      </c>
      <c r="K281" s="33" t="n">
        <f>26100</f>
        <v>26100.0</v>
      </c>
      <c r="L281" s="34" t="s">
        <v>413</v>
      </c>
      <c r="M281" s="33" t="n">
        <f>26390</f>
        <v>26390.0</v>
      </c>
      <c r="N281" s="34" t="s">
        <v>413</v>
      </c>
      <c r="O281" s="33" t="n">
        <f>25740</f>
        <v>25740.0</v>
      </c>
      <c r="P281" s="34" t="s">
        <v>73</v>
      </c>
      <c r="Q281" s="33" t="n">
        <f>25940</f>
        <v>25940.0</v>
      </c>
      <c r="R281" s="34" t="s">
        <v>51</v>
      </c>
      <c r="S281" s="35" t="n">
        <f>25850</f>
        <v>25850.0</v>
      </c>
      <c r="T281" s="32" t="n">
        <f>38937</f>
        <v>38937.0</v>
      </c>
      <c r="U281" s="32" t="n">
        <f>38786</f>
        <v>38786.0</v>
      </c>
      <c r="V281" s="32" t="n">
        <f>1003911957</f>
        <v>1.003911957E9</v>
      </c>
      <c r="W281" s="32" t="n">
        <f>999992857</f>
        <v>9.99992857E8</v>
      </c>
      <c r="X281" s="36" t="n">
        <f>6</f>
        <v>6.0</v>
      </c>
    </row>
    <row r="282">
      <c r="A282" s="27" t="s">
        <v>42</v>
      </c>
      <c r="B282" s="27" t="s">
        <v>902</v>
      </c>
      <c r="C282" s="27" t="s">
        <v>903</v>
      </c>
      <c r="D282" s="27" t="s">
        <v>904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134100</f>
        <v>134100.0</v>
      </c>
      <c r="L282" s="34" t="s">
        <v>48</v>
      </c>
      <c r="M282" s="33" t="n">
        <f>144200</f>
        <v>144200.0</v>
      </c>
      <c r="N282" s="34" t="s">
        <v>73</v>
      </c>
      <c r="O282" s="33" t="n">
        <f>132900</f>
        <v>132900.0</v>
      </c>
      <c r="P282" s="34" t="s">
        <v>122</v>
      </c>
      <c r="Q282" s="33" t="n">
        <f>142800</f>
        <v>142800.0</v>
      </c>
      <c r="R282" s="34" t="s">
        <v>51</v>
      </c>
      <c r="S282" s="35" t="n">
        <f>138522.73</f>
        <v>138522.73</v>
      </c>
      <c r="T282" s="32" t="n">
        <f>19545</f>
        <v>19545.0</v>
      </c>
      <c r="U282" s="32" t="n">
        <f>1525</f>
        <v>1525.0</v>
      </c>
      <c r="V282" s="32" t="n">
        <f>2709290974</f>
        <v>2.709290974E9</v>
      </c>
      <c r="W282" s="32" t="n">
        <f>210542274</f>
        <v>2.10542274E8</v>
      </c>
      <c r="X282" s="36" t="n">
        <f>22</f>
        <v>22.0</v>
      </c>
    </row>
    <row r="283">
      <c r="A283" s="27" t="s">
        <v>42</v>
      </c>
      <c r="B283" s="27" t="s">
        <v>905</v>
      </c>
      <c r="C283" s="27" t="s">
        <v>906</v>
      </c>
      <c r="D283" s="27" t="s">
        <v>907</v>
      </c>
      <c r="E283" s="28" t="s">
        <v>46</v>
      </c>
      <c r="F283" s="29" t="s">
        <v>46</v>
      </c>
      <c r="G283" s="30" t="s">
        <v>46</v>
      </c>
      <c r="H283" s="31"/>
      <c r="I283" s="31" t="s">
        <v>634</v>
      </c>
      <c r="J283" s="32" t="n">
        <v>1.0</v>
      </c>
      <c r="K283" s="33" t="n">
        <f>123200</f>
        <v>123200.0</v>
      </c>
      <c r="L283" s="34" t="s">
        <v>48</v>
      </c>
      <c r="M283" s="33" t="n">
        <f>134100</f>
        <v>134100.0</v>
      </c>
      <c r="N283" s="34" t="s">
        <v>51</v>
      </c>
      <c r="O283" s="33" t="n">
        <f>121700</f>
        <v>121700.0</v>
      </c>
      <c r="P283" s="34" t="s">
        <v>48</v>
      </c>
      <c r="Q283" s="33" t="n">
        <f>133700</f>
        <v>133700.0</v>
      </c>
      <c r="R283" s="34" t="s">
        <v>51</v>
      </c>
      <c r="S283" s="35" t="n">
        <f>128840.91</f>
        <v>128840.91</v>
      </c>
      <c r="T283" s="32" t="n">
        <f>32672</f>
        <v>32672.0</v>
      </c>
      <c r="U283" s="32" t="n">
        <f>7123</f>
        <v>7123.0</v>
      </c>
      <c r="V283" s="32" t="n">
        <f>4214914062</f>
        <v>4.214914062E9</v>
      </c>
      <c r="W283" s="32" t="n">
        <f>913791662</f>
        <v>9.13791662E8</v>
      </c>
      <c r="X283" s="36" t="n">
        <f>22</f>
        <v>22.0</v>
      </c>
    </row>
    <row r="284">
      <c r="A284" s="27" t="s">
        <v>42</v>
      </c>
      <c r="B284" s="27" t="s">
        <v>908</v>
      </c>
      <c r="C284" s="27" t="s">
        <v>909</v>
      </c>
      <c r="D284" s="27" t="s">
        <v>910</v>
      </c>
      <c r="E284" s="28" t="s">
        <v>46</v>
      </c>
      <c r="F284" s="29" t="s">
        <v>46</v>
      </c>
      <c r="G284" s="30" t="s">
        <v>46</v>
      </c>
      <c r="H284" s="31"/>
      <c r="I284" s="31" t="s">
        <v>634</v>
      </c>
      <c r="J284" s="32" t="n">
        <v>1.0</v>
      </c>
      <c r="K284" s="33" t="n">
        <f>145400</f>
        <v>145400.0</v>
      </c>
      <c r="L284" s="34" t="s">
        <v>48</v>
      </c>
      <c r="M284" s="33" t="n">
        <f>158700</f>
        <v>158700.0</v>
      </c>
      <c r="N284" s="34" t="s">
        <v>73</v>
      </c>
      <c r="O284" s="33" t="n">
        <f>143300</f>
        <v>143300.0</v>
      </c>
      <c r="P284" s="34" t="s">
        <v>198</v>
      </c>
      <c r="Q284" s="33" t="n">
        <f>157600</f>
        <v>157600.0</v>
      </c>
      <c r="R284" s="34" t="s">
        <v>51</v>
      </c>
      <c r="S284" s="35" t="n">
        <f>150159.09</f>
        <v>150159.09</v>
      </c>
      <c r="T284" s="32" t="n">
        <f>62262</f>
        <v>62262.0</v>
      </c>
      <c r="U284" s="32" t="n">
        <f>9575</f>
        <v>9575.0</v>
      </c>
      <c r="V284" s="32" t="n">
        <f>9341360223</f>
        <v>9.341360223E9</v>
      </c>
      <c r="W284" s="32" t="n">
        <f>1421770223</f>
        <v>1.421770223E9</v>
      </c>
      <c r="X284" s="36" t="n">
        <f>22</f>
        <v>22.0</v>
      </c>
    </row>
    <row r="285">
      <c r="A285" s="27" t="s">
        <v>42</v>
      </c>
      <c r="B285" s="27" t="s">
        <v>911</v>
      </c>
      <c r="C285" s="27" t="s">
        <v>912</v>
      </c>
      <c r="D285" s="27" t="s">
        <v>913</v>
      </c>
      <c r="E285" s="28" t="s">
        <v>887</v>
      </c>
      <c r="F285" s="29" t="s">
        <v>888</v>
      </c>
      <c r="G285" s="30" t="s">
        <v>914</v>
      </c>
      <c r="H285" s="31"/>
      <c r="I285" s="31" t="s">
        <v>634</v>
      </c>
      <c r="J285" s="32" t="n">
        <v>1.0</v>
      </c>
      <c r="K285" s="33" t="n">
        <f>101500</f>
        <v>101500.0</v>
      </c>
      <c r="L285" s="34" t="s">
        <v>403</v>
      </c>
      <c r="M285" s="33" t="n">
        <f>109000</f>
        <v>109000.0</v>
      </c>
      <c r="N285" s="34" t="s">
        <v>413</v>
      </c>
      <c r="O285" s="33" t="n">
        <f>101200</f>
        <v>101200.0</v>
      </c>
      <c r="P285" s="34" t="s">
        <v>403</v>
      </c>
      <c r="Q285" s="33" t="n">
        <f>106300</f>
        <v>106300.0</v>
      </c>
      <c r="R285" s="34" t="s">
        <v>51</v>
      </c>
      <c r="S285" s="35" t="n">
        <f>105614.29</f>
        <v>105614.29</v>
      </c>
      <c r="T285" s="32" t="n">
        <f>85566</f>
        <v>85566.0</v>
      </c>
      <c r="U285" s="32" t="n">
        <f>215</f>
        <v>215.0</v>
      </c>
      <c r="V285" s="32" t="n">
        <f>8910424042</f>
        <v>8.910424042E9</v>
      </c>
      <c r="W285" s="32" t="n">
        <f>22683442</f>
        <v>2.2683442E7</v>
      </c>
      <c r="X285" s="36" t="n">
        <f>7</f>
        <v>7.0</v>
      </c>
    </row>
    <row r="286">
      <c r="A286" s="27" t="s">
        <v>42</v>
      </c>
      <c r="B286" s="27" t="s">
        <v>915</v>
      </c>
      <c r="C286" s="27" t="s">
        <v>916</v>
      </c>
      <c r="D286" s="27" t="s">
        <v>917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632000</f>
        <v>632000.0</v>
      </c>
      <c r="L286" s="34" t="s">
        <v>48</v>
      </c>
      <c r="M286" s="33" t="n">
        <f>656000</f>
        <v>656000.0</v>
      </c>
      <c r="N286" s="34" t="s">
        <v>98</v>
      </c>
      <c r="O286" s="33" t="n">
        <f>616000</f>
        <v>616000.0</v>
      </c>
      <c r="P286" s="34" t="s">
        <v>199</v>
      </c>
      <c r="Q286" s="33" t="n">
        <f>641000</f>
        <v>641000.0</v>
      </c>
      <c r="R286" s="34" t="s">
        <v>51</v>
      </c>
      <c r="S286" s="35" t="n">
        <f>635363.64</f>
        <v>635363.64</v>
      </c>
      <c r="T286" s="32" t="n">
        <f>64667</f>
        <v>64667.0</v>
      </c>
      <c r="U286" s="32" t="n">
        <f>15227</f>
        <v>15227.0</v>
      </c>
      <c r="V286" s="32" t="n">
        <f>40982347280</f>
        <v>4.098234728E10</v>
      </c>
      <c r="W286" s="32" t="n">
        <f>9623566280</f>
        <v>9.62356628E9</v>
      </c>
      <c r="X286" s="36" t="n">
        <f>22</f>
        <v>22.0</v>
      </c>
    </row>
    <row r="287">
      <c r="A287" s="27" t="s">
        <v>42</v>
      </c>
      <c r="B287" s="27" t="s">
        <v>918</v>
      </c>
      <c r="C287" s="27" t="s">
        <v>919</v>
      </c>
      <c r="D287" s="27" t="s">
        <v>920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157100</f>
        <v>157100.0</v>
      </c>
      <c r="L287" s="34" t="s">
        <v>48</v>
      </c>
      <c r="M287" s="33" t="n">
        <f>169000</f>
        <v>169000.0</v>
      </c>
      <c r="N287" s="34" t="s">
        <v>73</v>
      </c>
      <c r="O287" s="33" t="n">
        <f>156900</f>
        <v>156900.0</v>
      </c>
      <c r="P287" s="34" t="s">
        <v>48</v>
      </c>
      <c r="Q287" s="33" t="n">
        <f>166600</f>
        <v>166600.0</v>
      </c>
      <c r="R287" s="34" t="s">
        <v>51</v>
      </c>
      <c r="S287" s="35" t="n">
        <f>163981.82</f>
        <v>163981.82</v>
      </c>
      <c r="T287" s="32" t="n">
        <f>131040</f>
        <v>131040.0</v>
      </c>
      <c r="U287" s="32" t="n">
        <f>23715</f>
        <v>23715.0</v>
      </c>
      <c r="V287" s="32" t="n">
        <f>21450362635</f>
        <v>2.1450362635E10</v>
      </c>
      <c r="W287" s="32" t="n">
        <f>3880130935</f>
        <v>3.880130935E9</v>
      </c>
      <c r="X287" s="36" t="n">
        <f>22</f>
        <v>22.0</v>
      </c>
    </row>
    <row r="288">
      <c r="A288" s="27" t="s">
        <v>42</v>
      </c>
      <c r="B288" s="27" t="s">
        <v>921</v>
      </c>
      <c r="C288" s="27" t="s">
        <v>922</v>
      </c>
      <c r="D288" s="27" t="s">
        <v>923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194800</f>
        <v>194800.0</v>
      </c>
      <c r="L288" s="34" t="s">
        <v>48</v>
      </c>
      <c r="M288" s="33" t="n">
        <f>213700</f>
        <v>213700.0</v>
      </c>
      <c r="N288" s="34" t="s">
        <v>51</v>
      </c>
      <c r="O288" s="33" t="n">
        <f>193700</f>
        <v>193700.0</v>
      </c>
      <c r="P288" s="34" t="s">
        <v>48</v>
      </c>
      <c r="Q288" s="33" t="n">
        <f>211900</f>
        <v>211900.0</v>
      </c>
      <c r="R288" s="34" t="s">
        <v>51</v>
      </c>
      <c r="S288" s="35" t="n">
        <f>204590.91</f>
        <v>204590.91</v>
      </c>
      <c r="T288" s="32" t="n">
        <f>166323</f>
        <v>166323.0</v>
      </c>
      <c r="U288" s="32" t="n">
        <f>38544</f>
        <v>38544.0</v>
      </c>
      <c r="V288" s="32" t="n">
        <f>33983022602</f>
        <v>3.3983022602E10</v>
      </c>
      <c r="W288" s="32" t="n">
        <f>7826560002</f>
        <v>7.826560002E9</v>
      </c>
      <c r="X288" s="36" t="n">
        <f>22</f>
        <v>22.0</v>
      </c>
    </row>
    <row r="289">
      <c r="A289" s="27" t="s">
        <v>42</v>
      </c>
      <c r="B289" s="27" t="s">
        <v>924</v>
      </c>
      <c r="C289" s="27" t="s">
        <v>925</v>
      </c>
      <c r="D289" s="27" t="s">
        <v>926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1.0</v>
      </c>
      <c r="K289" s="33" t="n">
        <f>352000</f>
        <v>352000.0</v>
      </c>
      <c r="L289" s="34" t="s">
        <v>48</v>
      </c>
      <c r="M289" s="33" t="n">
        <f>371500</f>
        <v>371500.0</v>
      </c>
      <c r="N289" s="34" t="s">
        <v>51</v>
      </c>
      <c r="O289" s="33" t="n">
        <f>349000</f>
        <v>349000.0</v>
      </c>
      <c r="P289" s="34" t="s">
        <v>48</v>
      </c>
      <c r="Q289" s="33" t="n">
        <f>370000</f>
        <v>370000.0</v>
      </c>
      <c r="R289" s="34" t="s">
        <v>51</v>
      </c>
      <c r="S289" s="35" t="n">
        <f>362409.09</f>
        <v>362409.09</v>
      </c>
      <c r="T289" s="32" t="n">
        <f>102457</f>
        <v>102457.0</v>
      </c>
      <c r="U289" s="32" t="n">
        <f>20387</f>
        <v>20387.0</v>
      </c>
      <c r="V289" s="32" t="n">
        <f>37034585798</f>
        <v>3.7034585798E10</v>
      </c>
      <c r="W289" s="32" t="n">
        <f>7355020798</f>
        <v>7.355020798E9</v>
      </c>
      <c r="X289" s="36" t="n">
        <f>22</f>
        <v>22.0</v>
      </c>
    </row>
    <row r="290">
      <c r="A290" s="27" t="s">
        <v>42</v>
      </c>
      <c r="B290" s="27" t="s">
        <v>927</v>
      </c>
      <c r="C290" s="27" t="s">
        <v>928</v>
      </c>
      <c r="D290" s="27" t="s">
        <v>929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224400</f>
        <v>224400.0</v>
      </c>
      <c r="L290" s="34" t="s">
        <v>48</v>
      </c>
      <c r="M290" s="33" t="n">
        <f>241000</f>
        <v>241000.0</v>
      </c>
      <c r="N290" s="34" t="s">
        <v>51</v>
      </c>
      <c r="O290" s="33" t="n">
        <f>221900</f>
        <v>221900.0</v>
      </c>
      <c r="P290" s="34" t="s">
        <v>48</v>
      </c>
      <c r="Q290" s="33" t="n">
        <f>240100</f>
        <v>240100.0</v>
      </c>
      <c r="R290" s="34" t="s">
        <v>51</v>
      </c>
      <c r="S290" s="35" t="n">
        <f>233109.09</f>
        <v>233109.09</v>
      </c>
      <c r="T290" s="32" t="n">
        <f>77017</f>
        <v>77017.0</v>
      </c>
      <c r="U290" s="32" t="n">
        <f>17695</f>
        <v>17695.0</v>
      </c>
      <c r="V290" s="32" t="n">
        <f>17897574618</f>
        <v>1.7897574618E10</v>
      </c>
      <c r="W290" s="32" t="n">
        <f>4113557218</f>
        <v>4.113557218E9</v>
      </c>
      <c r="X290" s="36" t="n">
        <f>22</f>
        <v>22.0</v>
      </c>
    </row>
    <row r="291">
      <c r="A291" s="27" t="s">
        <v>42</v>
      </c>
      <c r="B291" s="27" t="s">
        <v>930</v>
      </c>
      <c r="C291" s="27" t="s">
        <v>931</v>
      </c>
      <c r="D291" s="27" t="s">
        <v>932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1.0</v>
      </c>
      <c r="K291" s="33" t="n">
        <f>496500</f>
        <v>496500.0</v>
      </c>
      <c r="L291" s="34" t="s">
        <v>48</v>
      </c>
      <c r="M291" s="33" t="n">
        <f>530000</f>
        <v>530000.0</v>
      </c>
      <c r="N291" s="34" t="s">
        <v>51</v>
      </c>
      <c r="O291" s="33" t="n">
        <f>492000</f>
        <v>492000.0</v>
      </c>
      <c r="P291" s="34" t="s">
        <v>48</v>
      </c>
      <c r="Q291" s="33" t="n">
        <f>526000</f>
        <v>526000.0</v>
      </c>
      <c r="R291" s="34" t="s">
        <v>51</v>
      </c>
      <c r="S291" s="35" t="n">
        <f>510272.73</f>
        <v>510272.73</v>
      </c>
      <c r="T291" s="32" t="n">
        <f>71247</f>
        <v>71247.0</v>
      </c>
      <c r="U291" s="32" t="n">
        <f>17424</f>
        <v>17424.0</v>
      </c>
      <c r="V291" s="32" t="n">
        <f>36262666928</f>
        <v>3.6262666928E10</v>
      </c>
      <c r="W291" s="32" t="n">
        <f>8865097428</f>
        <v>8.865097428E9</v>
      </c>
      <c r="X291" s="36" t="n">
        <f>22</f>
        <v>22.0</v>
      </c>
    </row>
    <row r="292">
      <c r="A292" s="27" t="s">
        <v>42</v>
      </c>
      <c r="B292" s="27" t="s">
        <v>933</v>
      </c>
      <c r="C292" s="27" t="s">
        <v>934</v>
      </c>
      <c r="D292" s="27" t="s">
        <v>935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186100</f>
        <v>186100.0</v>
      </c>
      <c r="L292" s="34" t="s">
        <v>48</v>
      </c>
      <c r="M292" s="33" t="n">
        <f>195000</f>
        <v>195000.0</v>
      </c>
      <c r="N292" s="34" t="s">
        <v>51</v>
      </c>
      <c r="O292" s="33" t="n">
        <f>182000</f>
        <v>182000.0</v>
      </c>
      <c r="P292" s="34" t="s">
        <v>171</v>
      </c>
      <c r="Q292" s="33" t="n">
        <f>191600</f>
        <v>191600.0</v>
      </c>
      <c r="R292" s="34" t="s">
        <v>51</v>
      </c>
      <c r="S292" s="35" t="n">
        <f>188486.36</f>
        <v>188486.36</v>
      </c>
      <c r="T292" s="32" t="n">
        <f>383415</f>
        <v>383415.0</v>
      </c>
      <c r="U292" s="32" t="n">
        <f>72228</f>
        <v>72228.0</v>
      </c>
      <c r="V292" s="32" t="n">
        <f>72111222394</f>
        <v>7.2111222394E10</v>
      </c>
      <c r="W292" s="32" t="n">
        <f>13558043394</f>
        <v>1.3558043394E10</v>
      </c>
      <c r="X292" s="36" t="n">
        <f>22</f>
        <v>22.0</v>
      </c>
    </row>
    <row r="293">
      <c r="A293" s="27" t="s">
        <v>42</v>
      </c>
      <c r="B293" s="27" t="s">
        <v>936</v>
      </c>
      <c r="C293" s="27" t="s">
        <v>937</v>
      </c>
      <c r="D293" s="27" t="s">
        <v>938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338000</f>
        <v>338000.0</v>
      </c>
      <c r="L293" s="34" t="s">
        <v>48</v>
      </c>
      <c r="M293" s="33" t="n">
        <f>361000</f>
        <v>361000.0</v>
      </c>
      <c r="N293" s="34" t="s">
        <v>105</v>
      </c>
      <c r="O293" s="33" t="n">
        <f>335000</f>
        <v>335000.0</v>
      </c>
      <c r="P293" s="34" t="s">
        <v>48</v>
      </c>
      <c r="Q293" s="33" t="n">
        <f>350000</f>
        <v>350000.0</v>
      </c>
      <c r="R293" s="34" t="s">
        <v>51</v>
      </c>
      <c r="S293" s="35" t="n">
        <f>348340.91</f>
        <v>348340.91</v>
      </c>
      <c r="T293" s="32" t="n">
        <f>58477</f>
        <v>58477.0</v>
      </c>
      <c r="U293" s="32" t="n">
        <f>12712</f>
        <v>12712.0</v>
      </c>
      <c r="V293" s="32" t="n">
        <f>20379690268</f>
        <v>2.0379690268E10</v>
      </c>
      <c r="W293" s="32" t="n">
        <f>4436778768</f>
        <v>4.436778768E9</v>
      </c>
      <c r="X293" s="36" t="n">
        <f>22</f>
        <v>22.0</v>
      </c>
    </row>
    <row r="294">
      <c r="A294" s="27" t="s">
        <v>42</v>
      </c>
      <c r="B294" s="27" t="s">
        <v>939</v>
      </c>
      <c r="C294" s="27" t="s">
        <v>940</v>
      </c>
      <c r="D294" s="27" t="s">
        <v>941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338500</f>
        <v>338500.0</v>
      </c>
      <c r="L294" s="34" t="s">
        <v>48</v>
      </c>
      <c r="M294" s="33" t="n">
        <f>360000</f>
        <v>360000.0</v>
      </c>
      <c r="N294" s="34" t="s">
        <v>51</v>
      </c>
      <c r="O294" s="33" t="n">
        <f>333500</f>
        <v>333500.0</v>
      </c>
      <c r="P294" s="34" t="s">
        <v>48</v>
      </c>
      <c r="Q294" s="33" t="n">
        <f>353500</f>
        <v>353500.0</v>
      </c>
      <c r="R294" s="34" t="s">
        <v>51</v>
      </c>
      <c r="S294" s="35" t="n">
        <f>350068.18</f>
        <v>350068.18</v>
      </c>
      <c r="T294" s="32" t="n">
        <f>202455</f>
        <v>202455.0</v>
      </c>
      <c r="U294" s="32" t="n">
        <f>38831</f>
        <v>38831.0</v>
      </c>
      <c r="V294" s="32" t="n">
        <f>70881604738</f>
        <v>7.0881604738E10</v>
      </c>
      <c r="W294" s="32" t="n">
        <f>13576642238</f>
        <v>1.3576642238E10</v>
      </c>
      <c r="X294" s="36" t="n">
        <f>22</f>
        <v>22.0</v>
      </c>
    </row>
    <row r="295">
      <c r="A295" s="27" t="s">
        <v>42</v>
      </c>
      <c r="B295" s="27" t="s">
        <v>942</v>
      </c>
      <c r="C295" s="27" t="s">
        <v>943</v>
      </c>
      <c r="D295" s="27" t="s">
        <v>944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646000</f>
        <v>646000.0</v>
      </c>
      <c r="L295" s="34" t="s">
        <v>48</v>
      </c>
      <c r="M295" s="33" t="n">
        <f>704000</f>
        <v>704000.0</v>
      </c>
      <c r="N295" s="34" t="s">
        <v>98</v>
      </c>
      <c r="O295" s="33" t="n">
        <f>639000</f>
        <v>639000.0</v>
      </c>
      <c r="P295" s="34" t="s">
        <v>48</v>
      </c>
      <c r="Q295" s="33" t="n">
        <f>675000</f>
        <v>675000.0</v>
      </c>
      <c r="R295" s="34" t="s">
        <v>51</v>
      </c>
      <c r="S295" s="35" t="n">
        <f>672045.45</f>
        <v>672045.45</v>
      </c>
      <c r="T295" s="32" t="n">
        <f>20702</f>
        <v>20702.0</v>
      </c>
      <c r="U295" s="32" t="n">
        <f>3687</f>
        <v>3687.0</v>
      </c>
      <c r="V295" s="32" t="n">
        <f>13935760542</f>
        <v>1.3935760542E10</v>
      </c>
      <c r="W295" s="32" t="n">
        <f>2472692542</f>
        <v>2.472692542E9</v>
      </c>
      <c r="X295" s="36" t="n">
        <f>22</f>
        <v>22.0</v>
      </c>
    </row>
    <row r="296">
      <c r="A296" s="27" t="s">
        <v>42</v>
      </c>
      <c r="B296" s="27" t="s">
        <v>945</v>
      </c>
      <c r="C296" s="27" t="s">
        <v>946</v>
      </c>
      <c r="D296" s="27" t="s">
        <v>947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308000</f>
        <v>308000.0</v>
      </c>
      <c r="L296" s="34" t="s">
        <v>48</v>
      </c>
      <c r="M296" s="33" t="n">
        <f>325000</f>
        <v>325000.0</v>
      </c>
      <c r="N296" s="34" t="s">
        <v>73</v>
      </c>
      <c r="O296" s="33" t="n">
        <f>305500</f>
        <v>305500.0</v>
      </c>
      <c r="P296" s="34" t="s">
        <v>48</v>
      </c>
      <c r="Q296" s="33" t="n">
        <f>323500</f>
        <v>323500.0</v>
      </c>
      <c r="R296" s="34" t="s">
        <v>51</v>
      </c>
      <c r="S296" s="35" t="n">
        <f>317454.55</f>
        <v>317454.55</v>
      </c>
      <c r="T296" s="32" t="n">
        <f>17387</f>
        <v>17387.0</v>
      </c>
      <c r="U296" s="32" t="n">
        <f>2180</f>
        <v>2180.0</v>
      </c>
      <c r="V296" s="32" t="n">
        <f>5514228662</f>
        <v>5.514228662E9</v>
      </c>
      <c r="W296" s="32" t="n">
        <f>691422662</f>
        <v>6.91422662E8</v>
      </c>
      <c r="X296" s="36" t="n">
        <f>22</f>
        <v>22.0</v>
      </c>
    </row>
    <row r="297">
      <c r="A297" s="27" t="s">
        <v>42</v>
      </c>
      <c r="B297" s="27" t="s">
        <v>948</v>
      </c>
      <c r="C297" s="27" t="s">
        <v>949</v>
      </c>
      <c r="D297" s="27" t="s">
        <v>950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153800</f>
        <v>153800.0</v>
      </c>
      <c r="L297" s="34" t="s">
        <v>48</v>
      </c>
      <c r="M297" s="33" t="n">
        <f>164900</f>
        <v>164900.0</v>
      </c>
      <c r="N297" s="34" t="s">
        <v>51</v>
      </c>
      <c r="O297" s="33" t="n">
        <f>153300</f>
        <v>153300.0</v>
      </c>
      <c r="P297" s="34" t="s">
        <v>48</v>
      </c>
      <c r="Q297" s="33" t="n">
        <f>164500</f>
        <v>164500.0</v>
      </c>
      <c r="R297" s="34" t="s">
        <v>51</v>
      </c>
      <c r="S297" s="35" t="n">
        <f>158227.27</f>
        <v>158227.27</v>
      </c>
      <c r="T297" s="32" t="n">
        <f>136032</f>
        <v>136032.0</v>
      </c>
      <c r="U297" s="32" t="n">
        <f>23822</f>
        <v>23822.0</v>
      </c>
      <c r="V297" s="32" t="n">
        <f>21480512317</f>
        <v>2.1480512317E10</v>
      </c>
      <c r="W297" s="32" t="n">
        <f>3758720517</f>
        <v>3.758720517E9</v>
      </c>
      <c r="X297" s="36" t="n">
        <f>22</f>
        <v>22.0</v>
      </c>
    </row>
    <row r="298">
      <c r="A298" s="27" t="s">
        <v>42</v>
      </c>
      <c r="B298" s="27" t="s">
        <v>951</v>
      </c>
      <c r="C298" s="27" t="s">
        <v>952</v>
      </c>
      <c r="D298" s="27" t="s">
        <v>953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174500</f>
        <v>174500.0</v>
      </c>
      <c r="L298" s="34" t="s">
        <v>48</v>
      </c>
      <c r="M298" s="33" t="n">
        <f>188500</f>
        <v>188500.0</v>
      </c>
      <c r="N298" s="34" t="s">
        <v>413</v>
      </c>
      <c r="O298" s="33" t="n">
        <f>173600</f>
        <v>173600.0</v>
      </c>
      <c r="P298" s="34" t="s">
        <v>48</v>
      </c>
      <c r="Q298" s="33" t="n">
        <f>187100</f>
        <v>187100.0</v>
      </c>
      <c r="R298" s="34" t="s">
        <v>51</v>
      </c>
      <c r="S298" s="35" t="n">
        <f>183159.09</f>
        <v>183159.09</v>
      </c>
      <c r="T298" s="32" t="n">
        <f>106394</f>
        <v>106394.0</v>
      </c>
      <c r="U298" s="32" t="n">
        <f>17769</f>
        <v>17769.0</v>
      </c>
      <c r="V298" s="32" t="n">
        <f>19440715852</f>
        <v>1.9440715852E10</v>
      </c>
      <c r="W298" s="32" t="n">
        <f>3241374952</f>
        <v>3.241374952E9</v>
      </c>
      <c r="X298" s="36" t="n">
        <f>22</f>
        <v>22.0</v>
      </c>
    </row>
    <row r="299">
      <c r="A299" s="27" t="s">
        <v>42</v>
      </c>
      <c r="B299" s="27" t="s">
        <v>954</v>
      </c>
      <c r="C299" s="27" t="s">
        <v>955</v>
      </c>
      <c r="D299" s="27" t="s">
        <v>956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444000</f>
        <v>444000.0</v>
      </c>
      <c r="L299" s="34" t="s">
        <v>48</v>
      </c>
      <c r="M299" s="33" t="n">
        <f>467500</f>
        <v>467500.0</v>
      </c>
      <c r="N299" s="34" t="s">
        <v>98</v>
      </c>
      <c r="O299" s="33" t="n">
        <f>436000</f>
        <v>436000.0</v>
      </c>
      <c r="P299" s="34" t="s">
        <v>50</v>
      </c>
      <c r="Q299" s="33" t="n">
        <f>456500</f>
        <v>456500.0</v>
      </c>
      <c r="R299" s="34" t="s">
        <v>51</v>
      </c>
      <c r="S299" s="35" t="n">
        <f>451931.82</f>
        <v>451931.82</v>
      </c>
      <c r="T299" s="32" t="n">
        <f>47807</f>
        <v>47807.0</v>
      </c>
      <c r="U299" s="32" t="n">
        <f>8122</f>
        <v>8122.0</v>
      </c>
      <c r="V299" s="32" t="n">
        <f>21578450784</f>
        <v>2.1578450784E10</v>
      </c>
      <c r="W299" s="32" t="n">
        <f>3666319784</f>
        <v>3.666319784E9</v>
      </c>
      <c r="X299" s="36" t="n">
        <f>22</f>
        <v>22.0</v>
      </c>
    </row>
    <row r="300">
      <c r="A300" s="27" t="s">
        <v>42</v>
      </c>
      <c r="B300" s="27" t="s">
        <v>957</v>
      </c>
      <c r="C300" s="27" t="s">
        <v>958</v>
      </c>
      <c r="D300" s="27" t="s">
        <v>959</v>
      </c>
      <c r="E300" s="28" t="s">
        <v>46</v>
      </c>
      <c r="F300" s="29" t="s">
        <v>46</v>
      </c>
      <c r="G300" s="30" t="s">
        <v>46</v>
      </c>
      <c r="H300" s="31" t="s">
        <v>121</v>
      </c>
      <c r="I300" s="31" t="s">
        <v>47</v>
      </c>
      <c r="J300" s="32" t="n">
        <v>1.0</v>
      </c>
      <c r="K300" s="33" t="n">
        <f>22550</f>
        <v>22550.0</v>
      </c>
      <c r="L300" s="34" t="s">
        <v>48</v>
      </c>
      <c r="M300" s="33" t="n">
        <f>22880</f>
        <v>22880.0</v>
      </c>
      <c r="N300" s="34" t="s">
        <v>198</v>
      </c>
      <c r="O300" s="33" t="n">
        <f>21510</f>
        <v>21510.0</v>
      </c>
      <c r="P300" s="34" t="s">
        <v>105</v>
      </c>
      <c r="Q300" s="33" t="n">
        <f>22690</f>
        <v>22690.0</v>
      </c>
      <c r="R300" s="34" t="s">
        <v>51</v>
      </c>
      <c r="S300" s="35" t="n">
        <f>22654.55</f>
        <v>22654.55</v>
      </c>
      <c r="T300" s="32" t="n">
        <f>1906504</f>
        <v>1906504.0</v>
      </c>
      <c r="U300" s="32" t="n">
        <f>124802</f>
        <v>124802.0</v>
      </c>
      <c r="V300" s="32" t="n">
        <f>43152338080</f>
        <v>4.315233808E10</v>
      </c>
      <c r="W300" s="32" t="n">
        <f>2824581480</f>
        <v>2.82458148E9</v>
      </c>
      <c r="X300" s="36" t="n">
        <f>22</f>
        <v>22.0</v>
      </c>
    </row>
    <row r="301">
      <c r="A301" s="27" t="s">
        <v>42</v>
      </c>
      <c r="B301" s="27" t="s">
        <v>960</v>
      </c>
      <c r="C301" s="27" t="s">
        <v>961</v>
      </c>
      <c r="D301" s="27" t="s">
        <v>962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90100</f>
        <v>90100.0</v>
      </c>
      <c r="L301" s="34" t="s">
        <v>48</v>
      </c>
      <c r="M301" s="33" t="n">
        <f>93200</f>
        <v>93200.0</v>
      </c>
      <c r="N301" s="34" t="s">
        <v>413</v>
      </c>
      <c r="O301" s="33" t="n">
        <f>89300</f>
        <v>89300.0</v>
      </c>
      <c r="P301" s="34" t="s">
        <v>48</v>
      </c>
      <c r="Q301" s="33" t="n">
        <f>92000</f>
        <v>92000.0</v>
      </c>
      <c r="R301" s="34" t="s">
        <v>51</v>
      </c>
      <c r="S301" s="35" t="n">
        <f>91731.82</f>
        <v>91731.82</v>
      </c>
      <c r="T301" s="32" t="n">
        <f>412259</f>
        <v>412259.0</v>
      </c>
      <c r="U301" s="32" t="n">
        <f>78301</f>
        <v>78301.0</v>
      </c>
      <c r="V301" s="32" t="n">
        <f>37832140087</f>
        <v>3.7832140087E10</v>
      </c>
      <c r="W301" s="32" t="n">
        <f>7180771287</f>
        <v>7.180771287E9</v>
      </c>
      <c r="X301" s="36" t="n">
        <f>22</f>
        <v>22.0</v>
      </c>
    </row>
    <row r="302">
      <c r="A302" s="27" t="s">
        <v>42</v>
      </c>
      <c r="B302" s="27" t="s">
        <v>963</v>
      </c>
      <c r="C302" s="27" t="s">
        <v>964</v>
      </c>
      <c r="D302" s="27" t="s">
        <v>965</v>
      </c>
      <c r="E302" s="28" t="s">
        <v>46</v>
      </c>
      <c r="F302" s="29" t="s">
        <v>46</v>
      </c>
      <c r="G302" s="30" t="s">
        <v>46</v>
      </c>
      <c r="H302" s="31"/>
      <c r="I302" s="31" t="s">
        <v>634</v>
      </c>
      <c r="J302" s="32" t="n">
        <v>1.0</v>
      </c>
      <c r="K302" s="33" t="n">
        <f>136800</f>
        <v>136800.0</v>
      </c>
      <c r="L302" s="34" t="s">
        <v>48</v>
      </c>
      <c r="M302" s="33" t="n">
        <f>140800</f>
        <v>140800.0</v>
      </c>
      <c r="N302" s="34" t="s">
        <v>98</v>
      </c>
      <c r="O302" s="33" t="n">
        <f>134200</f>
        <v>134200.0</v>
      </c>
      <c r="P302" s="34" t="s">
        <v>175</v>
      </c>
      <c r="Q302" s="33" t="n">
        <f>140000</f>
        <v>140000.0</v>
      </c>
      <c r="R302" s="34" t="s">
        <v>51</v>
      </c>
      <c r="S302" s="35" t="n">
        <f>138327.27</f>
        <v>138327.27</v>
      </c>
      <c r="T302" s="32" t="n">
        <f>37127</f>
        <v>37127.0</v>
      </c>
      <c r="U302" s="32" t="n">
        <f>3596</f>
        <v>3596.0</v>
      </c>
      <c r="V302" s="32" t="n">
        <f>5131854304</f>
        <v>5.131854304E9</v>
      </c>
      <c r="W302" s="32" t="n">
        <f>496404004</f>
        <v>4.96404004E8</v>
      </c>
      <c r="X302" s="36" t="n">
        <f>22</f>
        <v>22.0</v>
      </c>
    </row>
    <row r="303">
      <c r="A303" s="27" t="s">
        <v>42</v>
      </c>
      <c r="B303" s="27" t="s">
        <v>966</v>
      </c>
      <c r="C303" s="27" t="s">
        <v>967</v>
      </c>
      <c r="D303" s="27" t="s">
        <v>968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283600</f>
        <v>283600.0</v>
      </c>
      <c r="L303" s="34" t="s">
        <v>48</v>
      </c>
      <c r="M303" s="33" t="n">
        <f>305000</f>
        <v>305000.0</v>
      </c>
      <c r="N303" s="34" t="s">
        <v>73</v>
      </c>
      <c r="O303" s="33" t="n">
        <f>280600</f>
        <v>280600.0</v>
      </c>
      <c r="P303" s="34" t="s">
        <v>48</v>
      </c>
      <c r="Q303" s="33" t="n">
        <f>300500</f>
        <v>300500.0</v>
      </c>
      <c r="R303" s="34" t="s">
        <v>51</v>
      </c>
      <c r="S303" s="35" t="n">
        <f>294540.91</f>
        <v>294540.91</v>
      </c>
      <c r="T303" s="32" t="n">
        <f>78067</f>
        <v>78067.0</v>
      </c>
      <c r="U303" s="32" t="n">
        <f>12693</f>
        <v>12693.0</v>
      </c>
      <c r="V303" s="32" t="n">
        <f>22899968188</f>
        <v>2.2899968188E10</v>
      </c>
      <c r="W303" s="32" t="n">
        <f>3727550788</f>
        <v>3.727550788E9</v>
      </c>
      <c r="X303" s="36" t="n">
        <f>22</f>
        <v>22.0</v>
      </c>
    </row>
    <row r="304">
      <c r="A304" s="27" t="s">
        <v>42</v>
      </c>
      <c r="B304" s="27" t="s">
        <v>969</v>
      </c>
      <c r="C304" s="27" t="s">
        <v>970</v>
      </c>
      <c r="D304" s="27" t="s">
        <v>971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142100</f>
        <v>142100.0</v>
      </c>
      <c r="L304" s="34" t="s">
        <v>48</v>
      </c>
      <c r="M304" s="33" t="n">
        <f>152900</f>
        <v>152900.0</v>
      </c>
      <c r="N304" s="34" t="s">
        <v>239</v>
      </c>
      <c r="O304" s="33" t="n">
        <f>140400</f>
        <v>140400.0</v>
      </c>
      <c r="P304" s="34" t="s">
        <v>122</v>
      </c>
      <c r="Q304" s="33" t="n">
        <f>152200</f>
        <v>152200.0</v>
      </c>
      <c r="R304" s="34" t="s">
        <v>51</v>
      </c>
      <c r="S304" s="35" t="n">
        <f>145854.55</f>
        <v>145854.55</v>
      </c>
      <c r="T304" s="32" t="n">
        <f>20484</f>
        <v>20484.0</v>
      </c>
      <c r="U304" s="32" t="n">
        <f>2237</f>
        <v>2237.0</v>
      </c>
      <c r="V304" s="32" t="n">
        <f>2984332565</f>
        <v>2.984332565E9</v>
      </c>
      <c r="W304" s="32" t="n">
        <f>324411165</f>
        <v>3.24411165E8</v>
      </c>
      <c r="X304" s="36" t="n">
        <f>22</f>
        <v>22.0</v>
      </c>
    </row>
    <row r="305">
      <c r="A305" s="27" t="s">
        <v>42</v>
      </c>
      <c r="B305" s="27" t="s">
        <v>972</v>
      </c>
      <c r="C305" s="27" t="s">
        <v>973</v>
      </c>
      <c r="D305" s="27" t="s">
        <v>974</v>
      </c>
      <c r="E305" s="28" t="s">
        <v>46</v>
      </c>
      <c r="F305" s="29" t="s">
        <v>46</v>
      </c>
      <c r="G305" s="30" t="s">
        <v>46</v>
      </c>
      <c r="H305" s="31"/>
      <c r="I305" s="31" t="s">
        <v>634</v>
      </c>
      <c r="J305" s="32" t="n">
        <v>1.0</v>
      </c>
      <c r="K305" s="33" t="n">
        <f>120400</f>
        <v>120400.0</v>
      </c>
      <c r="L305" s="34" t="s">
        <v>48</v>
      </c>
      <c r="M305" s="33" t="n">
        <f>127900</f>
        <v>127900.0</v>
      </c>
      <c r="N305" s="34" t="s">
        <v>105</v>
      </c>
      <c r="O305" s="33" t="n">
        <f>120200</f>
        <v>120200.0</v>
      </c>
      <c r="P305" s="34" t="s">
        <v>48</v>
      </c>
      <c r="Q305" s="33" t="n">
        <f>126500</f>
        <v>126500.0</v>
      </c>
      <c r="R305" s="34" t="s">
        <v>51</v>
      </c>
      <c r="S305" s="35" t="n">
        <f>123986.36</f>
        <v>123986.36</v>
      </c>
      <c r="T305" s="32" t="n">
        <f>23627</f>
        <v>23627.0</v>
      </c>
      <c r="U305" s="32" t="n">
        <f>2571</f>
        <v>2571.0</v>
      </c>
      <c r="V305" s="32" t="n">
        <f>2922682771</f>
        <v>2.922682771E9</v>
      </c>
      <c r="W305" s="32" t="n">
        <f>318587371</f>
        <v>3.18587371E8</v>
      </c>
      <c r="X305" s="36" t="n">
        <f>22</f>
        <v>22.0</v>
      </c>
    </row>
    <row r="306">
      <c r="A306" s="27" t="s">
        <v>42</v>
      </c>
      <c r="B306" s="27" t="s">
        <v>975</v>
      </c>
      <c r="C306" s="27" t="s">
        <v>976</v>
      </c>
      <c r="D306" s="27" t="s">
        <v>977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172900</f>
        <v>172900.0</v>
      </c>
      <c r="L306" s="34" t="s">
        <v>48</v>
      </c>
      <c r="M306" s="33" t="n">
        <f>186400</f>
        <v>186400.0</v>
      </c>
      <c r="N306" s="34" t="s">
        <v>98</v>
      </c>
      <c r="O306" s="33" t="n">
        <f>171700</f>
        <v>171700.0</v>
      </c>
      <c r="P306" s="34" t="s">
        <v>48</v>
      </c>
      <c r="Q306" s="33" t="n">
        <f>178100</f>
        <v>178100.0</v>
      </c>
      <c r="R306" s="34" t="s">
        <v>51</v>
      </c>
      <c r="S306" s="35" t="n">
        <f>179836.36</f>
        <v>179836.36</v>
      </c>
      <c r="T306" s="32" t="n">
        <f>381656</f>
        <v>381656.0</v>
      </c>
      <c r="U306" s="32" t="n">
        <f>82668</f>
        <v>82668.0</v>
      </c>
      <c r="V306" s="32" t="n">
        <f>68590402182</f>
        <v>6.8590402182E10</v>
      </c>
      <c r="W306" s="32" t="n">
        <f>14893719582</f>
        <v>1.4893719582E10</v>
      </c>
      <c r="X306" s="36" t="n">
        <f>22</f>
        <v>22.0</v>
      </c>
    </row>
    <row r="307">
      <c r="A307" s="27" t="s">
        <v>42</v>
      </c>
      <c r="B307" s="27" t="s">
        <v>978</v>
      </c>
      <c r="C307" s="27" t="s">
        <v>979</v>
      </c>
      <c r="D307" s="27" t="s">
        <v>980</v>
      </c>
      <c r="E307" s="28" t="s">
        <v>46</v>
      </c>
      <c r="F307" s="29" t="s">
        <v>46</v>
      </c>
      <c r="G307" s="30" t="s">
        <v>46</v>
      </c>
      <c r="H307" s="31"/>
      <c r="I307" s="31" t="s">
        <v>634</v>
      </c>
      <c r="J307" s="32" t="n">
        <v>1.0</v>
      </c>
      <c r="K307" s="33" t="n">
        <f>89300</f>
        <v>89300.0</v>
      </c>
      <c r="L307" s="34" t="s">
        <v>48</v>
      </c>
      <c r="M307" s="33" t="n">
        <f>104800</f>
        <v>104800.0</v>
      </c>
      <c r="N307" s="34" t="s">
        <v>72</v>
      </c>
      <c r="O307" s="33" t="n">
        <f>87600</f>
        <v>87600.0</v>
      </c>
      <c r="P307" s="34" t="s">
        <v>48</v>
      </c>
      <c r="Q307" s="33" t="n">
        <f>96700</f>
        <v>96700.0</v>
      </c>
      <c r="R307" s="34" t="s">
        <v>51</v>
      </c>
      <c r="S307" s="35" t="n">
        <f>97413.64</f>
        <v>97413.64</v>
      </c>
      <c r="T307" s="32" t="n">
        <f>40197</f>
        <v>40197.0</v>
      </c>
      <c r="U307" s="32" t="n">
        <f>2390</f>
        <v>2390.0</v>
      </c>
      <c r="V307" s="32" t="n">
        <f>3931404726</f>
        <v>3.931404726E9</v>
      </c>
      <c r="W307" s="32" t="n">
        <f>233291026</f>
        <v>2.33291026E8</v>
      </c>
      <c r="X307" s="36" t="n">
        <f>22</f>
        <v>22.0</v>
      </c>
    </row>
    <row r="308">
      <c r="A308" s="27" t="s">
        <v>42</v>
      </c>
      <c r="B308" s="27" t="s">
        <v>981</v>
      </c>
      <c r="C308" s="27" t="s">
        <v>982</v>
      </c>
      <c r="D308" s="27" t="s">
        <v>983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178000</f>
        <v>178000.0</v>
      </c>
      <c r="L308" s="34" t="s">
        <v>48</v>
      </c>
      <c r="M308" s="33" t="n">
        <f>188400</f>
        <v>188400.0</v>
      </c>
      <c r="N308" s="34" t="s">
        <v>51</v>
      </c>
      <c r="O308" s="33" t="n">
        <f>176400</f>
        <v>176400.0</v>
      </c>
      <c r="P308" s="34" t="s">
        <v>48</v>
      </c>
      <c r="Q308" s="33" t="n">
        <f>187600</f>
        <v>187600.0</v>
      </c>
      <c r="R308" s="34" t="s">
        <v>51</v>
      </c>
      <c r="S308" s="35" t="n">
        <f>181254.55</f>
        <v>181254.55</v>
      </c>
      <c r="T308" s="32" t="n">
        <f>183165</f>
        <v>183165.0</v>
      </c>
      <c r="U308" s="32" t="n">
        <f>35317</f>
        <v>35317.0</v>
      </c>
      <c r="V308" s="32" t="n">
        <f>33193890726</f>
        <v>3.3193890726E10</v>
      </c>
      <c r="W308" s="32" t="n">
        <f>6398803526</f>
        <v>6.398803526E9</v>
      </c>
      <c r="X308" s="36" t="n">
        <f>22</f>
        <v>22.0</v>
      </c>
    </row>
    <row r="309">
      <c r="A309" s="27" t="s">
        <v>42</v>
      </c>
      <c r="B309" s="27" t="s">
        <v>984</v>
      </c>
      <c r="C309" s="27" t="s">
        <v>985</v>
      </c>
      <c r="D309" s="27" t="s">
        <v>986</v>
      </c>
      <c r="E309" s="28" t="s">
        <v>46</v>
      </c>
      <c r="F309" s="29" t="s">
        <v>46</v>
      </c>
      <c r="G309" s="30" t="s">
        <v>46</v>
      </c>
      <c r="H309" s="31"/>
      <c r="I309" s="31" t="s">
        <v>634</v>
      </c>
      <c r="J309" s="32" t="n">
        <v>1.0</v>
      </c>
      <c r="K309" s="33" t="n">
        <f>58800</f>
        <v>58800.0</v>
      </c>
      <c r="L309" s="34" t="s">
        <v>48</v>
      </c>
      <c r="M309" s="33" t="n">
        <f>62200</f>
        <v>62200.0</v>
      </c>
      <c r="N309" s="34" t="s">
        <v>51</v>
      </c>
      <c r="O309" s="33" t="n">
        <f>58300</f>
        <v>58300.0</v>
      </c>
      <c r="P309" s="34" t="s">
        <v>48</v>
      </c>
      <c r="Q309" s="33" t="n">
        <f>62200</f>
        <v>62200.0</v>
      </c>
      <c r="R309" s="34" t="s">
        <v>51</v>
      </c>
      <c r="S309" s="35" t="n">
        <f>60536.36</f>
        <v>60536.36</v>
      </c>
      <c r="T309" s="32" t="n">
        <f>109843</f>
        <v>109843.0</v>
      </c>
      <c r="U309" s="32" t="n">
        <f>18552</f>
        <v>18552.0</v>
      </c>
      <c r="V309" s="32" t="n">
        <f>6642148335</f>
        <v>6.642148335E9</v>
      </c>
      <c r="W309" s="32" t="n">
        <f>1119097135</f>
        <v>1.119097135E9</v>
      </c>
      <c r="X309" s="36" t="n">
        <f>22</f>
        <v>22.0</v>
      </c>
    </row>
    <row r="310">
      <c r="A310" s="27" t="s">
        <v>42</v>
      </c>
      <c r="B310" s="27" t="s">
        <v>987</v>
      </c>
      <c r="C310" s="27" t="s">
        <v>988</v>
      </c>
      <c r="D310" s="27" t="s">
        <v>989</v>
      </c>
      <c r="E310" s="28" t="s">
        <v>46</v>
      </c>
      <c r="F310" s="29" t="s">
        <v>46</v>
      </c>
      <c r="G310" s="30" t="s">
        <v>46</v>
      </c>
      <c r="H310" s="31"/>
      <c r="I310" s="31" t="s">
        <v>634</v>
      </c>
      <c r="J310" s="32" t="n">
        <v>1.0</v>
      </c>
      <c r="K310" s="33" t="n">
        <f>136900</f>
        <v>136900.0</v>
      </c>
      <c r="L310" s="34" t="s">
        <v>48</v>
      </c>
      <c r="M310" s="33" t="n">
        <f>139700</f>
        <v>139700.0</v>
      </c>
      <c r="N310" s="34" t="s">
        <v>94</v>
      </c>
      <c r="O310" s="33" t="n">
        <f>133300</f>
        <v>133300.0</v>
      </c>
      <c r="P310" s="34" t="s">
        <v>73</v>
      </c>
      <c r="Q310" s="33" t="n">
        <f>133600</f>
        <v>133600.0</v>
      </c>
      <c r="R310" s="34" t="s">
        <v>51</v>
      </c>
      <c r="S310" s="35" t="n">
        <f>137059.09</f>
        <v>137059.09</v>
      </c>
      <c r="T310" s="32" t="n">
        <f>20391</f>
        <v>20391.0</v>
      </c>
      <c r="U310" s="32" t="n">
        <f>1237</f>
        <v>1237.0</v>
      </c>
      <c r="V310" s="32" t="n">
        <f>2790715455</f>
        <v>2.790715455E9</v>
      </c>
      <c r="W310" s="32" t="n">
        <f>169657755</f>
        <v>1.69657755E8</v>
      </c>
      <c r="X310" s="36" t="n">
        <f>22</f>
        <v>22.0</v>
      </c>
    </row>
    <row r="311">
      <c r="A311" s="27" t="s">
        <v>42</v>
      </c>
      <c r="B311" s="27" t="s">
        <v>990</v>
      </c>
      <c r="C311" s="27" t="s">
        <v>991</v>
      </c>
      <c r="D311" s="27" t="s">
        <v>992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561000</f>
        <v>561000.0</v>
      </c>
      <c r="L311" s="34" t="s">
        <v>48</v>
      </c>
      <c r="M311" s="33" t="n">
        <f>606000</f>
        <v>606000.0</v>
      </c>
      <c r="N311" s="34" t="s">
        <v>73</v>
      </c>
      <c r="O311" s="33" t="n">
        <f>558000</f>
        <v>558000.0</v>
      </c>
      <c r="P311" s="34" t="s">
        <v>171</v>
      </c>
      <c r="Q311" s="33" t="n">
        <f>592000</f>
        <v>592000.0</v>
      </c>
      <c r="R311" s="34" t="s">
        <v>51</v>
      </c>
      <c r="S311" s="35" t="n">
        <f>581000</f>
        <v>581000.0</v>
      </c>
      <c r="T311" s="32" t="n">
        <f>63173</f>
        <v>63173.0</v>
      </c>
      <c r="U311" s="32" t="n">
        <f>13018</f>
        <v>13018.0</v>
      </c>
      <c r="V311" s="32" t="n">
        <f>36856917489</f>
        <v>3.6856917489E10</v>
      </c>
      <c r="W311" s="32" t="n">
        <f>7640272489</f>
        <v>7.640272489E9</v>
      </c>
      <c r="X311" s="36" t="n">
        <f>22</f>
        <v>22.0</v>
      </c>
    </row>
    <row r="312">
      <c r="A312" s="27" t="s">
        <v>42</v>
      </c>
      <c r="B312" s="27" t="s">
        <v>993</v>
      </c>
      <c r="C312" s="27" t="s">
        <v>994</v>
      </c>
      <c r="D312" s="27" t="s">
        <v>995</v>
      </c>
      <c r="E312" s="28" t="s">
        <v>46</v>
      </c>
      <c r="F312" s="29" t="s">
        <v>46</v>
      </c>
      <c r="G312" s="30" t="s">
        <v>46</v>
      </c>
      <c r="H312" s="31"/>
      <c r="I312" s="31" t="s">
        <v>634</v>
      </c>
      <c r="J312" s="32" t="n">
        <v>1.0</v>
      </c>
      <c r="K312" s="33" t="n">
        <f>83000</f>
        <v>83000.0</v>
      </c>
      <c r="L312" s="34" t="s">
        <v>48</v>
      </c>
      <c r="M312" s="33" t="n">
        <f>87500</f>
        <v>87500.0</v>
      </c>
      <c r="N312" s="34" t="s">
        <v>72</v>
      </c>
      <c r="O312" s="33" t="n">
        <f>81100</f>
        <v>81100.0</v>
      </c>
      <c r="P312" s="34" t="s">
        <v>48</v>
      </c>
      <c r="Q312" s="33" t="n">
        <f>84200</f>
        <v>84200.0</v>
      </c>
      <c r="R312" s="34" t="s">
        <v>51</v>
      </c>
      <c r="S312" s="35" t="n">
        <f>83718.18</f>
        <v>83718.18</v>
      </c>
      <c r="T312" s="32" t="n">
        <f>27614</f>
        <v>27614.0</v>
      </c>
      <c r="U312" s="32" t="n">
        <f>3197</f>
        <v>3197.0</v>
      </c>
      <c r="V312" s="32" t="n">
        <f>2315030139</f>
        <v>2.315030139E9</v>
      </c>
      <c r="W312" s="32" t="n">
        <f>266940339</f>
        <v>2.66940339E8</v>
      </c>
      <c r="X312" s="36" t="n">
        <f>22</f>
        <v>22.0</v>
      </c>
    </row>
    <row r="313">
      <c r="A313" s="27" t="s">
        <v>42</v>
      </c>
      <c r="B313" s="27" t="s">
        <v>996</v>
      </c>
      <c r="C313" s="27" t="s">
        <v>997</v>
      </c>
      <c r="D313" s="27" t="s">
        <v>998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49850</f>
        <v>49850.0</v>
      </c>
      <c r="L313" s="34" t="s">
        <v>48</v>
      </c>
      <c r="M313" s="33" t="n">
        <f>52600</f>
        <v>52600.0</v>
      </c>
      <c r="N313" s="34" t="s">
        <v>105</v>
      </c>
      <c r="O313" s="33" t="n">
        <f>49300</f>
        <v>49300.0</v>
      </c>
      <c r="P313" s="34" t="s">
        <v>50</v>
      </c>
      <c r="Q313" s="33" t="n">
        <f>51900</f>
        <v>51900.0</v>
      </c>
      <c r="R313" s="34" t="s">
        <v>51</v>
      </c>
      <c r="S313" s="35" t="n">
        <f>51131.82</f>
        <v>51131.82</v>
      </c>
      <c r="T313" s="32" t="n">
        <f>169390</f>
        <v>169390.0</v>
      </c>
      <c r="U313" s="32" t="n">
        <f>25513</f>
        <v>25513.0</v>
      </c>
      <c r="V313" s="32" t="n">
        <f>8642967873</f>
        <v>8.642967873E9</v>
      </c>
      <c r="W313" s="32" t="n">
        <f>1300027023</f>
        <v>1.300027023E9</v>
      </c>
      <c r="X313" s="36" t="n">
        <f>22</f>
        <v>22.0</v>
      </c>
    </row>
    <row r="314">
      <c r="A314" s="27" t="s">
        <v>42</v>
      </c>
      <c r="B314" s="27" t="s">
        <v>999</v>
      </c>
      <c r="C314" s="27" t="s">
        <v>1000</v>
      </c>
      <c r="D314" s="27" t="s">
        <v>1001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133700</f>
        <v>133700.0</v>
      </c>
      <c r="L314" s="34" t="s">
        <v>48</v>
      </c>
      <c r="M314" s="33" t="n">
        <f>144500</f>
        <v>144500.0</v>
      </c>
      <c r="N314" s="34" t="s">
        <v>105</v>
      </c>
      <c r="O314" s="33" t="n">
        <f>133300</f>
        <v>133300.0</v>
      </c>
      <c r="P314" s="34" t="s">
        <v>48</v>
      </c>
      <c r="Q314" s="33" t="n">
        <f>140700</f>
        <v>140700.0</v>
      </c>
      <c r="R314" s="34" t="s">
        <v>51</v>
      </c>
      <c r="S314" s="35" t="n">
        <f>139650</f>
        <v>139650.0</v>
      </c>
      <c r="T314" s="32" t="n">
        <f>25048</f>
        <v>25048.0</v>
      </c>
      <c r="U314" s="32" t="n">
        <f>2992</f>
        <v>2992.0</v>
      </c>
      <c r="V314" s="32" t="n">
        <f>3512090926</f>
        <v>3.512090926E9</v>
      </c>
      <c r="W314" s="32" t="n">
        <f>419777826</f>
        <v>4.19777826E8</v>
      </c>
      <c r="X314" s="36" t="n">
        <f>22</f>
        <v>22.0</v>
      </c>
    </row>
    <row r="315">
      <c r="A315" s="27" t="s">
        <v>42</v>
      </c>
      <c r="B315" s="27" t="s">
        <v>1002</v>
      </c>
      <c r="C315" s="27" t="s">
        <v>1003</v>
      </c>
      <c r="D315" s="27" t="s">
        <v>1004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457500</f>
        <v>457500.0</v>
      </c>
      <c r="L315" s="34" t="s">
        <v>48</v>
      </c>
      <c r="M315" s="33" t="n">
        <f>495500</f>
        <v>495500.0</v>
      </c>
      <c r="N315" s="34" t="s">
        <v>73</v>
      </c>
      <c r="O315" s="33" t="n">
        <f>453000</f>
        <v>453000.0</v>
      </c>
      <c r="P315" s="34" t="s">
        <v>48</v>
      </c>
      <c r="Q315" s="33" t="n">
        <f>491500</f>
        <v>491500.0</v>
      </c>
      <c r="R315" s="34" t="s">
        <v>51</v>
      </c>
      <c r="S315" s="35" t="n">
        <f>475818.18</f>
        <v>475818.18</v>
      </c>
      <c r="T315" s="32" t="n">
        <f>30918</f>
        <v>30918.0</v>
      </c>
      <c r="U315" s="32" t="n">
        <f>4147</f>
        <v>4147.0</v>
      </c>
      <c r="V315" s="32" t="n">
        <f>14641905994</f>
        <v>1.4641905994E10</v>
      </c>
      <c r="W315" s="32" t="n">
        <f>1961598994</f>
        <v>1.961598994E9</v>
      </c>
      <c r="X315" s="36" t="n">
        <f>22</f>
        <v>22.0</v>
      </c>
    </row>
    <row r="316">
      <c r="A316" s="27" t="s">
        <v>42</v>
      </c>
      <c r="B316" s="27" t="s">
        <v>1005</v>
      </c>
      <c r="C316" s="27" t="s">
        <v>1006</v>
      </c>
      <c r="D316" s="27" t="s">
        <v>1007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178300</f>
        <v>178300.0</v>
      </c>
      <c r="L316" s="34" t="s">
        <v>48</v>
      </c>
      <c r="M316" s="33" t="n">
        <f>189300</f>
        <v>189300.0</v>
      </c>
      <c r="N316" s="34" t="s">
        <v>67</v>
      </c>
      <c r="O316" s="33" t="n">
        <f>177200</f>
        <v>177200.0</v>
      </c>
      <c r="P316" s="34" t="s">
        <v>48</v>
      </c>
      <c r="Q316" s="33" t="n">
        <f>187500</f>
        <v>187500.0</v>
      </c>
      <c r="R316" s="34" t="s">
        <v>51</v>
      </c>
      <c r="S316" s="35" t="n">
        <f>184672.73</f>
        <v>184672.73</v>
      </c>
      <c r="T316" s="32" t="n">
        <f>46216</f>
        <v>46216.0</v>
      </c>
      <c r="U316" s="32" t="n">
        <f>5582</f>
        <v>5582.0</v>
      </c>
      <c r="V316" s="32" t="n">
        <f>8523864876</f>
        <v>8.523864876E9</v>
      </c>
      <c r="W316" s="32" t="n">
        <f>1027536176</f>
        <v>1.027536176E9</v>
      </c>
      <c r="X316" s="36" t="n">
        <f>22</f>
        <v>22.0</v>
      </c>
    </row>
    <row r="317">
      <c r="A317" s="27" t="s">
        <v>42</v>
      </c>
      <c r="B317" s="27" t="s">
        <v>1008</v>
      </c>
      <c r="C317" s="27" t="s">
        <v>1009</v>
      </c>
      <c r="D317" s="27" t="s">
        <v>1010</v>
      </c>
      <c r="E317" s="28" t="s">
        <v>46</v>
      </c>
      <c r="F317" s="29" t="s">
        <v>46</v>
      </c>
      <c r="G317" s="30" t="s">
        <v>46</v>
      </c>
      <c r="H317" s="31"/>
      <c r="I317" s="31" t="s">
        <v>634</v>
      </c>
      <c r="J317" s="32" t="n">
        <v>1.0</v>
      </c>
      <c r="K317" s="33" t="n">
        <f>119700</f>
        <v>119700.0</v>
      </c>
      <c r="L317" s="34" t="s">
        <v>48</v>
      </c>
      <c r="M317" s="33" t="n">
        <f>125500</f>
        <v>125500.0</v>
      </c>
      <c r="N317" s="34" t="s">
        <v>98</v>
      </c>
      <c r="O317" s="33" t="n">
        <f>119400</f>
        <v>119400.0</v>
      </c>
      <c r="P317" s="34" t="s">
        <v>48</v>
      </c>
      <c r="Q317" s="33" t="n">
        <f>122800</f>
        <v>122800.0</v>
      </c>
      <c r="R317" s="34" t="s">
        <v>51</v>
      </c>
      <c r="S317" s="35" t="n">
        <f>122327.27</f>
        <v>122327.27</v>
      </c>
      <c r="T317" s="32" t="n">
        <f>18872</f>
        <v>18872.0</v>
      </c>
      <c r="U317" s="32" t="n">
        <f>2723</f>
        <v>2723.0</v>
      </c>
      <c r="V317" s="32" t="n">
        <f>2307446904</f>
        <v>2.307446904E9</v>
      </c>
      <c r="W317" s="32" t="n">
        <f>332862104</f>
        <v>3.32862104E8</v>
      </c>
      <c r="X317" s="36" t="n">
        <f>22</f>
        <v>22.0</v>
      </c>
    </row>
    <row r="318">
      <c r="A318" s="27" t="s">
        <v>42</v>
      </c>
      <c r="B318" s="27" t="s">
        <v>1011</v>
      </c>
      <c r="C318" s="27" t="s">
        <v>1012</v>
      </c>
      <c r="D318" s="27" t="s">
        <v>1013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119500</f>
        <v>119500.0</v>
      </c>
      <c r="L318" s="34" t="s">
        <v>48</v>
      </c>
      <c r="M318" s="33" t="n">
        <f>124900</f>
        <v>124900.0</v>
      </c>
      <c r="N318" s="34" t="s">
        <v>51</v>
      </c>
      <c r="O318" s="33" t="n">
        <f>117000</f>
        <v>117000.0</v>
      </c>
      <c r="P318" s="34" t="s">
        <v>50</v>
      </c>
      <c r="Q318" s="33" t="n">
        <f>124300</f>
        <v>124300.0</v>
      </c>
      <c r="R318" s="34" t="s">
        <v>51</v>
      </c>
      <c r="S318" s="35" t="n">
        <f>122145.45</f>
        <v>122145.45</v>
      </c>
      <c r="T318" s="32" t="n">
        <f>46706</f>
        <v>46706.0</v>
      </c>
      <c r="U318" s="32" t="n">
        <f>4295</f>
        <v>4295.0</v>
      </c>
      <c r="V318" s="32" t="n">
        <f>5690315288</f>
        <v>5.690315288E9</v>
      </c>
      <c r="W318" s="32" t="n">
        <f>523084188</f>
        <v>5.23084188E8</v>
      </c>
      <c r="X318" s="36" t="n">
        <f>22</f>
        <v>22.0</v>
      </c>
    </row>
    <row r="319">
      <c r="A319" s="27" t="s">
        <v>42</v>
      </c>
      <c r="B319" s="27" t="s">
        <v>1014</v>
      </c>
      <c r="C319" s="27" t="s">
        <v>1015</v>
      </c>
      <c r="D319" s="27" t="s">
        <v>1016</v>
      </c>
      <c r="E319" s="28" t="s">
        <v>46</v>
      </c>
      <c r="F319" s="29" t="s">
        <v>46</v>
      </c>
      <c r="G319" s="30" t="s">
        <v>46</v>
      </c>
      <c r="H319" s="31"/>
      <c r="I319" s="31" t="s">
        <v>634</v>
      </c>
      <c r="J319" s="32" t="n">
        <v>1.0</v>
      </c>
      <c r="K319" s="33" t="n">
        <f>141600</f>
        <v>141600.0</v>
      </c>
      <c r="L319" s="34" t="s">
        <v>48</v>
      </c>
      <c r="M319" s="33" t="n">
        <f>158500</f>
        <v>158500.0</v>
      </c>
      <c r="N319" s="34" t="s">
        <v>51</v>
      </c>
      <c r="O319" s="33" t="n">
        <f>140200</f>
        <v>140200.0</v>
      </c>
      <c r="P319" s="34" t="s">
        <v>48</v>
      </c>
      <c r="Q319" s="33" t="n">
        <f>158400</f>
        <v>158400.0</v>
      </c>
      <c r="R319" s="34" t="s">
        <v>51</v>
      </c>
      <c r="S319" s="35" t="n">
        <f>149286.36</f>
        <v>149286.36</v>
      </c>
      <c r="T319" s="32" t="n">
        <f>51031</f>
        <v>51031.0</v>
      </c>
      <c r="U319" s="32" t="n">
        <f>8850</f>
        <v>8850.0</v>
      </c>
      <c r="V319" s="32" t="n">
        <f>7632184528</f>
        <v>7.632184528E9</v>
      </c>
      <c r="W319" s="32" t="n">
        <f>1323092028</f>
        <v>1.323092028E9</v>
      </c>
      <c r="X319" s="36" t="n">
        <f>22</f>
        <v>22.0</v>
      </c>
    </row>
    <row r="320">
      <c r="A320" s="27" t="s">
        <v>42</v>
      </c>
      <c r="B320" s="27" t="s">
        <v>1017</v>
      </c>
      <c r="C320" s="27" t="s">
        <v>1018</v>
      </c>
      <c r="D320" s="27" t="s">
        <v>1019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693000</f>
        <v>693000.0</v>
      </c>
      <c r="L320" s="34" t="s">
        <v>48</v>
      </c>
      <c r="M320" s="33" t="n">
        <f>735000</f>
        <v>735000.0</v>
      </c>
      <c r="N320" s="34" t="s">
        <v>72</v>
      </c>
      <c r="O320" s="33" t="n">
        <f>688000</f>
        <v>688000.0</v>
      </c>
      <c r="P320" s="34" t="s">
        <v>48</v>
      </c>
      <c r="Q320" s="33" t="n">
        <f>693000</f>
        <v>693000.0</v>
      </c>
      <c r="R320" s="34" t="s">
        <v>51</v>
      </c>
      <c r="S320" s="35" t="n">
        <f>706590.91</f>
        <v>706590.91</v>
      </c>
      <c r="T320" s="32" t="n">
        <f>168088</f>
        <v>168088.0</v>
      </c>
      <c r="U320" s="32" t="n">
        <f>33630</f>
        <v>33630.0</v>
      </c>
      <c r="V320" s="32" t="n">
        <f>118990281282</f>
        <v>1.18990281282E11</v>
      </c>
      <c r="W320" s="32" t="n">
        <f>23820834282</f>
        <v>2.3820834282E10</v>
      </c>
      <c r="X320" s="36" t="n">
        <f>22</f>
        <v>22.0</v>
      </c>
    </row>
    <row r="321">
      <c r="A321" s="27" t="s">
        <v>42</v>
      </c>
      <c r="B321" s="27" t="s">
        <v>1020</v>
      </c>
      <c r="C321" s="27" t="s">
        <v>1021</v>
      </c>
      <c r="D321" s="27" t="s">
        <v>1022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660000</f>
        <v>660000.0</v>
      </c>
      <c r="L321" s="34" t="s">
        <v>48</v>
      </c>
      <c r="M321" s="33" t="n">
        <f>697000</f>
        <v>697000.0</v>
      </c>
      <c r="N321" s="34" t="s">
        <v>80</v>
      </c>
      <c r="O321" s="33" t="n">
        <f>653000</f>
        <v>653000.0</v>
      </c>
      <c r="P321" s="34" t="s">
        <v>48</v>
      </c>
      <c r="Q321" s="33" t="n">
        <f>683000</f>
        <v>683000.0</v>
      </c>
      <c r="R321" s="34" t="s">
        <v>51</v>
      </c>
      <c r="S321" s="35" t="n">
        <f>679954.55</f>
        <v>679954.55</v>
      </c>
      <c r="T321" s="32" t="n">
        <f>134689</f>
        <v>134689.0</v>
      </c>
      <c r="U321" s="32" t="n">
        <f>29124</f>
        <v>29124.0</v>
      </c>
      <c r="V321" s="32" t="n">
        <f>91700773383</f>
        <v>9.1700773383E10</v>
      </c>
      <c r="W321" s="32" t="n">
        <f>19827629383</f>
        <v>1.9827629383E10</v>
      </c>
      <c r="X321" s="36" t="n">
        <f>22</f>
        <v>22.0</v>
      </c>
    </row>
    <row r="322">
      <c r="A322" s="27" t="s">
        <v>42</v>
      </c>
      <c r="B322" s="27" t="s">
        <v>1023</v>
      </c>
      <c r="C322" s="27" t="s">
        <v>1024</v>
      </c>
      <c r="D322" s="27" t="s">
        <v>1025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110300</f>
        <v>110300.0</v>
      </c>
      <c r="L322" s="34" t="s">
        <v>48</v>
      </c>
      <c r="M322" s="33" t="n">
        <f>121400</f>
        <v>121400.0</v>
      </c>
      <c r="N322" s="34" t="s">
        <v>51</v>
      </c>
      <c r="O322" s="33" t="n">
        <f>109200</f>
        <v>109200.0</v>
      </c>
      <c r="P322" s="34" t="s">
        <v>48</v>
      </c>
      <c r="Q322" s="33" t="n">
        <f>120400</f>
        <v>120400.0</v>
      </c>
      <c r="R322" s="34" t="s">
        <v>51</v>
      </c>
      <c r="S322" s="35" t="n">
        <f>116609.09</f>
        <v>116609.09</v>
      </c>
      <c r="T322" s="32" t="n">
        <f>566810</f>
        <v>566810.0</v>
      </c>
      <c r="U322" s="32" t="n">
        <f>116847</f>
        <v>116847.0</v>
      </c>
      <c r="V322" s="32" t="n">
        <f>65891466641</f>
        <v>6.5891466641E10</v>
      </c>
      <c r="W322" s="32" t="n">
        <f>13567030641</f>
        <v>1.3567030641E10</v>
      </c>
      <c r="X322" s="36" t="n">
        <f>22</f>
        <v>22.0</v>
      </c>
    </row>
    <row r="323">
      <c r="A323" s="27" t="s">
        <v>42</v>
      </c>
      <c r="B323" s="27" t="s">
        <v>1026</v>
      </c>
      <c r="C323" s="27" t="s">
        <v>1027</v>
      </c>
      <c r="D323" s="27" t="s">
        <v>1028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201800</f>
        <v>201800.0</v>
      </c>
      <c r="L323" s="34" t="s">
        <v>48</v>
      </c>
      <c r="M323" s="33" t="n">
        <f>217900</f>
        <v>217900.0</v>
      </c>
      <c r="N323" s="34" t="s">
        <v>413</v>
      </c>
      <c r="O323" s="33" t="n">
        <f>200500</f>
        <v>200500.0</v>
      </c>
      <c r="P323" s="34" t="s">
        <v>48</v>
      </c>
      <c r="Q323" s="33" t="n">
        <f>213800</f>
        <v>213800.0</v>
      </c>
      <c r="R323" s="34" t="s">
        <v>51</v>
      </c>
      <c r="S323" s="35" t="n">
        <f>211263.64</f>
        <v>211263.64</v>
      </c>
      <c r="T323" s="32" t="n">
        <f>314226</f>
        <v>314226.0</v>
      </c>
      <c r="U323" s="32" t="n">
        <f>79239</f>
        <v>79239.0</v>
      </c>
      <c r="V323" s="32" t="n">
        <f>66266811731</f>
        <v>6.6266811731E10</v>
      </c>
      <c r="W323" s="32" t="n">
        <f>16707137431</f>
        <v>1.6707137431E10</v>
      </c>
      <c r="X323" s="36" t="n">
        <f>22</f>
        <v>22.0</v>
      </c>
    </row>
    <row r="324">
      <c r="A324" s="27" t="s">
        <v>42</v>
      </c>
      <c r="B324" s="27" t="s">
        <v>1029</v>
      </c>
      <c r="C324" s="27" t="s">
        <v>1030</v>
      </c>
      <c r="D324" s="27" t="s">
        <v>1031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429500</f>
        <v>429500.0</v>
      </c>
      <c r="L324" s="34" t="s">
        <v>48</v>
      </c>
      <c r="M324" s="33" t="n">
        <f>453000</f>
        <v>453000.0</v>
      </c>
      <c r="N324" s="34" t="s">
        <v>67</v>
      </c>
      <c r="O324" s="33" t="n">
        <f>427500</f>
        <v>427500.0</v>
      </c>
      <c r="P324" s="34" t="s">
        <v>48</v>
      </c>
      <c r="Q324" s="33" t="n">
        <f>435000</f>
        <v>435000.0</v>
      </c>
      <c r="R324" s="34" t="s">
        <v>51</v>
      </c>
      <c r="S324" s="35" t="n">
        <f>442613.64</f>
        <v>442613.64</v>
      </c>
      <c r="T324" s="32" t="n">
        <f>90383</f>
        <v>90383.0</v>
      </c>
      <c r="U324" s="32" t="n">
        <f>17886</f>
        <v>17886.0</v>
      </c>
      <c r="V324" s="32" t="n">
        <f>39969495624</f>
        <v>3.9969495624E10</v>
      </c>
      <c r="W324" s="32" t="n">
        <f>7901786624</f>
        <v>7.901786624E9</v>
      </c>
      <c r="X324" s="36" t="n">
        <f>22</f>
        <v>22.0</v>
      </c>
    </row>
    <row r="325">
      <c r="A325" s="27" t="s">
        <v>42</v>
      </c>
      <c r="B325" s="27" t="s">
        <v>1032</v>
      </c>
      <c r="C325" s="27" t="s">
        <v>1033</v>
      </c>
      <c r="D325" s="27" t="s">
        <v>1034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159600</f>
        <v>159600.0</v>
      </c>
      <c r="L325" s="34" t="s">
        <v>48</v>
      </c>
      <c r="M325" s="33" t="n">
        <f>168600</f>
        <v>168600.0</v>
      </c>
      <c r="N325" s="34" t="s">
        <v>98</v>
      </c>
      <c r="O325" s="33" t="n">
        <f>156800</f>
        <v>156800.0</v>
      </c>
      <c r="P325" s="34" t="s">
        <v>50</v>
      </c>
      <c r="Q325" s="33" t="n">
        <f>164100</f>
        <v>164100.0</v>
      </c>
      <c r="R325" s="34" t="s">
        <v>51</v>
      </c>
      <c r="S325" s="35" t="n">
        <f>163254.55</f>
        <v>163254.55</v>
      </c>
      <c r="T325" s="32" t="n">
        <f>108839</f>
        <v>108839.0</v>
      </c>
      <c r="U325" s="32" t="n">
        <f>18273</f>
        <v>18273.0</v>
      </c>
      <c r="V325" s="32" t="n">
        <f>17715686059</f>
        <v>1.7715686059E10</v>
      </c>
      <c r="W325" s="32" t="n">
        <f>2979264259</f>
        <v>2.979264259E9</v>
      </c>
      <c r="X325" s="36" t="n">
        <f>22</f>
        <v>22.0</v>
      </c>
    </row>
    <row r="326">
      <c r="A326" s="27" t="s">
        <v>42</v>
      </c>
      <c r="B326" s="27" t="s">
        <v>1035</v>
      </c>
      <c r="C326" s="27" t="s">
        <v>1036</v>
      </c>
      <c r="D326" s="27" t="s">
        <v>1037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193000</f>
        <v>193000.0</v>
      </c>
      <c r="L326" s="34" t="s">
        <v>48</v>
      </c>
      <c r="M326" s="33" t="n">
        <f>206300</f>
        <v>206300.0</v>
      </c>
      <c r="N326" s="34" t="s">
        <v>239</v>
      </c>
      <c r="O326" s="33" t="n">
        <f>192700</f>
        <v>192700.0</v>
      </c>
      <c r="P326" s="34" t="s">
        <v>48</v>
      </c>
      <c r="Q326" s="33" t="n">
        <f>204900</f>
        <v>204900.0</v>
      </c>
      <c r="R326" s="34" t="s">
        <v>51</v>
      </c>
      <c r="S326" s="35" t="n">
        <f>200504.55</f>
        <v>200504.55</v>
      </c>
      <c r="T326" s="32" t="n">
        <f>67937</f>
        <v>67937.0</v>
      </c>
      <c r="U326" s="32" t="n">
        <f>11191</f>
        <v>11191.0</v>
      </c>
      <c r="V326" s="32" t="n">
        <f>13560302089</f>
        <v>1.3560302089E10</v>
      </c>
      <c r="W326" s="32" t="n">
        <f>2240166689</f>
        <v>2.240166689E9</v>
      </c>
      <c r="X326" s="36" t="n">
        <f>22</f>
        <v>22.0</v>
      </c>
    </row>
    <row r="327">
      <c r="A327" s="27" t="s">
        <v>42</v>
      </c>
      <c r="B327" s="27" t="s">
        <v>1038</v>
      </c>
      <c r="C327" s="27" t="s">
        <v>1039</v>
      </c>
      <c r="D327" s="27" t="s">
        <v>1040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123200</f>
        <v>123200.0</v>
      </c>
      <c r="L327" s="34" t="s">
        <v>48</v>
      </c>
      <c r="M327" s="33" t="n">
        <f>129100</f>
        <v>129100.0</v>
      </c>
      <c r="N327" s="34" t="s">
        <v>98</v>
      </c>
      <c r="O327" s="33" t="n">
        <f>121800</f>
        <v>121800.0</v>
      </c>
      <c r="P327" s="34" t="s">
        <v>185</v>
      </c>
      <c r="Q327" s="33" t="n">
        <f>125200</f>
        <v>125200.0</v>
      </c>
      <c r="R327" s="34" t="s">
        <v>51</v>
      </c>
      <c r="S327" s="35" t="n">
        <f>125986.36</f>
        <v>125986.36</v>
      </c>
      <c r="T327" s="32" t="n">
        <f>82919</f>
        <v>82919.0</v>
      </c>
      <c r="U327" s="32" t="n">
        <f>13872</f>
        <v>13872.0</v>
      </c>
      <c r="V327" s="32" t="n">
        <f>10413391050</f>
        <v>1.041339105E10</v>
      </c>
      <c r="W327" s="32" t="n">
        <f>1743546650</f>
        <v>1.74354665E9</v>
      </c>
      <c r="X327" s="36" t="n">
        <f>22</f>
        <v>22.0</v>
      </c>
    </row>
    <row r="328">
      <c r="A328" s="27" t="s">
        <v>42</v>
      </c>
      <c r="B328" s="27" t="s">
        <v>1041</v>
      </c>
      <c r="C328" s="27" t="s">
        <v>1042</v>
      </c>
      <c r="D328" s="27" t="s">
        <v>1043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156600</f>
        <v>156600.0</v>
      </c>
      <c r="L328" s="34" t="s">
        <v>48</v>
      </c>
      <c r="M328" s="33" t="n">
        <f>163800</f>
        <v>163800.0</v>
      </c>
      <c r="N328" s="34" t="s">
        <v>413</v>
      </c>
      <c r="O328" s="33" t="n">
        <f>156600</f>
        <v>156600.0</v>
      </c>
      <c r="P328" s="34" t="s">
        <v>48</v>
      </c>
      <c r="Q328" s="33" t="n">
        <f>160700</f>
        <v>160700.0</v>
      </c>
      <c r="R328" s="34" t="s">
        <v>51</v>
      </c>
      <c r="S328" s="35" t="n">
        <f>160627.27</f>
        <v>160627.27</v>
      </c>
      <c r="T328" s="32" t="n">
        <f>333553</f>
        <v>333553.0</v>
      </c>
      <c r="U328" s="32" t="n">
        <f>76295</f>
        <v>76295.0</v>
      </c>
      <c r="V328" s="32" t="n">
        <f>53471453873</f>
        <v>5.3471453873E10</v>
      </c>
      <c r="W328" s="32" t="n">
        <f>12212148273</f>
        <v>1.2212148273E10</v>
      </c>
      <c r="X328" s="36" t="n">
        <f>22</f>
        <v>22.0</v>
      </c>
    </row>
    <row r="329">
      <c r="A329" s="27" t="s">
        <v>42</v>
      </c>
      <c r="B329" s="27" t="s">
        <v>1044</v>
      </c>
      <c r="C329" s="27" t="s">
        <v>1045</v>
      </c>
      <c r="D329" s="27" t="s">
        <v>1046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155000</f>
        <v>155000.0</v>
      </c>
      <c r="L329" s="34" t="s">
        <v>48</v>
      </c>
      <c r="M329" s="33" t="n">
        <f>160800</f>
        <v>160800.0</v>
      </c>
      <c r="N329" s="34" t="s">
        <v>98</v>
      </c>
      <c r="O329" s="33" t="n">
        <f>154000</f>
        <v>154000.0</v>
      </c>
      <c r="P329" s="34" t="s">
        <v>185</v>
      </c>
      <c r="Q329" s="33" t="n">
        <f>157100</f>
        <v>157100.0</v>
      </c>
      <c r="R329" s="34" t="s">
        <v>51</v>
      </c>
      <c r="S329" s="35" t="n">
        <f>157031.82</f>
        <v>157031.82</v>
      </c>
      <c r="T329" s="32" t="n">
        <f>92079</f>
        <v>92079.0</v>
      </c>
      <c r="U329" s="32" t="n">
        <f>13958</f>
        <v>13958.0</v>
      </c>
      <c r="V329" s="32" t="n">
        <f>14467256045</f>
        <v>1.4467256045E10</v>
      </c>
      <c r="W329" s="32" t="n">
        <f>2190966245</f>
        <v>2.190966245E9</v>
      </c>
      <c r="X329" s="36" t="n">
        <f>22</f>
        <v>22.0</v>
      </c>
    </row>
    <row r="330">
      <c r="A330" s="27" t="s">
        <v>42</v>
      </c>
      <c r="B330" s="27" t="s">
        <v>1047</v>
      </c>
      <c r="C330" s="27" t="s">
        <v>1048</v>
      </c>
      <c r="D330" s="27" t="s">
        <v>1049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44100</f>
        <v>44100.0</v>
      </c>
      <c r="L330" s="34" t="s">
        <v>48</v>
      </c>
      <c r="M330" s="33" t="n">
        <f>47650</f>
        <v>47650.0</v>
      </c>
      <c r="N330" s="34" t="s">
        <v>98</v>
      </c>
      <c r="O330" s="33" t="n">
        <f>42700</f>
        <v>42700.0</v>
      </c>
      <c r="P330" s="34" t="s">
        <v>51</v>
      </c>
      <c r="Q330" s="33" t="n">
        <f>42800</f>
        <v>42800.0</v>
      </c>
      <c r="R330" s="34" t="s">
        <v>51</v>
      </c>
      <c r="S330" s="35" t="n">
        <f>45102.27</f>
        <v>45102.27</v>
      </c>
      <c r="T330" s="32" t="n">
        <f>1096913</f>
        <v>1096913.0</v>
      </c>
      <c r="U330" s="32" t="n">
        <f>223823</f>
        <v>223823.0</v>
      </c>
      <c r="V330" s="32" t="n">
        <f>49599340886</f>
        <v>4.9599340886E10</v>
      </c>
      <c r="W330" s="32" t="n">
        <f>10040050186</f>
        <v>1.0040050186E10</v>
      </c>
      <c r="X330" s="36" t="n">
        <f>22</f>
        <v>22.0</v>
      </c>
    </row>
    <row r="331">
      <c r="A331" s="27" t="s">
        <v>42</v>
      </c>
      <c r="B331" s="27" t="s">
        <v>1050</v>
      </c>
      <c r="C331" s="27" t="s">
        <v>1051</v>
      </c>
      <c r="D331" s="27" t="s">
        <v>1052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500000</f>
        <v>500000.0</v>
      </c>
      <c r="L331" s="34" t="s">
        <v>48</v>
      </c>
      <c r="M331" s="33" t="n">
        <f>541000</f>
        <v>541000.0</v>
      </c>
      <c r="N331" s="34" t="s">
        <v>199</v>
      </c>
      <c r="O331" s="33" t="n">
        <f>499500</f>
        <v>499500.0</v>
      </c>
      <c r="P331" s="34" t="s">
        <v>48</v>
      </c>
      <c r="Q331" s="33" t="n">
        <f>519000</f>
        <v>519000.0</v>
      </c>
      <c r="R331" s="34" t="s">
        <v>51</v>
      </c>
      <c r="S331" s="35" t="n">
        <f>518454.55</f>
        <v>518454.55</v>
      </c>
      <c r="T331" s="32" t="n">
        <f>63260</f>
        <v>63260.0</v>
      </c>
      <c r="U331" s="32" t="n">
        <f>10851</f>
        <v>10851.0</v>
      </c>
      <c r="V331" s="32" t="n">
        <f>32951422673</f>
        <v>3.2951422673E10</v>
      </c>
      <c r="W331" s="32" t="n">
        <f>5612873173</f>
        <v>5.612873173E9</v>
      </c>
      <c r="X331" s="36" t="n">
        <f>22</f>
        <v>22.0</v>
      </c>
    </row>
    <row r="332">
      <c r="A332" s="27" t="s">
        <v>42</v>
      </c>
      <c r="B332" s="27" t="s">
        <v>1053</v>
      </c>
      <c r="C332" s="27" t="s">
        <v>1054</v>
      </c>
      <c r="D332" s="27" t="s">
        <v>1055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162900</f>
        <v>162900.0</v>
      </c>
      <c r="L332" s="34" t="s">
        <v>48</v>
      </c>
      <c r="M332" s="33" t="n">
        <f>176400</f>
        <v>176400.0</v>
      </c>
      <c r="N332" s="34" t="s">
        <v>51</v>
      </c>
      <c r="O332" s="33" t="n">
        <f>158300</f>
        <v>158300.0</v>
      </c>
      <c r="P332" s="34" t="s">
        <v>48</v>
      </c>
      <c r="Q332" s="33" t="n">
        <f>175000</f>
        <v>175000.0</v>
      </c>
      <c r="R332" s="34" t="s">
        <v>51</v>
      </c>
      <c r="S332" s="35" t="n">
        <f>171622.73</f>
        <v>171622.73</v>
      </c>
      <c r="T332" s="32" t="n">
        <f>223827</f>
        <v>223827.0</v>
      </c>
      <c r="U332" s="32" t="n">
        <f>44647</f>
        <v>44647.0</v>
      </c>
      <c r="V332" s="32" t="n">
        <f>37933348843</f>
        <v>3.7933348843E10</v>
      </c>
      <c r="W332" s="32" t="n">
        <f>7510757743</f>
        <v>7.510757743E9</v>
      </c>
      <c r="X332" s="36" t="n">
        <f>22</f>
        <v>22.0</v>
      </c>
    </row>
    <row r="333">
      <c r="A333" s="27" t="s">
        <v>42</v>
      </c>
      <c r="B333" s="27" t="s">
        <v>1056</v>
      </c>
      <c r="C333" s="27" t="s">
        <v>1057</v>
      </c>
      <c r="D333" s="27" t="s">
        <v>1058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308000</f>
        <v>308000.0</v>
      </c>
      <c r="L333" s="34" t="s">
        <v>48</v>
      </c>
      <c r="M333" s="33" t="n">
        <f>341000</f>
        <v>341000.0</v>
      </c>
      <c r="N333" s="34" t="s">
        <v>73</v>
      </c>
      <c r="O333" s="33" t="n">
        <f>306000</f>
        <v>306000.0</v>
      </c>
      <c r="P333" s="34" t="s">
        <v>48</v>
      </c>
      <c r="Q333" s="33" t="n">
        <f>334000</f>
        <v>334000.0</v>
      </c>
      <c r="R333" s="34" t="s">
        <v>51</v>
      </c>
      <c r="S333" s="35" t="n">
        <f>323590.91</f>
        <v>323590.91</v>
      </c>
      <c r="T333" s="32" t="n">
        <f>70332</f>
        <v>70332.0</v>
      </c>
      <c r="U333" s="32" t="n">
        <f>14649</f>
        <v>14649.0</v>
      </c>
      <c r="V333" s="32" t="n">
        <f>22789800231</f>
        <v>2.2789800231E10</v>
      </c>
      <c r="W333" s="32" t="n">
        <f>4747647731</f>
        <v>4.747647731E9</v>
      </c>
      <c r="X333" s="36" t="n">
        <f>22</f>
        <v>22.0</v>
      </c>
    </row>
    <row r="334">
      <c r="A334" s="27" t="s">
        <v>42</v>
      </c>
      <c r="B334" s="27" t="s">
        <v>1059</v>
      </c>
      <c r="C334" s="27" t="s">
        <v>1060</v>
      </c>
      <c r="D334" s="27" t="s">
        <v>1061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177700</f>
        <v>177700.0</v>
      </c>
      <c r="L334" s="34" t="s">
        <v>48</v>
      </c>
      <c r="M334" s="33" t="n">
        <f>188400</f>
        <v>188400.0</v>
      </c>
      <c r="N334" s="34" t="s">
        <v>239</v>
      </c>
      <c r="O334" s="33" t="n">
        <f>176200</f>
        <v>176200.0</v>
      </c>
      <c r="P334" s="34" t="s">
        <v>48</v>
      </c>
      <c r="Q334" s="33" t="n">
        <f>187000</f>
        <v>187000.0</v>
      </c>
      <c r="R334" s="34" t="s">
        <v>51</v>
      </c>
      <c r="S334" s="35" t="n">
        <f>183245.45</f>
        <v>183245.45</v>
      </c>
      <c r="T334" s="32" t="n">
        <f>57245</f>
        <v>57245.0</v>
      </c>
      <c r="U334" s="32" t="n">
        <f>11520</f>
        <v>11520.0</v>
      </c>
      <c r="V334" s="32" t="n">
        <f>10455154238</f>
        <v>1.0455154238E10</v>
      </c>
      <c r="W334" s="32" t="n">
        <f>2099410038</f>
        <v>2.099410038E9</v>
      </c>
      <c r="X334" s="36" t="n">
        <f>22</f>
        <v>22.0</v>
      </c>
    </row>
    <row r="335">
      <c r="A335" s="27" t="s">
        <v>42</v>
      </c>
      <c r="B335" s="27" t="s">
        <v>1062</v>
      </c>
      <c r="C335" s="27" t="s">
        <v>1063</v>
      </c>
      <c r="D335" s="27" t="s">
        <v>1064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814000</f>
        <v>814000.0</v>
      </c>
      <c r="L335" s="34" t="s">
        <v>48</v>
      </c>
      <c r="M335" s="33" t="n">
        <f>831000</f>
        <v>831000.0</v>
      </c>
      <c r="N335" s="34" t="s">
        <v>122</v>
      </c>
      <c r="O335" s="33" t="n">
        <f>759000</f>
        <v>759000.0</v>
      </c>
      <c r="P335" s="34" t="s">
        <v>185</v>
      </c>
      <c r="Q335" s="33" t="n">
        <f>783000</f>
        <v>783000.0</v>
      </c>
      <c r="R335" s="34" t="s">
        <v>51</v>
      </c>
      <c r="S335" s="35" t="n">
        <f>795500</f>
        <v>795500.0</v>
      </c>
      <c r="T335" s="32" t="n">
        <f>65176</f>
        <v>65176.0</v>
      </c>
      <c r="U335" s="32" t="n">
        <f>8902</f>
        <v>8902.0</v>
      </c>
      <c r="V335" s="32" t="n">
        <f>51630241462</f>
        <v>5.1630241462E10</v>
      </c>
      <c r="W335" s="32" t="n">
        <f>7045538462</f>
        <v>7.045538462E9</v>
      </c>
      <c r="X335" s="36" t="n">
        <f>22</f>
        <v>22.0</v>
      </c>
    </row>
    <row r="336">
      <c r="A336" s="27" t="s">
        <v>42</v>
      </c>
      <c r="B336" s="27" t="s">
        <v>1065</v>
      </c>
      <c r="C336" s="27" t="s">
        <v>1066</v>
      </c>
      <c r="D336" s="27" t="s">
        <v>1067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96900</f>
        <v>96900.0</v>
      </c>
      <c r="L336" s="34" t="s">
        <v>48</v>
      </c>
      <c r="M336" s="33" t="n">
        <f>102800</f>
        <v>102800.0</v>
      </c>
      <c r="N336" s="34" t="s">
        <v>98</v>
      </c>
      <c r="O336" s="33" t="n">
        <f>96100</f>
        <v>96100.0</v>
      </c>
      <c r="P336" s="34" t="s">
        <v>48</v>
      </c>
      <c r="Q336" s="33" t="n">
        <f>98800</f>
        <v>98800.0</v>
      </c>
      <c r="R336" s="34" t="s">
        <v>51</v>
      </c>
      <c r="S336" s="35" t="n">
        <f>98986.36</f>
        <v>98986.36</v>
      </c>
      <c r="T336" s="32" t="n">
        <f>95295</f>
        <v>95295.0</v>
      </c>
      <c r="U336" s="32" t="n">
        <f>21921</f>
        <v>21921.0</v>
      </c>
      <c r="V336" s="32" t="n">
        <f>9428798614</f>
        <v>9.428798614E9</v>
      </c>
      <c r="W336" s="32" t="n">
        <f>2170903414</f>
        <v>2.170903414E9</v>
      </c>
      <c r="X336" s="36" t="n">
        <f>22</f>
        <v>22.0</v>
      </c>
    </row>
    <row r="337">
      <c r="A337" s="27" t="s">
        <v>42</v>
      </c>
      <c r="B337" s="27" t="s">
        <v>1068</v>
      </c>
      <c r="C337" s="27" t="s">
        <v>1069</v>
      </c>
      <c r="D337" s="27" t="s">
        <v>1070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776000</f>
        <v>776000.0</v>
      </c>
      <c r="L337" s="34" t="s">
        <v>48</v>
      </c>
      <c r="M337" s="33" t="n">
        <f>801000</f>
        <v>801000.0</v>
      </c>
      <c r="N337" s="34" t="s">
        <v>98</v>
      </c>
      <c r="O337" s="33" t="n">
        <f>767000</f>
        <v>767000.0</v>
      </c>
      <c r="P337" s="34" t="s">
        <v>50</v>
      </c>
      <c r="Q337" s="33" t="n">
        <f>773000</f>
        <v>773000.0</v>
      </c>
      <c r="R337" s="34" t="s">
        <v>51</v>
      </c>
      <c r="S337" s="35" t="n">
        <f>781500</f>
        <v>781500.0</v>
      </c>
      <c r="T337" s="32" t="n">
        <f>29874</f>
        <v>29874.0</v>
      </c>
      <c r="U337" s="32" t="n">
        <f>4300</f>
        <v>4300.0</v>
      </c>
      <c r="V337" s="32" t="n">
        <f>23343970891</f>
        <v>2.3343970891E10</v>
      </c>
      <c r="W337" s="32" t="n">
        <f>3357048891</f>
        <v>3.357048891E9</v>
      </c>
      <c r="X337" s="36" t="n">
        <f>22</f>
        <v>22.0</v>
      </c>
    </row>
    <row r="338">
      <c r="A338" s="27" t="s">
        <v>42</v>
      </c>
      <c r="B338" s="27" t="s">
        <v>1071</v>
      </c>
      <c r="C338" s="27" t="s">
        <v>1072</v>
      </c>
      <c r="D338" s="27" t="s">
        <v>1073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153900</f>
        <v>153900.0</v>
      </c>
      <c r="L338" s="34" t="s">
        <v>48</v>
      </c>
      <c r="M338" s="33" t="n">
        <f>163000</f>
        <v>163000.0</v>
      </c>
      <c r="N338" s="34" t="s">
        <v>73</v>
      </c>
      <c r="O338" s="33" t="n">
        <f>150200</f>
        <v>150200.0</v>
      </c>
      <c r="P338" s="34" t="s">
        <v>185</v>
      </c>
      <c r="Q338" s="33" t="n">
        <f>160900</f>
        <v>160900.0</v>
      </c>
      <c r="R338" s="34" t="s">
        <v>51</v>
      </c>
      <c r="S338" s="35" t="n">
        <f>157277.27</f>
        <v>157277.27</v>
      </c>
      <c r="T338" s="32" t="n">
        <f>58581</f>
        <v>58581.0</v>
      </c>
      <c r="U338" s="32" t="n">
        <f>8361</f>
        <v>8361.0</v>
      </c>
      <c r="V338" s="32" t="n">
        <f>9206982421</f>
        <v>9.206982421E9</v>
      </c>
      <c r="W338" s="32" t="n">
        <f>1313721921</f>
        <v>1.313721921E9</v>
      </c>
      <c r="X338" s="36" t="n">
        <f>22</f>
        <v>22.0</v>
      </c>
    </row>
    <row r="339">
      <c r="A339" s="27" t="s">
        <v>42</v>
      </c>
      <c r="B339" s="27" t="s">
        <v>1074</v>
      </c>
      <c r="C339" s="27" t="s">
        <v>1075</v>
      </c>
      <c r="D339" s="27" t="s">
        <v>1076</v>
      </c>
      <c r="E339" s="28" t="s">
        <v>46</v>
      </c>
      <c r="F339" s="29" t="s">
        <v>46</v>
      </c>
      <c r="G339" s="30" t="s">
        <v>46</v>
      </c>
      <c r="H339" s="31"/>
      <c r="I339" s="31" t="s">
        <v>634</v>
      </c>
      <c r="J339" s="32" t="n">
        <v>1.0</v>
      </c>
      <c r="K339" s="33" t="n">
        <f>225200</f>
        <v>225200.0</v>
      </c>
      <c r="L339" s="34" t="s">
        <v>48</v>
      </c>
      <c r="M339" s="33" t="n">
        <f>247800</f>
        <v>247800.0</v>
      </c>
      <c r="N339" s="34" t="s">
        <v>105</v>
      </c>
      <c r="O339" s="33" t="n">
        <f>224400</f>
        <v>224400.0</v>
      </c>
      <c r="P339" s="34" t="s">
        <v>48</v>
      </c>
      <c r="Q339" s="33" t="n">
        <f>242000</f>
        <v>242000.0</v>
      </c>
      <c r="R339" s="34" t="s">
        <v>51</v>
      </c>
      <c r="S339" s="35" t="n">
        <f>236690.91</f>
        <v>236690.91</v>
      </c>
      <c r="T339" s="32" t="n">
        <f>19790</f>
        <v>19790.0</v>
      </c>
      <c r="U339" s="32" t="n">
        <f>2839</f>
        <v>2839.0</v>
      </c>
      <c r="V339" s="32" t="n">
        <f>4687199849</f>
        <v>4.687199849E9</v>
      </c>
      <c r="W339" s="32" t="n">
        <f>669328349</f>
        <v>6.69328349E8</v>
      </c>
      <c r="X339" s="36" t="n">
        <f>22</f>
        <v>22.0</v>
      </c>
    </row>
    <row r="340">
      <c r="A340" s="27" t="s">
        <v>42</v>
      </c>
      <c r="B340" s="27" t="s">
        <v>1077</v>
      </c>
      <c r="C340" s="27" t="s">
        <v>1078</v>
      </c>
      <c r="D340" s="27" t="s">
        <v>1079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303500</f>
        <v>303500.0</v>
      </c>
      <c r="L340" s="34" t="s">
        <v>48</v>
      </c>
      <c r="M340" s="33" t="n">
        <f>339500</f>
        <v>339500.0</v>
      </c>
      <c r="N340" s="34" t="s">
        <v>413</v>
      </c>
      <c r="O340" s="33" t="n">
        <f>303000</f>
        <v>303000.0</v>
      </c>
      <c r="P340" s="34" t="s">
        <v>48</v>
      </c>
      <c r="Q340" s="33" t="n">
        <f>327500</f>
        <v>327500.0</v>
      </c>
      <c r="R340" s="34" t="s">
        <v>51</v>
      </c>
      <c r="S340" s="35" t="n">
        <f>327931.82</f>
        <v>327931.82</v>
      </c>
      <c r="T340" s="32" t="n">
        <f>202859</f>
        <v>202859.0</v>
      </c>
      <c r="U340" s="32" t="n">
        <f>46658</f>
        <v>46658.0</v>
      </c>
      <c r="V340" s="32" t="n">
        <f>66246274521</f>
        <v>6.6246274521E10</v>
      </c>
      <c r="W340" s="32" t="n">
        <f>15139043521</f>
        <v>1.5139043521E10</v>
      </c>
      <c r="X340" s="36" t="n">
        <f>22</f>
        <v>22.0</v>
      </c>
    </row>
    <row r="341">
      <c r="A341" s="27" t="s">
        <v>42</v>
      </c>
      <c r="B341" s="27" t="s">
        <v>1080</v>
      </c>
      <c r="C341" s="27" t="s">
        <v>1081</v>
      </c>
      <c r="D341" s="27" t="s">
        <v>1082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66500</f>
        <v>66500.0</v>
      </c>
      <c r="L341" s="34" t="s">
        <v>48</v>
      </c>
      <c r="M341" s="33" t="n">
        <f>72500</f>
        <v>72500.0</v>
      </c>
      <c r="N341" s="34" t="s">
        <v>98</v>
      </c>
      <c r="O341" s="33" t="n">
        <f>65600</f>
        <v>65600.0</v>
      </c>
      <c r="P341" s="34" t="s">
        <v>48</v>
      </c>
      <c r="Q341" s="33" t="n">
        <f>66600</f>
        <v>66600.0</v>
      </c>
      <c r="R341" s="34" t="s">
        <v>51</v>
      </c>
      <c r="S341" s="35" t="n">
        <f>68763.64</f>
        <v>68763.64</v>
      </c>
      <c r="T341" s="32" t="n">
        <f>605931</f>
        <v>605931.0</v>
      </c>
      <c r="U341" s="32" t="n">
        <f>148904</f>
        <v>148904.0</v>
      </c>
      <c r="V341" s="32" t="n">
        <f>41783613382</f>
        <v>4.1783613382E10</v>
      </c>
      <c r="W341" s="32" t="n">
        <f>10267105782</f>
        <v>1.0267105782E10</v>
      </c>
      <c r="X341" s="36" t="n">
        <f>22</f>
        <v>22.0</v>
      </c>
    </row>
    <row r="342">
      <c r="A342" s="27" t="s">
        <v>42</v>
      </c>
      <c r="B342" s="27" t="s">
        <v>1083</v>
      </c>
      <c r="C342" s="27" t="s">
        <v>1084</v>
      </c>
      <c r="D342" s="27" t="s">
        <v>1085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111900</f>
        <v>111900.0</v>
      </c>
      <c r="L342" s="34" t="s">
        <v>48</v>
      </c>
      <c r="M342" s="33" t="n">
        <f>121700</f>
        <v>121700.0</v>
      </c>
      <c r="N342" s="34" t="s">
        <v>98</v>
      </c>
      <c r="O342" s="33" t="n">
        <f>111300</f>
        <v>111300.0</v>
      </c>
      <c r="P342" s="34" t="s">
        <v>48</v>
      </c>
      <c r="Q342" s="33" t="n">
        <f>120800</f>
        <v>120800.0</v>
      </c>
      <c r="R342" s="34" t="s">
        <v>51</v>
      </c>
      <c r="S342" s="35" t="n">
        <f>118695.45</f>
        <v>118695.45</v>
      </c>
      <c r="T342" s="32" t="n">
        <f>180007</f>
        <v>180007.0</v>
      </c>
      <c r="U342" s="32" t="n">
        <f>44581</f>
        <v>44581.0</v>
      </c>
      <c r="V342" s="32" t="n">
        <f>21361154089</f>
        <v>2.1361154089E10</v>
      </c>
      <c r="W342" s="32" t="n">
        <f>5289802689</f>
        <v>5.289802689E9</v>
      </c>
      <c r="X342" s="36" t="n">
        <f>22</f>
        <v>22.0</v>
      </c>
    </row>
    <row r="343">
      <c r="A343" s="27" t="s">
        <v>42</v>
      </c>
      <c r="B343" s="27" t="s">
        <v>1086</v>
      </c>
      <c r="C343" s="27" t="s">
        <v>1087</v>
      </c>
      <c r="D343" s="27" t="s">
        <v>1088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156800</f>
        <v>156800.0</v>
      </c>
      <c r="L343" s="34" t="s">
        <v>48</v>
      </c>
      <c r="M343" s="33" t="n">
        <f>165100</f>
        <v>165100.0</v>
      </c>
      <c r="N343" s="34" t="s">
        <v>98</v>
      </c>
      <c r="O343" s="33" t="n">
        <f>155200</f>
        <v>155200.0</v>
      </c>
      <c r="P343" s="34" t="s">
        <v>48</v>
      </c>
      <c r="Q343" s="33" t="n">
        <f>158800</f>
        <v>158800.0</v>
      </c>
      <c r="R343" s="34" t="s">
        <v>51</v>
      </c>
      <c r="S343" s="35" t="n">
        <f>160613.64</f>
        <v>160613.64</v>
      </c>
      <c r="T343" s="32" t="n">
        <f>123854</f>
        <v>123854.0</v>
      </c>
      <c r="U343" s="32" t="n">
        <f>16152</f>
        <v>16152.0</v>
      </c>
      <c r="V343" s="32" t="n">
        <f>19859295954</f>
        <v>1.9859295954E10</v>
      </c>
      <c r="W343" s="32" t="n">
        <f>2585393654</f>
        <v>2.585393654E9</v>
      </c>
      <c r="X343" s="36" t="n">
        <f>22</f>
        <v>22.0</v>
      </c>
    </row>
    <row r="344">
      <c r="A344" s="27" t="s">
        <v>42</v>
      </c>
      <c r="B344" s="27" t="s">
        <v>1089</v>
      </c>
      <c r="C344" s="27" t="s">
        <v>1090</v>
      </c>
      <c r="D344" s="27" t="s">
        <v>1091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121100</f>
        <v>121100.0</v>
      </c>
      <c r="L344" s="34" t="s">
        <v>48</v>
      </c>
      <c r="M344" s="33" t="n">
        <f>124000</f>
        <v>124000.0</v>
      </c>
      <c r="N344" s="34" t="s">
        <v>72</v>
      </c>
      <c r="O344" s="33" t="n">
        <f>121000</f>
        <v>121000.0</v>
      </c>
      <c r="P344" s="34" t="s">
        <v>50</v>
      </c>
      <c r="Q344" s="33" t="n">
        <f>122200</f>
        <v>122200.0</v>
      </c>
      <c r="R344" s="34" t="s">
        <v>51</v>
      </c>
      <c r="S344" s="35" t="n">
        <f>122327.27</f>
        <v>122327.27</v>
      </c>
      <c r="T344" s="32" t="n">
        <f>8944</f>
        <v>8944.0</v>
      </c>
      <c r="U344" s="32" t="n">
        <f>738</f>
        <v>738.0</v>
      </c>
      <c r="V344" s="32" t="n">
        <f>1094878250</f>
        <v>1.09487825E9</v>
      </c>
      <c r="W344" s="32" t="n">
        <f>90116650</f>
        <v>9.011665E7</v>
      </c>
      <c r="X344" s="36" t="n">
        <f>22</f>
        <v>22.0</v>
      </c>
    </row>
    <row r="345">
      <c r="A345" s="27" t="s">
        <v>42</v>
      </c>
      <c r="B345" s="27" t="s">
        <v>1092</v>
      </c>
      <c r="C345" s="27" t="s">
        <v>1093</v>
      </c>
      <c r="D345" s="27" t="s">
        <v>1094</v>
      </c>
      <c r="E345" s="28" t="s">
        <v>46</v>
      </c>
      <c r="F345" s="29" t="s">
        <v>46</v>
      </c>
      <c r="G345" s="30" t="s">
        <v>46</v>
      </c>
      <c r="H345" s="31"/>
      <c r="I345" s="31" t="s">
        <v>634</v>
      </c>
      <c r="J345" s="32" t="n">
        <v>1.0</v>
      </c>
      <c r="K345" s="33" t="n">
        <f>71700</f>
        <v>71700.0</v>
      </c>
      <c r="L345" s="34" t="s">
        <v>48</v>
      </c>
      <c r="M345" s="33" t="n">
        <f>73200</f>
        <v>73200.0</v>
      </c>
      <c r="N345" s="34" t="s">
        <v>239</v>
      </c>
      <c r="O345" s="33" t="n">
        <f>67300</f>
        <v>67300.0</v>
      </c>
      <c r="P345" s="34" t="s">
        <v>73</v>
      </c>
      <c r="Q345" s="33" t="n">
        <f>69300</f>
        <v>69300.0</v>
      </c>
      <c r="R345" s="34" t="s">
        <v>51</v>
      </c>
      <c r="S345" s="35" t="n">
        <f>72122.73</f>
        <v>72122.73</v>
      </c>
      <c r="T345" s="32" t="n">
        <f>9756</f>
        <v>9756.0</v>
      </c>
      <c r="U345" s="32" t="n">
        <f>15</f>
        <v>15.0</v>
      </c>
      <c r="V345" s="32" t="n">
        <f>695623200</f>
        <v>6.956232E8</v>
      </c>
      <c r="W345" s="32" t="n">
        <f>1083900</f>
        <v>1083900.0</v>
      </c>
      <c r="X345" s="36" t="n">
        <f>22</f>
        <v>22.0</v>
      </c>
    </row>
    <row r="346">
      <c r="A346" s="27" t="s">
        <v>42</v>
      </c>
      <c r="B346" s="27" t="s">
        <v>1095</v>
      </c>
      <c r="C346" s="27" t="s">
        <v>1096</v>
      </c>
      <c r="D346" s="27" t="s">
        <v>1097</v>
      </c>
      <c r="E346" s="28" t="s">
        <v>46</v>
      </c>
      <c r="F346" s="29" t="s">
        <v>46</v>
      </c>
      <c r="G346" s="30" t="s">
        <v>46</v>
      </c>
      <c r="H346" s="31"/>
      <c r="I346" s="31" t="s">
        <v>634</v>
      </c>
      <c r="J346" s="32" t="n">
        <v>1.0</v>
      </c>
      <c r="K346" s="33" t="n">
        <f>107800</f>
        <v>107800.0</v>
      </c>
      <c r="L346" s="34" t="s">
        <v>48</v>
      </c>
      <c r="M346" s="33" t="n">
        <f>110800</f>
        <v>110800.0</v>
      </c>
      <c r="N346" s="34" t="s">
        <v>73</v>
      </c>
      <c r="O346" s="33" t="n">
        <f>107700</f>
        <v>107700.0</v>
      </c>
      <c r="P346" s="34" t="s">
        <v>198</v>
      </c>
      <c r="Q346" s="33" t="n">
        <f>110300</f>
        <v>110300.0</v>
      </c>
      <c r="R346" s="34" t="s">
        <v>51</v>
      </c>
      <c r="S346" s="35" t="n">
        <f>109150</f>
        <v>109150.0</v>
      </c>
      <c r="T346" s="32" t="n">
        <f>7489</f>
        <v>7489.0</v>
      </c>
      <c r="U346" s="32" t="n">
        <f>11</f>
        <v>11.0</v>
      </c>
      <c r="V346" s="32" t="n">
        <f>818530400</f>
        <v>8.185304E8</v>
      </c>
      <c r="W346" s="32" t="n">
        <f>1199000</f>
        <v>1199000.0</v>
      </c>
      <c r="X346" s="36" t="n">
        <f>22</f>
        <v>22.0</v>
      </c>
    </row>
    <row r="347">
      <c r="A347" s="27" t="s">
        <v>42</v>
      </c>
      <c r="B347" s="27" t="s">
        <v>1098</v>
      </c>
      <c r="C347" s="27" t="s">
        <v>1099</v>
      </c>
      <c r="D347" s="27" t="s">
        <v>1100</v>
      </c>
      <c r="E347" s="28" t="s">
        <v>46</v>
      </c>
      <c r="F347" s="29" t="s">
        <v>46</v>
      </c>
      <c r="G347" s="30" t="s">
        <v>46</v>
      </c>
      <c r="H347" s="31"/>
      <c r="I347" s="31" t="s">
        <v>634</v>
      </c>
      <c r="J347" s="32" t="n">
        <v>1.0</v>
      </c>
      <c r="K347" s="33" t="n">
        <f>127300</f>
        <v>127300.0</v>
      </c>
      <c r="L347" s="34" t="s">
        <v>48</v>
      </c>
      <c r="M347" s="33" t="n">
        <f>130200</f>
        <v>130200.0</v>
      </c>
      <c r="N347" s="34" t="s">
        <v>98</v>
      </c>
      <c r="O347" s="33" t="n">
        <f>125300</f>
        <v>125300.0</v>
      </c>
      <c r="P347" s="34" t="s">
        <v>73</v>
      </c>
      <c r="Q347" s="33" t="n">
        <f>126500</f>
        <v>126500.0</v>
      </c>
      <c r="R347" s="34" t="s">
        <v>51</v>
      </c>
      <c r="S347" s="35" t="n">
        <f>128809.09</f>
        <v>128809.09</v>
      </c>
      <c r="T347" s="32" t="n">
        <f>20122</f>
        <v>20122.0</v>
      </c>
      <c r="U347" s="32" t="n">
        <f>237</f>
        <v>237.0</v>
      </c>
      <c r="V347" s="32" t="n">
        <f>2589549500</f>
        <v>2.5895495E9</v>
      </c>
      <c r="W347" s="32" t="n">
        <f>31028000</f>
        <v>3.1028E7</v>
      </c>
      <c r="X347" s="36" t="n">
        <f>22</f>
        <v>22.0</v>
      </c>
    </row>
    <row r="348">
      <c r="A348" s="27" t="s">
        <v>42</v>
      </c>
      <c r="B348" s="27" t="s">
        <v>1101</v>
      </c>
      <c r="C348" s="27" t="s">
        <v>1102</v>
      </c>
      <c r="D348" s="27" t="s">
        <v>1103</v>
      </c>
      <c r="E348" s="28" t="s">
        <v>46</v>
      </c>
      <c r="F348" s="29" t="s">
        <v>46</v>
      </c>
      <c r="G348" s="30" t="s">
        <v>46</v>
      </c>
      <c r="H348" s="31"/>
      <c r="I348" s="31" t="s">
        <v>634</v>
      </c>
      <c r="J348" s="32" t="n">
        <v>1.0</v>
      </c>
      <c r="K348" s="33" t="n">
        <f>104500</f>
        <v>104500.0</v>
      </c>
      <c r="L348" s="34" t="s">
        <v>48</v>
      </c>
      <c r="M348" s="33" t="n">
        <f>106900</f>
        <v>106900.0</v>
      </c>
      <c r="N348" s="34" t="s">
        <v>98</v>
      </c>
      <c r="O348" s="33" t="n">
        <f>102000</f>
        <v>102000.0</v>
      </c>
      <c r="P348" s="34" t="s">
        <v>73</v>
      </c>
      <c r="Q348" s="33" t="n">
        <f>103200</f>
        <v>103200.0</v>
      </c>
      <c r="R348" s="34" t="s">
        <v>51</v>
      </c>
      <c r="S348" s="35" t="n">
        <f>105440.91</f>
        <v>105440.91</v>
      </c>
      <c r="T348" s="32" t="n">
        <f>7933</f>
        <v>7933.0</v>
      </c>
      <c r="U348" s="32" t="n">
        <f>26</f>
        <v>26.0</v>
      </c>
      <c r="V348" s="32" t="n">
        <f>833671500</f>
        <v>8.336715E8</v>
      </c>
      <c r="W348" s="32" t="n">
        <f>2736800</f>
        <v>2736800.0</v>
      </c>
      <c r="X348" s="36" t="n">
        <f>22</f>
        <v>22.0</v>
      </c>
    </row>
    <row r="349">
      <c r="A349" s="27" t="s">
        <v>42</v>
      </c>
      <c r="B349" s="27" t="s">
        <v>1104</v>
      </c>
      <c r="C349" s="27" t="s">
        <v>1105</v>
      </c>
      <c r="D349" s="27" t="s">
        <v>1106</v>
      </c>
      <c r="E349" s="28" t="s">
        <v>46</v>
      </c>
      <c r="F349" s="29" t="s">
        <v>46</v>
      </c>
      <c r="G349" s="30" t="s">
        <v>46</v>
      </c>
      <c r="H349" s="31"/>
      <c r="I349" s="31" t="s">
        <v>634</v>
      </c>
      <c r="J349" s="32" t="n">
        <v>1.0</v>
      </c>
      <c r="K349" s="33" t="n">
        <f>94800</f>
        <v>94800.0</v>
      </c>
      <c r="L349" s="34" t="s">
        <v>48</v>
      </c>
      <c r="M349" s="33" t="n">
        <f>97700</f>
        <v>97700.0</v>
      </c>
      <c r="N349" s="34" t="s">
        <v>98</v>
      </c>
      <c r="O349" s="33" t="n">
        <f>94600</f>
        <v>94600.0</v>
      </c>
      <c r="P349" s="34" t="s">
        <v>48</v>
      </c>
      <c r="Q349" s="33" t="n">
        <f>96200</f>
        <v>96200.0</v>
      </c>
      <c r="R349" s="34" t="s">
        <v>51</v>
      </c>
      <c r="S349" s="35" t="n">
        <f>96390.91</f>
        <v>96390.91</v>
      </c>
      <c r="T349" s="32" t="n">
        <f>24161</f>
        <v>24161.0</v>
      </c>
      <c r="U349" s="32" t="n">
        <f>1636</f>
        <v>1636.0</v>
      </c>
      <c r="V349" s="32" t="n">
        <f>2332464490</f>
        <v>2.33246449E9</v>
      </c>
      <c r="W349" s="32" t="n">
        <f>159314690</f>
        <v>1.5931469E8</v>
      </c>
      <c r="X349" s="36" t="n">
        <f>22</f>
        <v>22.0</v>
      </c>
    </row>
    <row r="350">
      <c r="A350" s="27" t="s">
        <v>42</v>
      </c>
      <c r="B350" s="27" t="s">
        <v>1107</v>
      </c>
      <c r="C350" s="27" t="s">
        <v>1108</v>
      </c>
      <c r="D350" s="27" t="s">
        <v>1109</v>
      </c>
      <c r="E350" s="28" t="s">
        <v>46</v>
      </c>
      <c r="F350" s="29" t="s">
        <v>46</v>
      </c>
      <c r="G350" s="30" t="s">
        <v>46</v>
      </c>
      <c r="H350" s="31"/>
      <c r="I350" s="31" t="s">
        <v>634</v>
      </c>
      <c r="J350" s="32" t="n">
        <v>1.0</v>
      </c>
      <c r="K350" s="33" t="n">
        <f>99600</f>
        <v>99600.0</v>
      </c>
      <c r="L350" s="34" t="s">
        <v>48</v>
      </c>
      <c r="M350" s="33" t="n">
        <f>101000</f>
        <v>101000.0</v>
      </c>
      <c r="N350" s="34" t="s">
        <v>98</v>
      </c>
      <c r="O350" s="33" t="n">
        <f>97700</f>
        <v>97700.0</v>
      </c>
      <c r="P350" s="34" t="s">
        <v>73</v>
      </c>
      <c r="Q350" s="33" t="n">
        <f>98500</f>
        <v>98500.0</v>
      </c>
      <c r="R350" s="34" t="s">
        <v>51</v>
      </c>
      <c r="S350" s="35" t="n">
        <f>99481.82</f>
        <v>99481.82</v>
      </c>
      <c r="T350" s="32" t="n">
        <f>12703</f>
        <v>12703.0</v>
      </c>
      <c r="U350" s="32" t="n">
        <f>207</f>
        <v>207.0</v>
      </c>
      <c r="V350" s="32" t="n">
        <f>1263150700</f>
        <v>1.2631507E9</v>
      </c>
      <c r="W350" s="32" t="n">
        <f>20915500</f>
        <v>2.09155E7</v>
      </c>
      <c r="X350" s="36" t="n">
        <f>22</f>
        <v>22.0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