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<sst xmlns="http://schemas.openxmlformats.org/spreadsheetml/2006/main" count="4178" uniqueCount="1098">
  <si>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</si>
  <si>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</si>
  <si>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</si>
  <si>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</si>
  <si>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</si>
  <si>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</si>
  <si>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</si>
  <si>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</si>
  <si>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</si>
  <si>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</si>
  <si>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</si>
  <si>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</si>
  <si>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</si>
  <si>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</si>
  <si>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</si>
  <si>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</si>
  <si>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</si>
  <si>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</si>
  <si>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</si>
  <si>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</si>
  <si>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</si>
  <si>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</si>
  <si>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</si>
  <si>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</si>
  <si>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</si>
  <si>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</si>
  <si>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</si>
  <si>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</si>
  <si>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</si>
  <si>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</si>
  <si>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</si>
  <si>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</si>
  <si>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</si>
  <si>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</si>
  <si>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</si>
  <si>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</si>
  <si>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</si>
  <si>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</si>
  <si>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</si>
  <si>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</si>
  <si>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</si>
  <si>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</si>
  <si>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2021/08</t>
  </si>
  <si>
    <t>1305</t>
  </si>
  <si>
    <t>ダイワ上場投信－トピックス　受益証券</t>
  </si>
  <si>
    <t>Daiwa ETF-TOPIX</t>
  </si>
  <si>
    <t/>
  </si>
  <si>
    <t>貸借</t>
  </si>
  <si>
    <t>2</t>
  </si>
  <si>
    <t>12</t>
  </si>
  <si>
    <t>20</t>
  </si>
  <si>
    <t>31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</si>
  <si>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</si>
  <si>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</si>
  <si>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</si>
  <si>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</si>
  <si>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</si>
  <si>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</si>
  <si>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</si>
  <si>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</si>
  <si>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</si>
  <si>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11</t>
  </si>
  <si>
    <t>1311</t>
  </si>
  <si>
    <t>ＮＥＸＴ　ＦＵＮＤＳ　ＴＯＰＩＸ　Ｃｏｒｅ　３０連動型上場投信　受益証券</t>
  </si>
  <si>
    <t>NEXT FUNDS TOPIX Core 30 Exchange Traded Fund</t>
  </si>
  <si>
    <t>1312</t>
  </si>
  <si>
    <t>ＮＥＸＴ　ＦＵＮＤＳ　ラッセル野村小型コア・インデックス連動型上場投信　受益証券</t>
  </si>
  <si>
    <t>NEXT FUNDS Russell/Nomura Small Cap Core Index Exchange Traded Fund</t>
  </si>
  <si>
    <t>23</t>
  </si>
  <si>
    <t>1313</t>
  </si>
  <si>
    <t>サムスンＫＯＤＥＸ２００証券上場指数投資信託[株式]　受益証券</t>
  </si>
  <si>
    <t>SAMSUNG KODEX200 SECURITIES EXCHANGE TRADED FUND [STOCK]</t>
  </si>
  <si>
    <t>6</t>
  </si>
  <si>
    <t>27</t>
  </si>
  <si>
    <t>1319</t>
  </si>
  <si>
    <t>ＮＥＸＴ　ＦＵＮＤＳ　日経３００株価指数連動型上場投信　受益証券</t>
  </si>
  <si>
    <t>NEXT FUNDS Nikkei 300 Index Exchange Traded Fund</t>
  </si>
  <si>
    <t>1320</t>
  </si>
  <si>
    <t>ダイワ上場投信－日経２２５　受益証券</t>
  </si>
  <si>
    <t>Daiwa ETF-Nikkei 225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</si>
  <si>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</si>
  <si>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</si>
  <si>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</si>
  <si>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</si>
  <si>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</si>
  <si>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</si>
  <si>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1323</t>
  </si>
  <si>
    <t>ＮＥＸＴ　ＦＵＮＤＳ　南アフリカ株式指数・ＦＴＳＥ／ＪＳＥ　Ａｆｒｉｃａ　Ｔｏｐ４０連動型上場投信　受益証券</t>
  </si>
  <si>
    <t>NEXT FUNDS FTSE/JSE Africa Top40 Linked Exchange Traded Fund</t>
  </si>
  <si>
    <t>5</t>
  </si>
  <si>
    <t>1324</t>
  </si>
  <si>
    <t>ＮＥＸＴ　ＦＵＮＤＳ　ロシア株式指数・ＲＴＳ連動型上場投信　受益証券</t>
  </si>
  <si>
    <t>NEXT FUNDS Russia RTS Linked Exchange Traded Fund</t>
  </si>
  <si>
    <t>30</t>
  </si>
  <si>
    <t>1325</t>
  </si>
  <si>
    <t>ＮＥＸＴ　ＦＵＮＤＳ　ブラジル株式指数・ボベスパ連動型上場投信　受益証券</t>
  </si>
  <si>
    <t>NEXT FUNDS Ibovespa Linked Exchange Traded Fund</t>
  </si>
  <si>
    <t>3</t>
  </si>
  <si>
    <t>1326</t>
  </si>
  <si>
    <t>ＳＰＤＲゴールド・シェア　受益証券</t>
  </si>
  <si>
    <t>SPDR Gold Shares</t>
  </si>
  <si>
    <t>10</t>
  </si>
  <si>
    <t>1327</t>
  </si>
  <si>
    <t>イージーＥＴＦ　Ｓ＆Ｐ　ＧＳＣＩ　商品指数　キャップド・コモディティ　３５／２０　クラスＡ米ドル建受益証券</t>
  </si>
  <si>
    <t>S&amp;P GSCI Energy &amp; Metals Capped Component 35/20 THEAM Easy UCITS ETF Class A USD Unit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</si>
  <si>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</si>
  <si>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</si>
  <si>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</si>
  <si>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</si>
  <si>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</si>
  <si>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</si>
  <si>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</si>
  <si>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</si>
  <si>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</si>
  <si>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</si>
  <si>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</si>
  <si>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</si>
  <si>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26</t>
  </si>
  <si>
    <t>1344</t>
  </si>
  <si>
    <t>ＭＡＸＩＳ　トピックス・コア３０上場投信　受益証券</t>
  </si>
  <si>
    <t>MAXIS TOPIX Core30 ETF</t>
  </si>
  <si>
    <t>確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</si>
  <si>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</si>
  <si>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</si>
  <si>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</si>
  <si>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</si>
  <si>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</si>
  <si>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</si>
  <si>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</si>
  <si>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</si>
  <si>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</si>
  <si>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</si>
  <si>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</si>
  <si>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</si>
  <si>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17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</si>
  <si>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</si>
  <si>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</si>
  <si>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</si>
  <si>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</si>
  <si>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</si>
  <si>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</si>
  <si>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</si>
  <si>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</si>
  <si>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</si>
  <si>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</si>
  <si>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</si>
  <si>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</si>
  <si>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</si>
  <si>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</si>
  <si>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</si>
  <si>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</si>
  <si>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</si>
  <si>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</si>
  <si>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</si>
  <si>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</si>
  <si>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</si>
  <si>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</si>
  <si>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</si>
  <si>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</si>
  <si>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</si>
  <si>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</si>
  <si>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</si>
  <si>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</si>
  <si>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</si>
  <si>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</si>
  <si>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</si>
  <si>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</si>
  <si>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</si>
  <si>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</si>
  <si>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1386</t>
  </si>
  <si>
    <t>ＵＢＳ　ＥＴＦ　欧州株（ＭＳＣＩヨーロッパ）　受益証券</t>
  </si>
  <si>
    <t>UBS ETF MSCI Europe UCITS ETF-JDR</t>
  </si>
  <si>
    <t>19</t>
  </si>
  <si>
    <t>1387</t>
  </si>
  <si>
    <t>ＵＢＳ　ＥＴＦ　ユーロ圏株（ＭＳＣＩ　ＥＭＵ）　受益証券</t>
  </si>
  <si>
    <t>UBS ETF MSCI EMU UCITS ETF-JDR</t>
  </si>
  <si>
    <t>1388</t>
  </si>
  <si>
    <t>ＵＢＳ　ＥＴＦ　ユーロ圏小型株（ＭＳＣＩ　ＥＭＵ小型株）　受益証券</t>
  </si>
  <si>
    <t>UBS ETF MSCI EMU Small Cap UCITS ETF-JDR</t>
  </si>
  <si>
    <t>16</t>
  </si>
  <si>
    <t>24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</si>
  <si>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</si>
  <si>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</si>
  <si>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</si>
  <si>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</si>
  <si>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</si>
  <si>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</si>
  <si>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4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</si>
  <si>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</si>
  <si>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</si>
  <si>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</si>
  <si>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</si>
  <si>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</si>
  <si>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</si>
  <si>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</si>
  <si>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</si>
  <si>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</si>
  <si>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</si>
  <si>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</si>
  <si>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</si>
  <si>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</si>
  <si>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</si>
  <si>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</si>
  <si>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</si>
  <si>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</si>
  <si>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</si>
  <si>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</si>
  <si>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</si>
  <si>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</si>
  <si>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</si>
  <si>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</si>
  <si>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</si>
  <si>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</si>
  <si>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</si>
  <si>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</si>
  <si>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</si>
  <si>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</si>
  <si>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</si>
  <si>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</si>
  <si>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</si>
  <si>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</si>
  <si>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1460</t>
  </si>
  <si>
    <t>ＭＡＸＩＳ　ＪＡＰＡＮ　クオリティ１５０上場投信　受益証券</t>
  </si>
  <si>
    <t>MAXIS JAPAN Quality 150 Index ETF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</si>
  <si>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</si>
  <si>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</si>
  <si>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</si>
  <si>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</si>
  <si>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</si>
  <si>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</si>
  <si>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</si>
  <si>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</si>
  <si>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</si>
  <si>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</si>
  <si>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</si>
  <si>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</si>
  <si>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</si>
  <si>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</si>
  <si>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</si>
  <si>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1469</t>
  </si>
  <si>
    <t>ＪＰＸ日経４００ベア２倍上場投信（ダブルインバース）　受益証券</t>
  </si>
  <si>
    <t>JPX-Nikkei 400 Bear -2x Double Inverse ETF</t>
  </si>
  <si>
    <t>1471</t>
  </si>
  <si>
    <t>ＮＥＸＴ　ＦＵＮＤＳ　ＪＰＸ日経４００インバース・インデックス連動型上場投信　受益証券</t>
  </si>
  <si>
    <t>NEXT FUNDS JPX-Nikkei 400 Inverse Index Exchange Traded Fund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</si>
  <si>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</si>
  <si>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</si>
  <si>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</si>
  <si>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</si>
  <si>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</si>
  <si>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</si>
  <si>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</si>
  <si>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</si>
  <si>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</si>
  <si>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</si>
  <si>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</si>
  <si>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</si>
  <si>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</si>
  <si>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</si>
  <si>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</si>
  <si>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</si>
  <si>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</si>
  <si>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</si>
  <si>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</si>
  <si>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</si>
  <si>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</si>
  <si>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</si>
  <si>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</si>
  <si>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</si>
  <si>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</si>
  <si>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</si>
  <si>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</si>
  <si>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</si>
  <si>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</si>
  <si>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</si>
  <si>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</si>
  <si>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</si>
  <si>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</si>
  <si>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</si>
  <si>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</si>
  <si>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</si>
  <si>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</si>
  <si>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</si>
  <si>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</si>
  <si>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</si>
  <si>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</si>
  <si>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</si>
  <si>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</si>
  <si>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</si>
  <si>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</si>
  <si>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</si>
  <si>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</si>
  <si>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</si>
  <si>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</si>
  <si>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</si>
  <si>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</si>
  <si>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</si>
  <si>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</si>
  <si>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</si>
  <si>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</si>
  <si>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</si>
  <si>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</si>
  <si>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</si>
  <si>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</si>
  <si>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</si>
  <si>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</si>
  <si>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</si>
  <si>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</si>
  <si>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</si>
  <si>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</si>
  <si>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</si>
  <si>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</si>
  <si>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</si>
  <si>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</si>
  <si>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</si>
  <si>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</si>
  <si>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</si>
  <si>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</si>
  <si>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</si>
  <si>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</si>
  <si>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25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</si>
  <si>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</si>
  <si>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</si>
  <si>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</si>
  <si>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</si>
  <si>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</si>
  <si>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</si>
  <si>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</si>
  <si>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</si>
  <si>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</si>
  <si>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</si>
  <si>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</si>
  <si>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</si>
  <si>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</si>
  <si>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</si>
  <si>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</si>
  <si>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</si>
  <si>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</si>
  <si>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</si>
  <si>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</si>
  <si>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ＮＡＳＤＡＱ－１００連動型上場投信　受益証券</t>
  </si>
  <si>
    <t>NEXT FUNDS NASDAQ-100 Exchange Traded Fund</t>
  </si>
  <si>
    <t>1546</t>
  </si>
  <si>
    <t>ＮＥＸＴ　ＦＵＮＤＳ　ダウ・ジョーンズ工業株３０種平均株価連動型上場投信　受益証券</t>
  </si>
  <si>
    <t>NEXT FUNDS Dow Jones Industrial Average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</si>
  <si>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</si>
  <si>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</si>
  <si>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</si>
  <si>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</si>
  <si>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</si>
  <si>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</si>
  <si>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</si>
  <si>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ＪＡＳＤＡＱ－ＴＯＰ２０上場投信　受益証券</t>
  </si>
  <si>
    <t>JASDAQ-TOP20 ETF</t>
  </si>
  <si>
    <t>1552</t>
  </si>
  <si>
    <t>国際のＥＴＦ　ＶＩＸ短期先物指数　受益証券</t>
  </si>
  <si>
    <t>KOKUSAI S&amp;P500 VIX SHORT-TERM FUTURES INDEX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</si>
  <si>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</si>
  <si>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</si>
  <si>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</si>
  <si>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</si>
  <si>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</si>
  <si>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</si>
  <si>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</si>
  <si>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</si>
  <si>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</si>
  <si>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</si>
  <si>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</si>
  <si>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</si>
  <si>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</si>
  <si>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</si>
  <si>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</si>
  <si>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</si>
  <si>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マザーズ・コア上場投信　受益証券</t>
  </si>
  <si>
    <t>TSE Mothers Core ETF</t>
  </si>
  <si>
    <t>18</t>
  </si>
  <si>
    <t>1566</t>
  </si>
  <si>
    <t>上場インデックスファンド新興国債券　受益証券</t>
  </si>
  <si>
    <t>Listed Index Fund Emerging Bond</t>
  </si>
  <si>
    <t>1567</t>
  </si>
  <si>
    <t>ＭＡＸＩＳトピックスリスクコントロール（５％）上場投信　受益証券</t>
  </si>
  <si>
    <t>MAXIS TOPIX Risk Control (5%) ETF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</si>
  <si>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</si>
  <si>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</si>
  <si>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</si>
  <si>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</si>
  <si>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</si>
  <si>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</si>
  <si>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</si>
  <si>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</si>
  <si>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</si>
  <si>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</si>
  <si>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</si>
  <si>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</si>
  <si>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</si>
  <si>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</si>
  <si>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</si>
  <si>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</si>
  <si>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</si>
  <si>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</si>
  <si>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1574</t>
  </si>
  <si>
    <t>ＭＡＸＩＳトピックスリスクコントロール（１０％）上場投信　受益証券</t>
  </si>
  <si>
    <t>MAXIS TOPIX Risk Control (10%) ETF</t>
  </si>
  <si>
    <t>1575</t>
  </si>
  <si>
    <t>ＣｈｉｎａＡＭＣ　ＣＳＩ　３００　Ｉｎｄｅｘ　ＥＴＦ－ＪＤＲ　受益証券</t>
  </si>
  <si>
    <t>ChinaAMC CSI 300 Index ETF-JDR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</si>
  <si>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</si>
  <si>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</si>
  <si>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</si>
  <si>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</si>
  <si>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</si>
  <si>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</si>
  <si>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</si>
  <si>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</si>
  <si>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</si>
  <si>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</si>
  <si>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</si>
  <si>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</si>
  <si>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</si>
  <si>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</si>
  <si>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</si>
  <si>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1585</t>
  </si>
  <si>
    <t>ダイワ上場投信・ＴＯＰＩＸ　Ｅｘ－Ｆｉｎａｎｃｉａｌｓ　受益証券</t>
  </si>
  <si>
    <t>Daiwa 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</si>
  <si>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</si>
  <si>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</si>
  <si>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</si>
  <si>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</si>
  <si>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</si>
  <si>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</si>
  <si>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</si>
  <si>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</si>
  <si>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</si>
  <si>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</si>
  <si>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</si>
  <si>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</si>
  <si>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</si>
  <si>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</si>
  <si>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</si>
  <si>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</si>
  <si>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</si>
  <si>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</si>
  <si>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</si>
  <si>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</si>
  <si>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</si>
  <si>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1598</t>
  </si>
  <si>
    <t>ＮＥＸＴ　ＦＵＮＤＳ　Ｒ／Ｎファンダメンタル・インデックス上場投信　受益証券</t>
  </si>
  <si>
    <t>NEXT FUNDS Russell/Nomura Fundamental Index ETF</t>
  </si>
  <si>
    <t>整</t>
  </si>
  <si>
    <t>1599</t>
  </si>
  <si>
    <t>ダイワ上場投信－ＪＰＸ日経４００　受益証券</t>
  </si>
  <si>
    <t>Daiwa ETF JPX-Nikkei 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</si>
  <si>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</si>
  <si>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</si>
  <si>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</si>
  <si>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</si>
  <si>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</si>
  <si>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</si>
  <si>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</si>
  <si>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</si>
  <si>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</si>
  <si>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</si>
  <si>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</si>
  <si>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</si>
  <si>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</si>
  <si>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</si>
  <si>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</si>
  <si>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</si>
  <si>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</si>
  <si>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</si>
  <si>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</si>
  <si>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</si>
  <si>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</si>
  <si>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</si>
  <si>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</si>
  <si>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</si>
  <si>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</si>
  <si>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</si>
  <si>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</si>
  <si>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</si>
  <si>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</si>
  <si>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</si>
  <si>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</si>
  <si>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</si>
  <si>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</si>
  <si>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</si>
  <si>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</si>
  <si>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</si>
  <si>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</si>
  <si>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</si>
  <si>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</si>
  <si>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</si>
  <si>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</si>
  <si>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</si>
  <si>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</si>
  <si>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</si>
  <si>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</si>
  <si>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</si>
  <si>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</si>
  <si>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</si>
  <si>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</si>
  <si>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</si>
  <si>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</si>
  <si>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</si>
  <si>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</si>
  <si>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</si>
  <si>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</si>
  <si>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</si>
  <si>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</si>
  <si>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</si>
  <si>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</si>
  <si>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</si>
  <si>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</si>
  <si>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</si>
  <si>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</si>
  <si>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</si>
  <si>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</si>
  <si>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</si>
  <si>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</si>
  <si>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</si>
  <si>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</si>
  <si>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</si>
  <si>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</si>
  <si>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</si>
  <si>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</si>
  <si>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</si>
  <si>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</si>
  <si>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</si>
  <si>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</si>
  <si>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</si>
  <si>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</si>
  <si>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</si>
  <si>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</si>
  <si>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</si>
  <si>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</si>
  <si>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</si>
  <si>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</si>
  <si>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</si>
  <si>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</si>
  <si>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</si>
  <si>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</si>
  <si>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</si>
  <si>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</si>
  <si>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</si>
  <si>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</si>
  <si>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</si>
  <si>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</si>
  <si>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</si>
  <si>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</si>
  <si>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</si>
  <si>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</si>
  <si>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</si>
  <si>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</si>
  <si>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</si>
  <si>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</si>
  <si>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</si>
  <si>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</si>
  <si>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</si>
  <si>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</si>
  <si>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</si>
  <si>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</si>
  <si>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</si>
  <si>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</si>
  <si>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</si>
  <si>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</si>
  <si>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</si>
  <si>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</si>
  <si>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</si>
  <si>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</si>
  <si>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</si>
  <si>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</si>
  <si>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</si>
  <si>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</si>
  <si>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</si>
  <si>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</si>
  <si>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</si>
  <si>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</si>
  <si>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</si>
  <si>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</si>
  <si>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</si>
  <si>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</si>
  <si>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</si>
  <si>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</si>
  <si>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</si>
  <si>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</si>
  <si>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</si>
  <si>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</si>
  <si>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</si>
  <si>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</si>
  <si>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</si>
  <si>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</si>
  <si>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</si>
  <si>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</si>
  <si>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</si>
  <si>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</si>
  <si>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</si>
  <si>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</si>
  <si>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</si>
  <si>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</si>
  <si>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</si>
  <si>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</si>
  <si>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</si>
  <si>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</si>
  <si>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</si>
  <si>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</si>
  <si>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</si>
  <si>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</si>
  <si>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</si>
  <si>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</si>
  <si>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</si>
  <si>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</si>
  <si>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</si>
  <si>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</si>
  <si>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</si>
  <si>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</si>
  <si>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</si>
  <si>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</si>
  <si>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</si>
  <si>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</si>
  <si>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</si>
  <si>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</si>
  <si>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</si>
  <si>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</si>
  <si>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</si>
  <si>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</si>
  <si>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</si>
  <si>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</si>
  <si>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</si>
  <si>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</si>
  <si>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</si>
  <si>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</si>
  <si>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</si>
  <si>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</si>
  <si>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2035</t>
  </si>
  <si>
    <t>ＮＥＸＴ　ＮＯＴＥＳ　日経平均ＶＩ先物指数　ＥＴＮ　受益証券</t>
  </si>
  <si>
    <t>NEXT NOTES Nikkei 225 VI Futures Index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</si>
  <si>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</si>
  <si>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</si>
  <si>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</si>
  <si>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</si>
  <si>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</si>
  <si>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</si>
  <si>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</si>
  <si>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</si>
  <si>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</si>
  <si>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</si>
  <si>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</si>
  <si>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</si>
  <si>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</si>
  <si>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</si>
  <si>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</si>
  <si>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</si>
  <si>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</si>
  <si>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</si>
  <si>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</si>
  <si>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</si>
  <si>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</si>
  <si>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</si>
  <si>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</si>
  <si>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</si>
  <si>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</si>
  <si>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</si>
  <si>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</si>
  <si>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</si>
  <si>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</si>
  <si>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</si>
  <si>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</si>
  <si>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</si>
  <si>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</si>
  <si>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</si>
  <si>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</si>
  <si>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</si>
  <si>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</si>
  <si>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</si>
  <si>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</si>
  <si>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</si>
  <si>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</si>
  <si>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</si>
  <si>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</si>
  <si>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</si>
  <si>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</si>
  <si>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</si>
  <si>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</si>
  <si>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</si>
  <si>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</si>
  <si>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</si>
  <si>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</si>
  <si>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</si>
  <si>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</si>
  <si>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</si>
  <si>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</si>
  <si>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</si>
  <si>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</si>
  <si>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</si>
  <si>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</si>
  <si>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</si>
  <si>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</si>
  <si>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</si>
  <si>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</si>
  <si>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</si>
  <si>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</si>
  <si>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</si>
  <si>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</si>
  <si>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</si>
  <si>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</si>
  <si>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</si>
  <si>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</si>
  <si>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</si>
  <si>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</si>
  <si>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</si>
  <si>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</si>
  <si>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</si>
  <si>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</si>
  <si>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</si>
  <si>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</si>
  <si>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</si>
  <si>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</si>
  <si>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</si>
  <si>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</si>
  <si>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</si>
  <si>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</si>
  <si>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</si>
  <si>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</si>
  <si>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</si>
  <si>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</si>
  <si>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</si>
  <si>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</si>
  <si>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</si>
  <si>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</si>
  <si>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</si>
  <si>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</si>
  <si>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</si>
  <si>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</si>
  <si>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</si>
  <si>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</si>
  <si>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</si>
  <si>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</si>
  <si>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</si>
  <si>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</si>
  <si>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</si>
  <si>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</si>
  <si>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</si>
  <si>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</si>
  <si>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</si>
  <si>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</si>
  <si>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</si>
  <si>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</si>
  <si>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</si>
  <si>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</si>
  <si>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</si>
  <si>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</si>
  <si>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</si>
  <si>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</si>
  <si>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</si>
  <si>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</si>
  <si>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</si>
  <si>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</si>
  <si>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</si>
  <si>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</si>
  <si>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</si>
  <si>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</si>
  <si>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</si>
  <si>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</si>
  <si>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</si>
  <si>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</si>
  <si>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</si>
  <si>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</si>
  <si>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</si>
  <si>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</si>
  <si>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</si>
  <si>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</si>
  <si>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</si>
  <si>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</si>
  <si>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</si>
  <si>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</si>
  <si>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</si>
  <si>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</si>
  <si>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</si>
  <si>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</si>
  <si>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</si>
  <si>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</si>
  <si>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</si>
  <si>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</si>
  <si>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</si>
  <si>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</si>
  <si>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</si>
  <si>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</si>
  <si>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</si>
  <si>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</si>
  <si>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</si>
  <si>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</si>
  <si>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</si>
  <si>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</si>
  <si>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</si>
  <si>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</si>
  <si>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</si>
  <si>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</si>
  <si>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</si>
  <si>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</si>
  <si>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</si>
  <si>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</si>
  <si>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</si>
  <si>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</si>
  <si>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</si>
  <si>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</si>
  <si>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</si>
  <si>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</si>
  <si>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</si>
  <si>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</si>
  <si>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</si>
  <si>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</si>
  <si>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</si>
  <si>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</si>
  <si>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</si>
  <si>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</si>
  <si>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</si>
  <si>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</si>
  <si>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</si>
  <si>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</si>
  <si>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</si>
  <si>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</si>
  <si>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</si>
  <si>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</si>
  <si>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</si>
  <si>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</si>
  <si>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</si>
  <si>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</si>
  <si>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</si>
  <si>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</si>
  <si>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</si>
  <si>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</si>
  <si>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</si>
  <si>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</si>
  <si>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iFreeETF-Nikkei225(Quarterly Dividend Type)</t>
  </si>
  <si>
    <t>2625</t>
  </si>
  <si>
    <t>ｉＦｒｅｅＥＴＦ　ＴＯＰＩＸ（年４回決算型）　受益証券</t>
  </si>
  <si>
    <t>iFreeETF-TOPIX(Quarterly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</si>
  <si>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</si>
  <si>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</si>
  <si>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</si>
  <si>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</si>
  <si>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</si>
  <si>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</si>
  <si>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</si>
  <si>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</si>
  <si>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</si>
  <si>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</si>
  <si>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</si>
  <si>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</si>
  <si>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</si>
  <si>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</si>
  <si>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</si>
  <si>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</si>
  <si>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</si>
  <si>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</si>
  <si>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</si>
  <si>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</si>
  <si>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</si>
  <si>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</si>
  <si>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</si>
  <si>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</si>
  <si>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</si>
  <si>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</si>
  <si>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</si>
  <si>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</si>
  <si>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　ＥＳＧ指数連動型上場投信　受益証券</t>
  </si>
  <si>
    <t>NEXT FUNDS S&amp;P 500 ESG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</si>
  <si>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</si>
  <si>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</si>
  <si>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</si>
  <si>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</si>
  <si>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　ＥＳＧ－日本株式　ＥＴＦ　受益証券</t>
  </si>
  <si>
    <t>Global X CleanTech ESG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</si>
  <si>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</si>
  <si>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</si>
  <si>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</si>
  <si>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</si>
  <si>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</si>
  <si>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</si>
  <si>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</si>
  <si>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</si>
  <si>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</si>
  <si>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</si>
  <si>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　ＥＳＧ－日本株式　ＥＴＦ　受益証券</t>
  </si>
  <si>
    <t>Global X Japan Global Leaders ESG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</si>
  <si>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</si>
  <si>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</si>
  <si>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</si>
  <si>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</si>
  <si>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ＭＳＣＩジャパンカントリーＥＳＧリーダーズ指数連動型上場投信　受益証券</t>
  </si>
  <si>
    <t>NEXT FUNDS MSCI Japan Country ESG Leaders Index Exchange Traded Fund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</si>
  <si>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</si>
  <si>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</si>
  <si>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</si>
  <si>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</si>
  <si>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</si>
  <si>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</si>
  <si>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</si>
  <si>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</si>
  <si>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</si>
  <si>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</si>
  <si>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</si>
  <si>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</si>
  <si>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3226</t>
  </si>
  <si>
    <t>日本アコモデーションファンド投資法人　投資証券</t>
  </si>
  <si>
    <t>Nippon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</si>
  <si>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</si>
  <si>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</si>
  <si>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</si>
  <si>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</si>
  <si>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</si>
  <si>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</si>
  <si>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</si>
  <si>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</si>
  <si>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</si>
  <si>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</si>
  <si>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</si>
  <si>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</si>
  <si>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</si>
  <si>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</si>
  <si>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</si>
  <si>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</si>
  <si>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</si>
  <si>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</si>
  <si>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</si>
  <si>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</si>
  <si>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</si>
  <si>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</si>
  <si>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</si>
  <si>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</si>
  <si>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</si>
  <si>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</si>
  <si>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</si>
  <si>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</si>
  <si>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</si>
  <si>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</si>
  <si>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</si>
  <si>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</si>
  <si>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</si>
  <si>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</si>
  <si>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</si>
  <si>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</si>
  <si>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</si>
  <si>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</si>
  <si>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</si>
  <si>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3298</t>
  </si>
  <si>
    <t>インベスコ・オフィス・ジェイリート投資法人　投資証券</t>
  </si>
  <si>
    <t>Invesco Office J-REIT,Inc.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</si>
  <si>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</si>
  <si>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</si>
  <si>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</si>
  <si>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</si>
  <si>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</si>
  <si>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</si>
  <si>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</si>
  <si>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</si>
  <si>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</si>
  <si>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</si>
  <si>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</si>
  <si>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</si>
  <si>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</si>
  <si>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</si>
  <si>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</si>
  <si>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</si>
  <si>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</si>
  <si>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</si>
  <si>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</si>
  <si>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</si>
  <si>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</si>
  <si>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</si>
  <si>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</si>
  <si>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</si>
  <si>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</si>
  <si>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</si>
  <si>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</si>
  <si>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</si>
  <si>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</si>
  <si>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</si>
  <si>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</si>
  <si>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</si>
  <si>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</si>
  <si>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</si>
  <si>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</si>
  <si>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</si>
  <si>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3476</t>
  </si>
  <si>
    <t>投資法人みらい　投資証券</t>
  </si>
  <si>
    <t>MIRAI Corporation</t>
  </si>
  <si>
    <t>3478</t>
  </si>
  <si>
    <t>森トラスト・ホテルリート投資法人　投資証券</t>
  </si>
  <si>
    <t>MORI TRUST Hotel Reit,Inc.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</si>
  <si>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</si>
  <si>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</si>
  <si>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</si>
  <si>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</si>
  <si>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</si>
  <si>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</si>
  <si>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</si>
  <si>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</si>
  <si>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</si>
  <si>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</si>
  <si>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</si>
  <si>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</si>
  <si>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</si>
  <si>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伊藤忠アドバンス・ロジスティクス投資法人　投資証券</t>
  </si>
  <si>
    <t>ITOCHU 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</si>
  <si>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</si>
  <si>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</si>
  <si>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</si>
  <si>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</si>
  <si>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</si>
  <si>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</si>
  <si>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</si>
  <si>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</si>
  <si>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</si>
  <si>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</si>
  <si>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</si>
  <si>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</si>
  <si>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</si>
  <si>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</si>
  <si>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</si>
  <si>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</si>
  <si>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</si>
  <si>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</si>
  <si>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</si>
  <si>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</si>
  <si>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</si>
  <si>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</si>
  <si>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</si>
  <si>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</si>
  <si>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</si>
  <si>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</si>
  <si>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</si>
  <si>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</si>
  <si>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森トラスト総合リート投資法人　投資証券</t>
  </si>
  <si>
    <t>MORI TRUST Sogo Reit, 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</si>
  <si>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</si>
  <si>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</si>
  <si>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</si>
  <si>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</si>
  <si>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</si>
  <si>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</si>
  <si>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</si>
  <si>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</si>
  <si>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</si>
  <si>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</si>
  <si>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</si>
  <si>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</si>
  <si>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</si>
  <si>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</si>
  <si>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</si>
  <si>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</si>
  <si>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</si>
  <si>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</si>
  <si>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</si>
  <si>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</si>
  <si>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</si>
  <si>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</si>
  <si>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</si>
  <si>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</si>
  <si>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</si>
  <si>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</si>
  <si>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</si>
  <si>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</si>
  <si>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</si>
  <si>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</si>
  <si>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</si>
  <si>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</si>
  <si>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</si>
  <si>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</si>
  <si>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</si>
  <si>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</si>
  <si>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</si>
  <si>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</si>
  <si>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</si>
  <si>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</si>
  <si>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</si>
  <si>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</si>
  <si>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9281</t>
  </si>
  <si>
    <t>タカラレーベン・インフラ投資法人　投資証券</t>
  </si>
  <si>
    <t>Takara Leben Infrastructure Fund,Inc.</t>
  </si>
  <si>
    <t>9282</t>
  </si>
  <si>
    <t>いちごグリーンインフラ投資法人　投資証券</t>
  </si>
  <si>
    <t>Ichigo Green Infrastructure Investment Corporation</t>
  </si>
  <si>
    <t>9283</t>
  </si>
  <si>
    <t>日本再生可能エネルギーインフラ投資法人　投資証券</t>
  </si>
  <si>
    <t>Renewable Japan Energy Infrastructure Fund,Inc.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</si>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</sst>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49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2004</f>
        <v>2004.0</v>
      </c>
      <c r="L7" s="34" t="s">
        <v>48</v>
      </c>
      <c r="M7" s="33" t="n">
        <f>2056</f>
        <v>2056.0</v>
      </c>
      <c r="N7" s="34" t="s">
        <v>49</v>
      </c>
      <c r="O7" s="33" t="n">
        <f>1958</f>
        <v>1958.0</v>
      </c>
      <c r="P7" s="34" t="s">
        <v>50</v>
      </c>
      <c r="Q7" s="33" t="n">
        <f>2043</f>
        <v>2043.0</v>
      </c>
      <c r="R7" s="34" t="s">
        <v>51</v>
      </c>
      <c r="S7" s="35" t="n">
        <f>2014.81</f>
        <v>2014.81</v>
      </c>
      <c r="T7" s="32" t="n">
        <f>9898840</f>
        <v>9898840.0</v>
      </c>
      <c r="U7" s="32" t="n">
        <f>5162980</f>
        <v>5162980.0</v>
      </c>
      <c r="V7" s="32" t="n">
        <f>20112764939</f>
        <v>2.0112764939E10</v>
      </c>
      <c r="W7" s="32" t="n">
        <f>10562281399</f>
        <v>1.0562281399E10</v>
      </c>
      <c r="X7" s="36" t="n">
        <f>21</f>
        <v>21.0</v>
      </c>
    </row>
    <row r="8">
      <c r="A8" s="27" t="s">
        <v>42</v>
      </c>
      <c r="B8" s="27" t="s">
        <v>52</v>
      </c>
      <c r="C8" s="27" t="s">
        <v>53</v>
      </c>
      <c r="D8" s="27" t="s">
        <v>54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1981</f>
        <v>1981.0</v>
      </c>
      <c r="L8" s="34" t="s">
        <v>48</v>
      </c>
      <c r="M8" s="33" t="n">
        <f>2033</f>
        <v>2033.0</v>
      </c>
      <c r="N8" s="34" t="s">
        <v>49</v>
      </c>
      <c r="O8" s="33" t="n">
        <f>1936</f>
        <v>1936.0</v>
      </c>
      <c r="P8" s="34" t="s">
        <v>50</v>
      </c>
      <c r="Q8" s="33" t="n">
        <f>2024</f>
        <v>2024.0</v>
      </c>
      <c r="R8" s="34" t="s">
        <v>51</v>
      </c>
      <c r="S8" s="35" t="n">
        <f>1992.14</f>
        <v>1992.14</v>
      </c>
      <c r="T8" s="32" t="n">
        <f>53909000</f>
        <v>5.3909E7</v>
      </c>
      <c r="U8" s="32" t="n">
        <f>24719660</f>
        <v>2.471966E7</v>
      </c>
      <c r="V8" s="32" t="n">
        <f>107469066856</f>
        <v>1.07469066856E11</v>
      </c>
      <c r="W8" s="32" t="n">
        <f>49290126076</f>
        <v>4.9290126076E10</v>
      </c>
      <c r="X8" s="36" t="n">
        <f>21</f>
        <v>21.0</v>
      </c>
    </row>
    <row r="9">
      <c r="A9" s="27" t="s">
        <v>42</v>
      </c>
      <c r="B9" s="27" t="s">
        <v>55</v>
      </c>
      <c r="C9" s="27" t="s">
        <v>56</v>
      </c>
      <c r="D9" s="27" t="s">
        <v>57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1958</f>
        <v>1958.0</v>
      </c>
      <c r="L9" s="34" t="s">
        <v>48</v>
      </c>
      <c r="M9" s="33" t="n">
        <f>2011</f>
        <v>2011.0</v>
      </c>
      <c r="N9" s="34" t="s">
        <v>49</v>
      </c>
      <c r="O9" s="33" t="n">
        <f>1916</f>
        <v>1916.0</v>
      </c>
      <c r="P9" s="34" t="s">
        <v>50</v>
      </c>
      <c r="Q9" s="33" t="n">
        <f>2001</f>
        <v>2001.0</v>
      </c>
      <c r="R9" s="34" t="s">
        <v>51</v>
      </c>
      <c r="S9" s="35" t="n">
        <f>1970.67</f>
        <v>1970.67</v>
      </c>
      <c r="T9" s="32" t="n">
        <f>2067000</f>
        <v>2067000.0</v>
      </c>
      <c r="U9" s="32" t="n">
        <f>600</f>
        <v>600.0</v>
      </c>
      <c r="V9" s="32" t="n">
        <f>4072456600</f>
        <v>4.0724566E9</v>
      </c>
      <c r="W9" s="32" t="n">
        <f>1182700</f>
        <v>1182700.0</v>
      </c>
      <c r="X9" s="36" t="n">
        <f>21</f>
        <v>21.0</v>
      </c>
    </row>
    <row r="10">
      <c r="A10" s="27" t="s">
        <v>42</v>
      </c>
      <c r="B10" s="27" t="s">
        <v>58</v>
      </c>
      <c r="C10" s="27" t="s">
        <v>59</v>
      </c>
      <c r="D10" s="27" t="s">
        <v>60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40100</f>
        <v>40100.0</v>
      </c>
      <c r="L10" s="34" t="s">
        <v>48</v>
      </c>
      <c r="M10" s="33" t="n">
        <f>42650</f>
        <v>42650.0</v>
      </c>
      <c r="N10" s="34" t="s">
        <v>61</v>
      </c>
      <c r="O10" s="33" t="n">
        <f>39000</f>
        <v>39000.0</v>
      </c>
      <c r="P10" s="34" t="s">
        <v>50</v>
      </c>
      <c r="Q10" s="33" t="n">
        <f>40000</f>
        <v>40000.0</v>
      </c>
      <c r="R10" s="34" t="s">
        <v>51</v>
      </c>
      <c r="S10" s="35" t="n">
        <f>40866.67</f>
        <v>40866.67</v>
      </c>
      <c r="T10" s="32" t="n">
        <f>11415</f>
        <v>11415.0</v>
      </c>
      <c r="U10" s="32" t="n">
        <f>3</f>
        <v>3.0</v>
      </c>
      <c r="V10" s="32" t="n">
        <f>465266650</f>
        <v>4.6526665E8</v>
      </c>
      <c r="W10" s="32" t="n">
        <f>121400</f>
        <v>121400.0</v>
      </c>
      <c r="X10" s="36" t="n">
        <f>21</f>
        <v>21.0</v>
      </c>
    </row>
    <row r="11">
      <c r="A11" s="27" t="s">
        <v>42</v>
      </c>
      <c r="B11" s="27" t="s">
        <v>62</v>
      </c>
      <c r="C11" s="27" t="s">
        <v>63</v>
      </c>
      <c r="D11" s="27" t="s">
        <v>64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892</f>
        <v>892.0</v>
      </c>
      <c r="L11" s="34" t="s">
        <v>48</v>
      </c>
      <c r="M11" s="33" t="n">
        <f>920</f>
        <v>920.0</v>
      </c>
      <c r="N11" s="34" t="s">
        <v>49</v>
      </c>
      <c r="O11" s="33" t="n">
        <f>874</f>
        <v>874.0</v>
      </c>
      <c r="P11" s="34" t="s">
        <v>50</v>
      </c>
      <c r="Q11" s="33" t="n">
        <f>911</f>
        <v>911.0</v>
      </c>
      <c r="R11" s="34" t="s">
        <v>51</v>
      </c>
      <c r="S11" s="35" t="n">
        <f>899.57</f>
        <v>899.57</v>
      </c>
      <c r="T11" s="32" t="n">
        <f>70500</f>
        <v>70500.0</v>
      </c>
      <c r="U11" s="32" t="str">
        <f>"－"</f>
        <v>－</v>
      </c>
      <c r="V11" s="32" t="n">
        <f>63239230</f>
        <v>6.323923E7</v>
      </c>
      <c r="W11" s="32" t="str">
        <f>"－"</f>
        <v>－</v>
      </c>
      <c r="X11" s="36" t="n">
        <f>21</f>
        <v>21.0</v>
      </c>
    </row>
    <row r="12">
      <c r="A12" s="27" t="s">
        <v>42</v>
      </c>
      <c r="B12" s="27" t="s">
        <v>65</v>
      </c>
      <c r="C12" s="27" t="s">
        <v>66</v>
      </c>
      <c r="D12" s="27" t="s">
        <v>67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1.0</v>
      </c>
      <c r="K12" s="33" t="n">
        <f>21090</f>
        <v>21090.0</v>
      </c>
      <c r="L12" s="34" t="s">
        <v>48</v>
      </c>
      <c r="M12" s="33" t="n">
        <f>21390</f>
        <v>21390.0</v>
      </c>
      <c r="N12" s="34" t="s">
        <v>49</v>
      </c>
      <c r="O12" s="33" t="n">
        <f>20090</f>
        <v>20090.0</v>
      </c>
      <c r="P12" s="34" t="s">
        <v>68</v>
      </c>
      <c r="Q12" s="33" t="n">
        <f>20850</f>
        <v>20850.0</v>
      </c>
      <c r="R12" s="34" t="s">
        <v>51</v>
      </c>
      <c r="S12" s="35" t="n">
        <f>20913.81</f>
        <v>20913.81</v>
      </c>
      <c r="T12" s="32" t="n">
        <f>1248</f>
        <v>1248.0</v>
      </c>
      <c r="U12" s="32" t="n">
        <f>6</f>
        <v>6.0</v>
      </c>
      <c r="V12" s="32" t="n">
        <f>25853580</f>
        <v>2.585358E7</v>
      </c>
      <c r="W12" s="32" t="n">
        <f>126720</f>
        <v>126720.0</v>
      </c>
      <c r="X12" s="36" t="n">
        <f>21</f>
        <v>21.0</v>
      </c>
    </row>
    <row r="13">
      <c r="A13" s="27" t="s">
        <v>42</v>
      </c>
      <c r="B13" s="27" t="s">
        <v>69</v>
      </c>
      <c r="C13" s="27" t="s">
        <v>70</v>
      </c>
      <c r="D13" s="27" t="s">
        <v>71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10.0</v>
      </c>
      <c r="K13" s="33" t="n">
        <f>3955</f>
        <v>3955.0</v>
      </c>
      <c r="L13" s="34" t="s">
        <v>48</v>
      </c>
      <c r="M13" s="33" t="n">
        <f>4295</f>
        <v>4295.0</v>
      </c>
      <c r="N13" s="34" t="s">
        <v>72</v>
      </c>
      <c r="O13" s="33" t="n">
        <f>3815</f>
        <v>3815.0</v>
      </c>
      <c r="P13" s="34" t="s">
        <v>73</v>
      </c>
      <c r="Q13" s="33" t="n">
        <f>3940</f>
        <v>3940.0</v>
      </c>
      <c r="R13" s="34" t="s">
        <v>51</v>
      </c>
      <c r="S13" s="35" t="n">
        <f>4101.88</f>
        <v>4101.88</v>
      </c>
      <c r="T13" s="32" t="n">
        <f>3580</f>
        <v>3580.0</v>
      </c>
      <c r="U13" s="32" t="str">
        <f>"－"</f>
        <v>－</v>
      </c>
      <c r="V13" s="32" t="n">
        <f>14564450</f>
        <v>1.456445E7</v>
      </c>
      <c r="W13" s="32" t="str">
        <f>"－"</f>
        <v>－</v>
      </c>
      <c r="X13" s="36" t="n">
        <f>16</f>
        <v>16.0</v>
      </c>
    </row>
    <row r="14">
      <c r="A14" s="27" t="s">
        <v>42</v>
      </c>
      <c r="B14" s="27" t="s">
        <v>74</v>
      </c>
      <c r="C14" s="27" t="s">
        <v>75</v>
      </c>
      <c r="D14" s="27" t="s">
        <v>76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1000.0</v>
      </c>
      <c r="K14" s="33" t="n">
        <f>364</f>
        <v>364.0</v>
      </c>
      <c r="L14" s="34" t="s">
        <v>48</v>
      </c>
      <c r="M14" s="33" t="n">
        <f>375</f>
        <v>375.0</v>
      </c>
      <c r="N14" s="34" t="s">
        <v>61</v>
      </c>
      <c r="O14" s="33" t="n">
        <f>360</f>
        <v>360.0</v>
      </c>
      <c r="P14" s="34" t="s">
        <v>50</v>
      </c>
      <c r="Q14" s="33" t="n">
        <f>375</f>
        <v>375.0</v>
      </c>
      <c r="R14" s="34" t="s">
        <v>51</v>
      </c>
      <c r="S14" s="35" t="n">
        <f>370.67</f>
        <v>370.67</v>
      </c>
      <c r="T14" s="32" t="n">
        <f>125000</f>
        <v>125000.0</v>
      </c>
      <c r="U14" s="32" t="n">
        <f>2000</f>
        <v>2000.0</v>
      </c>
      <c r="V14" s="32" t="n">
        <f>46244000</f>
        <v>4.6244E7</v>
      </c>
      <c r="W14" s="32" t="n">
        <f>739000</f>
        <v>739000.0</v>
      </c>
      <c r="X14" s="36" t="n">
        <f>21</f>
        <v>21.0</v>
      </c>
    </row>
    <row r="15">
      <c r="A15" s="27" t="s">
        <v>42</v>
      </c>
      <c r="B15" s="27" t="s">
        <v>77</v>
      </c>
      <c r="C15" s="27" t="s">
        <v>78</v>
      </c>
      <c r="D15" s="27" t="s">
        <v>79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28180</f>
        <v>28180.0</v>
      </c>
      <c r="L15" s="34" t="s">
        <v>48</v>
      </c>
      <c r="M15" s="33" t="n">
        <f>28920</f>
        <v>28920.0</v>
      </c>
      <c r="N15" s="34" t="s">
        <v>49</v>
      </c>
      <c r="O15" s="33" t="n">
        <f>27580</f>
        <v>27580.0</v>
      </c>
      <c r="P15" s="34" t="s">
        <v>50</v>
      </c>
      <c r="Q15" s="33" t="n">
        <f>28740</f>
        <v>28740.0</v>
      </c>
      <c r="R15" s="34" t="s">
        <v>51</v>
      </c>
      <c r="S15" s="35" t="n">
        <f>28326.19</f>
        <v>28326.19</v>
      </c>
      <c r="T15" s="32" t="n">
        <f>727055</f>
        <v>727055.0</v>
      </c>
      <c r="U15" s="32" t="n">
        <f>71745</f>
        <v>71745.0</v>
      </c>
      <c r="V15" s="32" t="n">
        <f>20624631215</f>
        <v>2.0624631215E10</v>
      </c>
      <c r="W15" s="32" t="n">
        <f>2060505065</f>
        <v>2.060505065E9</v>
      </c>
      <c r="X15" s="36" t="n">
        <f>21</f>
        <v>21.0</v>
      </c>
    </row>
    <row r="16">
      <c r="A16" s="27" t="s">
        <v>42</v>
      </c>
      <c r="B16" s="27" t="s">
        <v>80</v>
      </c>
      <c r="C16" s="27" t="s">
        <v>81</v>
      </c>
      <c r="D16" s="27" t="s">
        <v>82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1.0</v>
      </c>
      <c r="K16" s="33" t="n">
        <f>28240</f>
        <v>28240.0</v>
      </c>
      <c r="L16" s="34" t="s">
        <v>48</v>
      </c>
      <c r="M16" s="33" t="n">
        <f>28980</f>
        <v>28980.0</v>
      </c>
      <c r="N16" s="34" t="s">
        <v>49</v>
      </c>
      <c r="O16" s="33" t="n">
        <f>27640</f>
        <v>27640.0</v>
      </c>
      <c r="P16" s="34" t="s">
        <v>50</v>
      </c>
      <c r="Q16" s="33" t="n">
        <f>28790</f>
        <v>28790.0</v>
      </c>
      <c r="R16" s="34" t="s">
        <v>51</v>
      </c>
      <c r="S16" s="35" t="n">
        <f>28386.19</f>
        <v>28386.19</v>
      </c>
      <c r="T16" s="32" t="n">
        <f>4136283</f>
        <v>4136283.0</v>
      </c>
      <c r="U16" s="32" t="n">
        <f>268308</f>
        <v>268308.0</v>
      </c>
      <c r="V16" s="32" t="n">
        <f>117302590405</f>
        <v>1.17302590405E11</v>
      </c>
      <c r="W16" s="32" t="n">
        <f>7554003735</f>
        <v>7.554003735E9</v>
      </c>
      <c r="X16" s="36" t="n">
        <f>21</f>
        <v>21.0</v>
      </c>
    </row>
    <row r="17">
      <c r="A17" s="27" t="s">
        <v>42</v>
      </c>
      <c r="B17" s="27" t="s">
        <v>83</v>
      </c>
      <c r="C17" s="27" t="s">
        <v>84</v>
      </c>
      <c r="D17" s="27" t="s">
        <v>85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10.0</v>
      </c>
      <c r="K17" s="33" t="n">
        <f>7740</f>
        <v>7740.0</v>
      </c>
      <c r="L17" s="34" t="s">
        <v>48</v>
      </c>
      <c r="M17" s="33" t="n">
        <f>8300</f>
        <v>8300.0</v>
      </c>
      <c r="N17" s="34" t="s">
        <v>49</v>
      </c>
      <c r="O17" s="33" t="n">
        <f>7710</f>
        <v>7710.0</v>
      </c>
      <c r="P17" s="34" t="s">
        <v>50</v>
      </c>
      <c r="Q17" s="33" t="n">
        <f>7840</f>
        <v>7840.0</v>
      </c>
      <c r="R17" s="34" t="s">
        <v>51</v>
      </c>
      <c r="S17" s="35" t="n">
        <f>7991.43</f>
        <v>7991.43</v>
      </c>
      <c r="T17" s="32" t="n">
        <f>16520</f>
        <v>16520.0</v>
      </c>
      <c r="U17" s="32" t="str">
        <f>"－"</f>
        <v>－</v>
      </c>
      <c r="V17" s="32" t="n">
        <f>131473900</f>
        <v>1.314739E8</v>
      </c>
      <c r="W17" s="32" t="str">
        <f>"－"</f>
        <v>－</v>
      </c>
      <c r="X17" s="36" t="n">
        <f>21</f>
        <v>21.0</v>
      </c>
    </row>
    <row r="18">
      <c r="A18" s="27" t="s">
        <v>42</v>
      </c>
      <c r="B18" s="27" t="s">
        <v>86</v>
      </c>
      <c r="C18" s="27" t="s">
        <v>87</v>
      </c>
      <c r="D18" s="27" t="s">
        <v>88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100.0</v>
      </c>
      <c r="K18" s="33" t="n">
        <f>494</f>
        <v>494.0</v>
      </c>
      <c r="L18" s="34" t="s">
        <v>48</v>
      </c>
      <c r="M18" s="33" t="n">
        <f>505</f>
        <v>505.0</v>
      </c>
      <c r="N18" s="34" t="s">
        <v>89</v>
      </c>
      <c r="O18" s="33" t="n">
        <f>460</f>
        <v>460.0</v>
      </c>
      <c r="P18" s="34" t="s">
        <v>50</v>
      </c>
      <c r="Q18" s="33" t="n">
        <f>494</f>
        <v>494.0</v>
      </c>
      <c r="R18" s="34" t="s">
        <v>51</v>
      </c>
      <c r="S18" s="35" t="n">
        <f>486.38</f>
        <v>486.38</v>
      </c>
      <c r="T18" s="32" t="n">
        <f>106000</f>
        <v>106000.0</v>
      </c>
      <c r="U18" s="32" t="str">
        <f>"－"</f>
        <v>－</v>
      </c>
      <c r="V18" s="32" t="n">
        <f>51379800</f>
        <v>5.13798E7</v>
      </c>
      <c r="W18" s="32" t="str">
        <f>"－"</f>
        <v>－</v>
      </c>
      <c r="X18" s="36" t="n">
        <f>21</f>
        <v>21.0</v>
      </c>
    </row>
    <row r="19">
      <c r="A19" s="27" t="s">
        <v>42</v>
      </c>
      <c r="B19" s="27" t="s">
        <v>90</v>
      </c>
      <c r="C19" s="27" t="s">
        <v>91</v>
      </c>
      <c r="D19" s="27" t="s">
        <v>92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100.0</v>
      </c>
      <c r="K19" s="33" t="n">
        <f>158</f>
        <v>158.0</v>
      </c>
      <c r="L19" s="34" t="s">
        <v>48</v>
      </c>
      <c r="M19" s="33" t="n">
        <f>163</f>
        <v>163.0</v>
      </c>
      <c r="N19" s="34" t="s">
        <v>93</v>
      </c>
      <c r="O19" s="33" t="n">
        <f>154</f>
        <v>154.0</v>
      </c>
      <c r="P19" s="34" t="s">
        <v>68</v>
      </c>
      <c r="Q19" s="33" t="n">
        <f>161</f>
        <v>161.0</v>
      </c>
      <c r="R19" s="34" t="s">
        <v>51</v>
      </c>
      <c r="S19" s="35" t="n">
        <f>158.19</f>
        <v>158.19</v>
      </c>
      <c r="T19" s="32" t="n">
        <f>409300</f>
        <v>409300.0</v>
      </c>
      <c r="U19" s="32" t="str">
        <f>"－"</f>
        <v>－</v>
      </c>
      <c r="V19" s="32" t="n">
        <f>64819800</f>
        <v>6.48198E7</v>
      </c>
      <c r="W19" s="32" t="str">
        <f>"－"</f>
        <v>－</v>
      </c>
      <c r="X19" s="36" t="n">
        <f>21</f>
        <v>21.0</v>
      </c>
    </row>
    <row r="20">
      <c r="A20" s="27" t="s">
        <v>42</v>
      </c>
      <c r="B20" s="27" t="s">
        <v>94</v>
      </c>
      <c r="C20" s="27" t="s">
        <v>95</v>
      </c>
      <c r="D20" s="27" t="s">
        <v>96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100.0</v>
      </c>
      <c r="K20" s="33" t="n">
        <f>192</f>
        <v>192.0</v>
      </c>
      <c r="L20" s="34" t="s">
        <v>48</v>
      </c>
      <c r="M20" s="33" t="n">
        <f>193</f>
        <v>193.0</v>
      </c>
      <c r="N20" s="34" t="s">
        <v>97</v>
      </c>
      <c r="O20" s="33" t="n">
        <f>171</f>
        <v>171.0</v>
      </c>
      <c r="P20" s="34" t="s">
        <v>50</v>
      </c>
      <c r="Q20" s="33" t="n">
        <f>182</f>
        <v>182.0</v>
      </c>
      <c r="R20" s="34" t="s">
        <v>51</v>
      </c>
      <c r="S20" s="35" t="n">
        <f>184.38</f>
        <v>184.38</v>
      </c>
      <c r="T20" s="32" t="n">
        <f>329100</f>
        <v>329100.0</v>
      </c>
      <c r="U20" s="32" t="n">
        <f>100</f>
        <v>100.0</v>
      </c>
      <c r="V20" s="32" t="n">
        <f>60271100</f>
        <v>6.02711E7</v>
      </c>
      <c r="W20" s="32" t="n">
        <f>18300</f>
        <v>18300.0</v>
      </c>
      <c r="X20" s="36" t="n">
        <f>21</f>
        <v>21.0</v>
      </c>
    </row>
    <row r="21">
      <c r="A21" s="27" t="s">
        <v>42</v>
      </c>
      <c r="B21" s="27" t="s">
        <v>98</v>
      </c>
      <c r="C21" s="27" t="s">
        <v>99</v>
      </c>
      <c r="D21" s="27" t="s">
        <v>100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18630</f>
        <v>18630.0</v>
      </c>
      <c r="L21" s="34" t="s">
        <v>48</v>
      </c>
      <c r="M21" s="33" t="n">
        <f>18710</f>
        <v>18710.0</v>
      </c>
      <c r="N21" s="34" t="s">
        <v>93</v>
      </c>
      <c r="O21" s="33" t="n">
        <f>17850</f>
        <v>17850.0</v>
      </c>
      <c r="P21" s="34" t="s">
        <v>101</v>
      </c>
      <c r="Q21" s="33" t="n">
        <f>18650</f>
        <v>18650.0</v>
      </c>
      <c r="R21" s="34" t="s">
        <v>51</v>
      </c>
      <c r="S21" s="35" t="n">
        <f>18372.86</f>
        <v>18372.86</v>
      </c>
      <c r="T21" s="32" t="n">
        <f>153733</f>
        <v>153733.0</v>
      </c>
      <c r="U21" s="32" t="str">
        <f>"－"</f>
        <v>－</v>
      </c>
      <c r="V21" s="32" t="n">
        <f>2811691810</f>
        <v>2.81169181E9</v>
      </c>
      <c r="W21" s="32" t="str">
        <f>"－"</f>
        <v>－</v>
      </c>
      <c r="X21" s="36" t="n">
        <f>21</f>
        <v>21.0</v>
      </c>
    </row>
    <row r="22">
      <c r="A22" s="27" t="s">
        <v>42</v>
      </c>
      <c r="B22" s="27" t="s">
        <v>102</v>
      </c>
      <c r="C22" s="27" t="s">
        <v>103</v>
      </c>
      <c r="D22" s="27" t="s">
        <v>104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1.0</v>
      </c>
      <c r="K22" s="33" t="n">
        <f>3965</f>
        <v>3965.0</v>
      </c>
      <c r="L22" s="34" t="s">
        <v>48</v>
      </c>
      <c r="M22" s="33" t="n">
        <f>4030</f>
        <v>4030.0</v>
      </c>
      <c r="N22" s="34" t="s">
        <v>48</v>
      </c>
      <c r="O22" s="33" t="n">
        <f>3730</f>
        <v>3730.0</v>
      </c>
      <c r="P22" s="34" t="s">
        <v>50</v>
      </c>
      <c r="Q22" s="33" t="n">
        <f>4010</f>
        <v>4010.0</v>
      </c>
      <c r="R22" s="34" t="s">
        <v>51</v>
      </c>
      <c r="S22" s="35" t="n">
        <f>3929.05</f>
        <v>3929.05</v>
      </c>
      <c r="T22" s="32" t="n">
        <f>3783</f>
        <v>3783.0</v>
      </c>
      <c r="U22" s="32" t="str">
        <f>"－"</f>
        <v>－</v>
      </c>
      <c r="V22" s="32" t="n">
        <f>14766160</f>
        <v>1.476616E7</v>
      </c>
      <c r="W22" s="32" t="str">
        <f>"－"</f>
        <v>－</v>
      </c>
      <c r="X22" s="36" t="n">
        <f>21</f>
        <v>21.0</v>
      </c>
    </row>
    <row r="23">
      <c r="A23" s="27" t="s">
        <v>42</v>
      </c>
      <c r="B23" s="27" t="s">
        <v>105</v>
      </c>
      <c r="C23" s="27" t="s">
        <v>106</v>
      </c>
      <c r="D23" s="27" t="s">
        <v>107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10.0</v>
      </c>
      <c r="K23" s="33" t="n">
        <f>5060</f>
        <v>5060.0</v>
      </c>
      <c r="L23" s="34" t="s">
        <v>48</v>
      </c>
      <c r="M23" s="33" t="n">
        <f>5070</f>
        <v>5070.0</v>
      </c>
      <c r="N23" s="34" t="s">
        <v>93</v>
      </c>
      <c r="O23" s="33" t="n">
        <f>4835</f>
        <v>4835.0</v>
      </c>
      <c r="P23" s="34" t="s">
        <v>101</v>
      </c>
      <c r="Q23" s="33" t="n">
        <f>5060</f>
        <v>5060.0</v>
      </c>
      <c r="R23" s="34" t="s">
        <v>51</v>
      </c>
      <c r="S23" s="35" t="n">
        <f>4973.33</f>
        <v>4973.33</v>
      </c>
      <c r="T23" s="32" t="n">
        <f>477510</f>
        <v>477510.0</v>
      </c>
      <c r="U23" s="32" t="str">
        <f>"－"</f>
        <v>－</v>
      </c>
      <c r="V23" s="32" t="n">
        <f>2347176300</f>
        <v>2.3471763E9</v>
      </c>
      <c r="W23" s="32" t="str">
        <f>"－"</f>
        <v>－</v>
      </c>
      <c r="X23" s="36" t="n">
        <f>21</f>
        <v>21.0</v>
      </c>
    </row>
    <row r="24">
      <c r="A24" s="27" t="s">
        <v>42</v>
      </c>
      <c r="B24" s="27" t="s">
        <v>108</v>
      </c>
      <c r="C24" s="27" t="s">
        <v>109</v>
      </c>
      <c r="D24" s="27" t="s">
        <v>110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28580</f>
        <v>28580.0</v>
      </c>
      <c r="L24" s="34" t="s">
        <v>48</v>
      </c>
      <c r="M24" s="33" t="n">
        <f>29110</f>
        <v>29110.0</v>
      </c>
      <c r="N24" s="34" t="s">
        <v>49</v>
      </c>
      <c r="O24" s="33" t="n">
        <f>27760</f>
        <v>27760.0</v>
      </c>
      <c r="P24" s="34" t="s">
        <v>50</v>
      </c>
      <c r="Q24" s="33" t="n">
        <f>28930</f>
        <v>28930.0</v>
      </c>
      <c r="R24" s="34" t="s">
        <v>51</v>
      </c>
      <c r="S24" s="35" t="n">
        <f>28545.71</f>
        <v>28545.71</v>
      </c>
      <c r="T24" s="32" t="n">
        <f>469231</f>
        <v>469231.0</v>
      </c>
      <c r="U24" s="32" t="n">
        <f>57343</f>
        <v>57343.0</v>
      </c>
      <c r="V24" s="32" t="n">
        <f>13380623971</f>
        <v>1.3380623971E10</v>
      </c>
      <c r="W24" s="32" t="n">
        <f>1636354221</f>
        <v>1.636354221E9</v>
      </c>
      <c r="X24" s="36" t="n">
        <f>21</f>
        <v>21.0</v>
      </c>
    </row>
    <row r="25">
      <c r="A25" s="27" t="s">
        <v>42</v>
      </c>
      <c r="B25" s="27" t="s">
        <v>111</v>
      </c>
      <c r="C25" s="27" t="s">
        <v>112</v>
      </c>
      <c r="D25" s="27" t="s">
        <v>113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28300</f>
        <v>28300.0</v>
      </c>
      <c r="L25" s="34" t="s">
        <v>48</v>
      </c>
      <c r="M25" s="33" t="n">
        <f>29040</f>
        <v>29040.0</v>
      </c>
      <c r="N25" s="34" t="s">
        <v>49</v>
      </c>
      <c r="O25" s="33" t="n">
        <f>27680</f>
        <v>27680.0</v>
      </c>
      <c r="P25" s="34" t="s">
        <v>50</v>
      </c>
      <c r="Q25" s="33" t="n">
        <f>28850</f>
        <v>28850.0</v>
      </c>
      <c r="R25" s="34" t="s">
        <v>51</v>
      </c>
      <c r="S25" s="35" t="n">
        <f>28442.86</f>
        <v>28442.86</v>
      </c>
      <c r="T25" s="32" t="n">
        <f>643000</f>
        <v>643000.0</v>
      </c>
      <c r="U25" s="32" t="n">
        <f>53710</f>
        <v>53710.0</v>
      </c>
      <c r="V25" s="32" t="n">
        <f>18313366175</f>
        <v>1.8313366175E10</v>
      </c>
      <c r="W25" s="32" t="n">
        <f>1541093675</f>
        <v>1.541093675E9</v>
      </c>
      <c r="X25" s="36" t="n">
        <f>21</f>
        <v>21.0</v>
      </c>
    </row>
    <row r="26">
      <c r="A26" s="27" t="s">
        <v>42</v>
      </c>
      <c r="B26" s="27" t="s">
        <v>114</v>
      </c>
      <c r="C26" s="27" t="s">
        <v>115</v>
      </c>
      <c r="D26" s="27" t="s">
        <v>116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10.0</v>
      </c>
      <c r="K26" s="33" t="n">
        <f>2331</f>
        <v>2331.0</v>
      </c>
      <c r="L26" s="34" t="s">
        <v>48</v>
      </c>
      <c r="M26" s="33" t="n">
        <f>2354</f>
        <v>2354.0</v>
      </c>
      <c r="N26" s="34" t="s">
        <v>89</v>
      </c>
      <c r="O26" s="33" t="n">
        <f>2225</f>
        <v>2225.0</v>
      </c>
      <c r="P26" s="34" t="s">
        <v>117</v>
      </c>
      <c r="Q26" s="33" t="n">
        <f>2302</f>
        <v>2302.0</v>
      </c>
      <c r="R26" s="34" t="s">
        <v>51</v>
      </c>
      <c r="S26" s="35" t="n">
        <f>2289.24</f>
        <v>2289.24</v>
      </c>
      <c r="T26" s="32" t="n">
        <f>7870090</f>
        <v>7870090.0</v>
      </c>
      <c r="U26" s="32" t="n">
        <f>1908960</f>
        <v>1908960.0</v>
      </c>
      <c r="V26" s="32" t="n">
        <f>18047999891</f>
        <v>1.8047999891E10</v>
      </c>
      <c r="W26" s="32" t="n">
        <f>4370989351</f>
        <v>4.370989351E9</v>
      </c>
      <c r="X26" s="36" t="n">
        <f>21</f>
        <v>21.0</v>
      </c>
    </row>
    <row r="27">
      <c r="A27" s="27" t="s">
        <v>42</v>
      </c>
      <c r="B27" s="27" t="s">
        <v>118</v>
      </c>
      <c r="C27" s="27" t="s">
        <v>119</v>
      </c>
      <c r="D27" s="27" t="s">
        <v>120</v>
      </c>
      <c r="E27" s="28" t="s">
        <v>46</v>
      </c>
      <c r="F27" s="29" t="s">
        <v>46</v>
      </c>
      <c r="G27" s="30" t="s">
        <v>46</v>
      </c>
      <c r="H27" s="31" t="s">
        <v>121</v>
      </c>
      <c r="I27" s="31" t="s">
        <v>47</v>
      </c>
      <c r="J27" s="32" t="n">
        <v>10.0</v>
      </c>
      <c r="K27" s="33" t="n">
        <f>872</f>
        <v>872.0</v>
      </c>
      <c r="L27" s="34" t="s">
        <v>48</v>
      </c>
      <c r="M27" s="33" t="n">
        <f>896</f>
        <v>896.0</v>
      </c>
      <c r="N27" s="34" t="s">
        <v>49</v>
      </c>
      <c r="O27" s="33" t="n">
        <f>851</f>
        <v>851.0</v>
      </c>
      <c r="P27" s="34" t="s">
        <v>50</v>
      </c>
      <c r="Q27" s="33" t="n">
        <f>889</f>
        <v>889.0</v>
      </c>
      <c r="R27" s="34" t="s">
        <v>51</v>
      </c>
      <c r="S27" s="35" t="n">
        <f>877.43</f>
        <v>877.43</v>
      </c>
      <c r="T27" s="32" t="n">
        <f>63120</f>
        <v>63120.0</v>
      </c>
      <c r="U27" s="32" t="str">
        <f>"－"</f>
        <v>－</v>
      </c>
      <c r="V27" s="32" t="n">
        <f>55108970</f>
        <v>5.510897E7</v>
      </c>
      <c r="W27" s="32" t="str">
        <f>"－"</f>
        <v>－</v>
      </c>
      <c r="X27" s="36" t="n">
        <f>21</f>
        <v>21.0</v>
      </c>
    </row>
    <row r="28">
      <c r="A28" s="27" t="s">
        <v>42</v>
      </c>
      <c r="B28" s="27" t="s">
        <v>122</v>
      </c>
      <c r="C28" s="27" t="s">
        <v>123</v>
      </c>
      <c r="D28" s="27" t="s">
        <v>124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100.0</v>
      </c>
      <c r="K28" s="33" t="n">
        <f>2186</f>
        <v>2186.0</v>
      </c>
      <c r="L28" s="34" t="s">
        <v>48</v>
      </c>
      <c r="M28" s="33" t="n">
        <f>2214</f>
        <v>2214.0</v>
      </c>
      <c r="N28" s="34" t="s">
        <v>89</v>
      </c>
      <c r="O28" s="33" t="n">
        <f>2109</f>
        <v>2109.0</v>
      </c>
      <c r="P28" s="34" t="s">
        <v>117</v>
      </c>
      <c r="Q28" s="33" t="n">
        <f>2180</f>
        <v>2180.0</v>
      </c>
      <c r="R28" s="34" t="s">
        <v>51</v>
      </c>
      <c r="S28" s="35" t="n">
        <f>2166.1</f>
        <v>2166.1</v>
      </c>
      <c r="T28" s="32" t="n">
        <f>1690700</f>
        <v>1690700.0</v>
      </c>
      <c r="U28" s="32" t="n">
        <f>326600</f>
        <v>326600.0</v>
      </c>
      <c r="V28" s="32" t="n">
        <f>3649011951</f>
        <v>3.649011951E9</v>
      </c>
      <c r="W28" s="32" t="n">
        <f>705073851</f>
        <v>7.05073851E8</v>
      </c>
      <c r="X28" s="36" t="n">
        <f>21</f>
        <v>21.0</v>
      </c>
    </row>
    <row r="29">
      <c r="A29" s="27" t="s">
        <v>42</v>
      </c>
      <c r="B29" s="27" t="s">
        <v>125</v>
      </c>
      <c r="C29" s="27" t="s">
        <v>126</v>
      </c>
      <c r="D29" s="27" t="s">
        <v>127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28370</f>
        <v>28370.0</v>
      </c>
      <c r="L29" s="34" t="s">
        <v>48</v>
      </c>
      <c r="M29" s="33" t="n">
        <f>29120</f>
        <v>29120.0</v>
      </c>
      <c r="N29" s="34" t="s">
        <v>49</v>
      </c>
      <c r="O29" s="33" t="n">
        <f>27780</f>
        <v>27780.0</v>
      </c>
      <c r="P29" s="34" t="s">
        <v>50</v>
      </c>
      <c r="Q29" s="33" t="n">
        <f>28940</f>
        <v>28940.0</v>
      </c>
      <c r="R29" s="34" t="s">
        <v>51</v>
      </c>
      <c r="S29" s="35" t="n">
        <f>28522.86</f>
        <v>28522.86</v>
      </c>
      <c r="T29" s="32" t="n">
        <f>388389</f>
        <v>388389.0</v>
      </c>
      <c r="U29" s="32" t="n">
        <f>36029</f>
        <v>36029.0</v>
      </c>
      <c r="V29" s="32" t="n">
        <f>11101949880</f>
        <v>1.110194988E10</v>
      </c>
      <c r="W29" s="32" t="n">
        <f>1037422530</f>
        <v>1.03742253E9</v>
      </c>
      <c r="X29" s="36" t="n">
        <f>21</f>
        <v>21.0</v>
      </c>
    </row>
    <row r="30">
      <c r="A30" s="27" t="s">
        <v>42</v>
      </c>
      <c r="B30" s="27" t="s">
        <v>128</v>
      </c>
      <c r="C30" s="27" t="s">
        <v>129</v>
      </c>
      <c r="D30" s="27" t="s">
        <v>130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1984</f>
        <v>1984.0</v>
      </c>
      <c r="L30" s="34" t="s">
        <v>48</v>
      </c>
      <c r="M30" s="33" t="n">
        <f>2034</f>
        <v>2034.0</v>
      </c>
      <c r="N30" s="34" t="s">
        <v>49</v>
      </c>
      <c r="O30" s="33" t="n">
        <f>1937</f>
        <v>1937.0</v>
      </c>
      <c r="P30" s="34" t="s">
        <v>50</v>
      </c>
      <c r="Q30" s="33" t="n">
        <f>2025</f>
        <v>2025.0</v>
      </c>
      <c r="R30" s="34" t="s">
        <v>51</v>
      </c>
      <c r="S30" s="35" t="n">
        <f>1992.95</f>
        <v>1992.95</v>
      </c>
      <c r="T30" s="32" t="n">
        <f>3507140</f>
        <v>3507140.0</v>
      </c>
      <c r="U30" s="32" t="n">
        <f>315700</f>
        <v>315700.0</v>
      </c>
      <c r="V30" s="32" t="n">
        <f>7001194530</f>
        <v>7.00119453E9</v>
      </c>
      <c r="W30" s="32" t="n">
        <f>632347950</f>
        <v>6.3234795E8</v>
      </c>
      <c r="X30" s="36" t="n">
        <f>21</f>
        <v>21.0</v>
      </c>
    </row>
    <row r="31">
      <c r="A31" s="27" t="s">
        <v>42</v>
      </c>
      <c r="B31" s="27" t="s">
        <v>131</v>
      </c>
      <c r="C31" s="27" t="s">
        <v>132</v>
      </c>
      <c r="D31" s="27" t="s">
        <v>133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13270</f>
        <v>13270.0</v>
      </c>
      <c r="L31" s="34" t="s">
        <v>48</v>
      </c>
      <c r="M31" s="33" t="n">
        <f>13390</f>
        <v>13390.0</v>
      </c>
      <c r="N31" s="34" t="s">
        <v>49</v>
      </c>
      <c r="O31" s="33" t="n">
        <f>13160</f>
        <v>13160.0</v>
      </c>
      <c r="P31" s="34" t="s">
        <v>134</v>
      </c>
      <c r="Q31" s="33" t="n">
        <f>13390</f>
        <v>13390.0</v>
      </c>
      <c r="R31" s="34" t="s">
        <v>51</v>
      </c>
      <c r="S31" s="35" t="n">
        <f>13282</f>
        <v>13282.0</v>
      </c>
      <c r="T31" s="32" t="n">
        <f>880</f>
        <v>880.0</v>
      </c>
      <c r="U31" s="32" t="str">
        <f>"－"</f>
        <v>－</v>
      </c>
      <c r="V31" s="32" t="n">
        <f>11682050</f>
        <v>1.168205E7</v>
      </c>
      <c r="W31" s="32" t="str">
        <f>"－"</f>
        <v>－</v>
      </c>
      <c r="X31" s="36" t="n">
        <f>20</f>
        <v>20.0</v>
      </c>
    </row>
    <row r="32">
      <c r="A32" s="27" t="s">
        <v>42</v>
      </c>
      <c r="B32" s="27" t="s">
        <v>135</v>
      </c>
      <c r="C32" s="27" t="s">
        <v>136</v>
      </c>
      <c r="D32" s="27" t="s">
        <v>137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10.0</v>
      </c>
      <c r="K32" s="33" t="n">
        <f>1173</f>
        <v>1173.0</v>
      </c>
      <c r="L32" s="34" t="s">
        <v>48</v>
      </c>
      <c r="M32" s="33" t="n">
        <f>1221</f>
        <v>1221.0</v>
      </c>
      <c r="N32" s="34" t="s">
        <v>50</v>
      </c>
      <c r="O32" s="33" t="n">
        <f>1106</f>
        <v>1106.0</v>
      </c>
      <c r="P32" s="34" t="s">
        <v>51</v>
      </c>
      <c r="Q32" s="33" t="n">
        <f>1116</f>
        <v>1116.0</v>
      </c>
      <c r="R32" s="34" t="s">
        <v>51</v>
      </c>
      <c r="S32" s="35" t="n">
        <f>1154.95</f>
        <v>1154.95</v>
      </c>
      <c r="T32" s="32" t="n">
        <f>7010020</f>
        <v>7010020.0</v>
      </c>
      <c r="U32" s="32" t="n">
        <f>6320</f>
        <v>6320.0</v>
      </c>
      <c r="V32" s="32" t="n">
        <f>8082002220</f>
        <v>8.08200222E9</v>
      </c>
      <c r="W32" s="32" t="n">
        <f>7293890</f>
        <v>7293890.0</v>
      </c>
      <c r="X32" s="36" t="n">
        <f>21</f>
        <v>21.0</v>
      </c>
    </row>
    <row r="33">
      <c r="A33" s="27" t="s">
        <v>42</v>
      </c>
      <c r="B33" s="27" t="s">
        <v>138</v>
      </c>
      <c r="C33" s="27" t="s">
        <v>139</v>
      </c>
      <c r="D33" s="27" t="s">
        <v>140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450</f>
        <v>450.0</v>
      </c>
      <c r="L33" s="34" t="s">
        <v>48</v>
      </c>
      <c r="M33" s="33" t="n">
        <f>469</f>
        <v>469.0</v>
      </c>
      <c r="N33" s="34" t="s">
        <v>50</v>
      </c>
      <c r="O33" s="33" t="n">
        <f>427</f>
        <v>427.0</v>
      </c>
      <c r="P33" s="34" t="s">
        <v>49</v>
      </c>
      <c r="Q33" s="33" t="n">
        <f>431</f>
        <v>431.0</v>
      </c>
      <c r="R33" s="34" t="s">
        <v>51</v>
      </c>
      <c r="S33" s="35" t="n">
        <f>444.71</f>
        <v>444.71</v>
      </c>
      <c r="T33" s="32" t="n">
        <f>1031458257</f>
        <v>1.031458257E9</v>
      </c>
      <c r="U33" s="32" t="n">
        <f>339808</f>
        <v>339808.0</v>
      </c>
      <c r="V33" s="32" t="n">
        <f>459959541745</f>
        <v>4.59959541745E11</v>
      </c>
      <c r="W33" s="32" t="n">
        <f>154163076</f>
        <v>1.54163076E8</v>
      </c>
      <c r="X33" s="36" t="n">
        <f>21</f>
        <v>21.0</v>
      </c>
    </row>
    <row r="34">
      <c r="A34" s="27" t="s">
        <v>42</v>
      </c>
      <c r="B34" s="27" t="s">
        <v>141</v>
      </c>
      <c r="C34" s="27" t="s">
        <v>142</v>
      </c>
      <c r="D34" s="27" t="s">
        <v>143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26630</f>
        <v>26630.0</v>
      </c>
      <c r="L34" s="34" t="s">
        <v>48</v>
      </c>
      <c r="M34" s="33" t="n">
        <f>28060</f>
        <v>28060.0</v>
      </c>
      <c r="N34" s="34" t="s">
        <v>49</v>
      </c>
      <c r="O34" s="33" t="n">
        <f>25500</f>
        <v>25500.0</v>
      </c>
      <c r="P34" s="34" t="s">
        <v>50</v>
      </c>
      <c r="Q34" s="33" t="n">
        <f>27650</f>
        <v>27650.0</v>
      </c>
      <c r="R34" s="34" t="s">
        <v>51</v>
      </c>
      <c r="S34" s="35" t="n">
        <f>26900.48</f>
        <v>26900.48</v>
      </c>
      <c r="T34" s="32" t="n">
        <f>375196</f>
        <v>375196.0</v>
      </c>
      <c r="U34" s="32" t="n">
        <f>2</f>
        <v>2.0</v>
      </c>
      <c r="V34" s="32" t="n">
        <f>10082898000</f>
        <v>1.0082898E10</v>
      </c>
      <c r="W34" s="32" t="n">
        <f>55210</f>
        <v>55210.0</v>
      </c>
      <c r="X34" s="36" t="n">
        <f>21</f>
        <v>21.0</v>
      </c>
    </row>
    <row r="35">
      <c r="A35" s="27" t="s">
        <v>42</v>
      </c>
      <c r="B35" s="27" t="s">
        <v>144</v>
      </c>
      <c r="C35" s="27" t="s">
        <v>145</v>
      </c>
      <c r="D35" s="27" t="s">
        <v>146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10.0</v>
      </c>
      <c r="K35" s="33" t="n">
        <f>1102</f>
        <v>1102.0</v>
      </c>
      <c r="L35" s="34" t="s">
        <v>48</v>
      </c>
      <c r="M35" s="33" t="n">
        <f>1146</f>
        <v>1146.0</v>
      </c>
      <c r="N35" s="34" t="s">
        <v>50</v>
      </c>
      <c r="O35" s="33" t="n">
        <f>1043</f>
        <v>1043.0</v>
      </c>
      <c r="P35" s="34" t="s">
        <v>49</v>
      </c>
      <c r="Q35" s="33" t="n">
        <f>1050</f>
        <v>1050.0</v>
      </c>
      <c r="R35" s="34" t="s">
        <v>51</v>
      </c>
      <c r="S35" s="35" t="n">
        <f>1086.48</f>
        <v>1086.48</v>
      </c>
      <c r="T35" s="32" t="n">
        <f>285237590</f>
        <v>2.8523759E8</v>
      </c>
      <c r="U35" s="32" t="n">
        <f>1130</f>
        <v>1130.0</v>
      </c>
      <c r="V35" s="32" t="n">
        <f>310725453659</f>
        <v>3.10725453659E11</v>
      </c>
      <c r="W35" s="32" t="n">
        <f>1223139</f>
        <v>1223139.0</v>
      </c>
      <c r="X35" s="36" t="n">
        <f>21</f>
        <v>21.0</v>
      </c>
    </row>
    <row r="36">
      <c r="A36" s="27" t="s">
        <v>42</v>
      </c>
      <c r="B36" s="27" t="s">
        <v>147</v>
      </c>
      <c r="C36" s="27" t="s">
        <v>148</v>
      </c>
      <c r="D36" s="27" t="s">
        <v>149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17730</f>
        <v>17730.0</v>
      </c>
      <c r="L36" s="34" t="s">
        <v>48</v>
      </c>
      <c r="M36" s="33" t="n">
        <f>18080</f>
        <v>18080.0</v>
      </c>
      <c r="N36" s="34" t="s">
        <v>150</v>
      </c>
      <c r="O36" s="33" t="n">
        <f>17230</f>
        <v>17230.0</v>
      </c>
      <c r="P36" s="34" t="s">
        <v>50</v>
      </c>
      <c r="Q36" s="33" t="n">
        <f>17960</f>
        <v>17960.0</v>
      </c>
      <c r="R36" s="34" t="s">
        <v>51</v>
      </c>
      <c r="S36" s="35" t="n">
        <f>17690.48</f>
        <v>17690.48</v>
      </c>
      <c r="T36" s="32" t="n">
        <f>6313</f>
        <v>6313.0</v>
      </c>
      <c r="U36" s="32" t="str">
        <f>"－"</f>
        <v>－</v>
      </c>
      <c r="V36" s="32" t="n">
        <f>111167190</f>
        <v>1.1116719E8</v>
      </c>
      <c r="W36" s="32" t="str">
        <f>"－"</f>
        <v>－</v>
      </c>
      <c r="X36" s="36" t="n">
        <f>21</f>
        <v>21.0</v>
      </c>
    </row>
    <row r="37">
      <c r="A37" s="27" t="s">
        <v>42</v>
      </c>
      <c r="B37" s="27" t="s">
        <v>151</v>
      </c>
      <c r="C37" s="27" t="s">
        <v>152</v>
      </c>
      <c r="D37" s="27" t="s">
        <v>153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22140</f>
        <v>22140.0</v>
      </c>
      <c r="L37" s="34" t="s">
        <v>48</v>
      </c>
      <c r="M37" s="33" t="n">
        <f>23330</f>
        <v>23330.0</v>
      </c>
      <c r="N37" s="34" t="s">
        <v>49</v>
      </c>
      <c r="O37" s="33" t="n">
        <f>21180</f>
        <v>21180.0</v>
      </c>
      <c r="P37" s="34" t="s">
        <v>50</v>
      </c>
      <c r="Q37" s="33" t="n">
        <f>23000</f>
        <v>23000.0</v>
      </c>
      <c r="R37" s="34" t="s">
        <v>51</v>
      </c>
      <c r="S37" s="35" t="n">
        <f>22359.05</f>
        <v>22359.05</v>
      </c>
      <c r="T37" s="32" t="n">
        <f>878547</f>
        <v>878547.0</v>
      </c>
      <c r="U37" s="32" t="n">
        <f>5</f>
        <v>5.0</v>
      </c>
      <c r="V37" s="32" t="n">
        <f>19631389710</f>
        <v>1.963138971E10</v>
      </c>
      <c r="W37" s="32" t="n">
        <f>111160</f>
        <v>111160.0</v>
      </c>
      <c r="X37" s="36" t="n">
        <f>21</f>
        <v>21.0</v>
      </c>
    </row>
    <row r="38">
      <c r="A38" s="27" t="s">
        <v>42</v>
      </c>
      <c r="B38" s="27" t="s">
        <v>154</v>
      </c>
      <c r="C38" s="27" t="s">
        <v>155</v>
      </c>
      <c r="D38" s="27" t="s">
        <v>156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1177</f>
        <v>1177.0</v>
      </c>
      <c r="L38" s="34" t="s">
        <v>48</v>
      </c>
      <c r="M38" s="33" t="n">
        <f>1224</f>
        <v>1224.0</v>
      </c>
      <c r="N38" s="34" t="s">
        <v>50</v>
      </c>
      <c r="O38" s="33" t="n">
        <f>1115</f>
        <v>1115.0</v>
      </c>
      <c r="P38" s="34" t="s">
        <v>49</v>
      </c>
      <c r="Q38" s="33" t="n">
        <f>1122</f>
        <v>1122.0</v>
      </c>
      <c r="R38" s="34" t="s">
        <v>51</v>
      </c>
      <c r="S38" s="35" t="n">
        <f>1161.43</f>
        <v>1161.43</v>
      </c>
      <c r="T38" s="32" t="n">
        <f>9740738</f>
        <v>9740738.0</v>
      </c>
      <c r="U38" s="32" t="n">
        <f>10</f>
        <v>10.0</v>
      </c>
      <c r="V38" s="32" t="n">
        <f>11336343923</f>
        <v>1.1336343923E10</v>
      </c>
      <c r="W38" s="32" t="n">
        <f>11640</f>
        <v>11640.0</v>
      </c>
      <c r="X38" s="36" t="n">
        <f>21</f>
        <v>21.0</v>
      </c>
    </row>
    <row r="39">
      <c r="A39" s="27" t="s">
        <v>42</v>
      </c>
      <c r="B39" s="27" t="s">
        <v>157</v>
      </c>
      <c r="C39" s="27" t="s">
        <v>158</v>
      </c>
      <c r="D39" s="27" t="s">
        <v>159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18020</f>
        <v>18020.0</v>
      </c>
      <c r="L39" s="34" t="s">
        <v>48</v>
      </c>
      <c r="M39" s="33" t="n">
        <f>18990</f>
        <v>18990.0</v>
      </c>
      <c r="N39" s="34" t="s">
        <v>49</v>
      </c>
      <c r="O39" s="33" t="n">
        <f>17220</f>
        <v>17220.0</v>
      </c>
      <c r="P39" s="34" t="s">
        <v>50</v>
      </c>
      <c r="Q39" s="33" t="n">
        <f>18780</f>
        <v>18780.0</v>
      </c>
      <c r="R39" s="34" t="s">
        <v>51</v>
      </c>
      <c r="S39" s="35" t="n">
        <f>18231.43</f>
        <v>18231.43</v>
      </c>
      <c r="T39" s="32" t="n">
        <f>290180</f>
        <v>290180.0</v>
      </c>
      <c r="U39" s="32" t="n">
        <f>111</f>
        <v>111.0</v>
      </c>
      <c r="V39" s="32" t="n">
        <f>5278067090</f>
        <v>5.27806709E9</v>
      </c>
      <c r="W39" s="32" t="n">
        <f>2051880</f>
        <v>2051880.0</v>
      </c>
      <c r="X39" s="36" t="n">
        <f>21</f>
        <v>21.0</v>
      </c>
    </row>
    <row r="40">
      <c r="A40" s="27" t="s">
        <v>42</v>
      </c>
      <c r="B40" s="27" t="s">
        <v>160</v>
      </c>
      <c r="C40" s="27" t="s">
        <v>161</v>
      </c>
      <c r="D40" s="27" t="s">
        <v>162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1698</f>
        <v>1698.0</v>
      </c>
      <c r="L40" s="34" t="s">
        <v>48</v>
      </c>
      <c r="M40" s="33" t="n">
        <f>1770</f>
        <v>1770.0</v>
      </c>
      <c r="N40" s="34" t="s">
        <v>50</v>
      </c>
      <c r="O40" s="33" t="n">
        <f>1602</f>
        <v>1602.0</v>
      </c>
      <c r="P40" s="34" t="s">
        <v>51</v>
      </c>
      <c r="Q40" s="33" t="n">
        <f>1619</f>
        <v>1619.0</v>
      </c>
      <c r="R40" s="34" t="s">
        <v>51</v>
      </c>
      <c r="S40" s="35" t="n">
        <f>1672.86</f>
        <v>1672.86</v>
      </c>
      <c r="T40" s="32" t="n">
        <f>1702175</f>
        <v>1702175.0</v>
      </c>
      <c r="U40" s="32" t="n">
        <f>1083</f>
        <v>1083.0</v>
      </c>
      <c r="V40" s="32" t="n">
        <f>2855988193</f>
        <v>2.855988193E9</v>
      </c>
      <c r="W40" s="32" t="n">
        <f>1797966</f>
        <v>1797966.0</v>
      </c>
      <c r="X40" s="36" t="n">
        <f>21</f>
        <v>21.0</v>
      </c>
    </row>
    <row r="41">
      <c r="A41" s="27" t="s">
        <v>42</v>
      </c>
      <c r="B41" s="27" t="s">
        <v>163</v>
      </c>
      <c r="C41" s="27" t="s">
        <v>164</v>
      </c>
      <c r="D41" s="27" t="s">
        <v>165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27500</f>
        <v>27500.0</v>
      </c>
      <c r="L41" s="34" t="s">
        <v>48</v>
      </c>
      <c r="M41" s="33" t="n">
        <f>28230</f>
        <v>28230.0</v>
      </c>
      <c r="N41" s="34" t="s">
        <v>49</v>
      </c>
      <c r="O41" s="33" t="n">
        <f>26910</f>
        <v>26910.0</v>
      </c>
      <c r="P41" s="34" t="s">
        <v>50</v>
      </c>
      <c r="Q41" s="33" t="n">
        <f>28070</f>
        <v>28070.0</v>
      </c>
      <c r="R41" s="34" t="s">
        <v>51</v>
      </c>
      <c r="S41" s="35" t="n">
        <f>27657.14</f>
        <v>27657.14</v>
      </c>
      <c r="T41" s="32" t="n">
        <f>184836</f>
        <v>184836.0</v>
      </c>
      <c r="U41" s="32" t="n">
        <f>47530</f>
        <v>47530.0</v>
      </c>
      <c r="V41" s="32" t="n">
        <f>5107454770</f>
        <v>5.10745477E9</v>
      </c>
      <c r="W41" s="32" t="n">
        <f>1303094360</f>
        <v>1.30309436E9</v>
      </c>
      <c r="X41" s="36" t="n">
        <f>21</f>
        <v>21.0</v>
      </c>
    </row>
    <row r="42">
      <c r="A42" s="27" t="s">
        <v>42</v>
      </c>
      <c r="B42" s="27" t="s">
        <v>166</v>
      </c>
      <c r="C42" s="27" t="s">
        <v>167</v>
      </c>
      <c r="D42" s="27" t="s">
        <v>168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5450</f>
        <v>5450.0</v>
      </c>
      <c r="L42" s="34" t="s">
        <v>48</v>
      </c>
      <c r="M42" s="33" t="n">
        <f>5500</f>
        <v>5500.0</v>
      </c>
      <c r="N42" s="34" t="s">
        <v>49</v>
      </c>
      <c r="O42" s="33" t="n">
        <f>5310</f>
        <v>5310.0</v>
      </c>
      <c r="P42" s="34" t="s">
        <v>50</v>
      </c>
      <c r="Q42" s="33" t="n">
        <f>5500</f>
        <v>5500.0</v>
      </c>
      <c r="R42" s="34" t="s">
        <v>51</v>
      </c>
      <c r="S42" s="35" t="n">
        <f>5427.14</f>
        <v>5427.14</v>
      </c>
      <c r="T42" s="32" t="n">
        <f>2610</f>
        <v>2610.0</v>
      </c>
      <c r="U42" s="32" t="str">
        <f>"－"</f>
        <v>－</v>
      </c>
      <c r="V42" s="32" t="n">
        <f>14138580</f>
        <v>1.413858E7</v>
      </c>
      <c r="W42" s="32" t="str">
        <f>"－"</f>
        <v>－</v>
      </c>
      <c r="X42" s="36" t="n">
        <f>21</f>
        <v>21.0</v>
      </c>
    </row>
    <row r="43">
      <c r="A43" s="27" t="s">
        <v>42</v>
      </c>
      <c r="B43" s="27" t="s">
        <v>169</v>
      </c>
      <c r="C43" s="27" t="s">
        <v>170</v>
      </c>
      <c r="D43" s="27" t="s">
        <v>171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9880</f>
        <v>9880.0</v>
      </c>
      <c r="L43" s="34" t="s">
        <v>48</v>
      </c>
      <c r="M43" s="33" t="n">
        <f>9940</f>
        <v>9940.0</v>
      </c>
      <c r="N43" s="34" t="s">
        <v>101</v>
      </c>
      <c r="O43" s="33" t="n">
        <f>9750</f>
        <v>9750.0</v>
      </c>
      <c r="P43" s="34" t="s">
        <v>172</v>
      </c>
      <c r="Q43" s="33" t="n">
        <f>9870</f>
        <v>9870.0</v>
      </c>
      <c r="R43" s="34" t="s">
        <v>51</v>
      </c>
      <c r="S43" s="35" t="n">
        <f>9850</f>
        <v>9850.0</v>
      </c>
      <c r="T43" s="32" t="n">
        <f>1568</f>
        <v>1568.0</v>
      </c>
      <c r="U43" s="32" t="str">
        <f>"－"</f>
        <v>－</v>
      </c>
      <c r="V43" s="32" t="n">
        <f>15469210</f>
        <v>1.546921E7</v>
      </c>
      <c r="W43" s="32" t="str">
        <f>"－"</f>
        <v>－</v>
      </c>
      <c r="X43" s="36" t="n">
        <f>21</f>
        <v>21.0</v>
      </c>
    </row>
    <row r="44">
      <c r="A44" s="27" t="s">
        <v>42</v>
      </c>
      <c r="B44" s="27" t="s">
        <v>173</v>
      </c>
      <c r="C44" s="27" t="s">
        <v>174</v>
      </c>
      <c r="D44" s="27" t="s">
        <v>175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19080</f>
        <v>19080.0</v>
      </c>
      <c r="L44" s="34" t="s">
        <v>48</v>
      </c>
      <c r="M44" s="33" t="n">
        <f>19930</f>
        <v>19930.0</v>
      </c>
      <c r="N44" s="34" t="s">
        <v>51</v>
      </c>
      <c r="O44" s="33" t="n">
        <f>18910</f>
        <v>18910.0</v>
      </c>
      <c r="P44" s="34" t="s">
        <v>50</v>
      </c>
      <c r="Q44" s="33" t="n">
        <f>19930</f>
        <v>19930.0</v>
      </c>
      <c r="R44" s="34" t="s">
        <v>51</v>
      </c>
      <c r="S44" s="35" t="n">
        <f>19480.63</f>
        <v>19480.63</v>
      </c>
      <c r="T44" s="32" t="n">
        <f>985</f>
        <v>985.0</v>
      </c>
      <c r="U44" s="32" t="str">
        <f>"－"</f>
        <v>－</v>
      </c>
      <c r="V44" s="32" t="n">
        <f>19164340</f>
        <v>1.916434E7</v>
      </c>
      <c r="W44" s="32" t="str">
        <f>"－"</f>
        <v>－</v>
      </c>
      <c r="X44" s="36" t="n">
        <f>16</f>
        <v>16.0</v>
      </c>
    </row>
    <row r="45">
      <c r="A45" s="27" t="s">
        <v>42</v>
      </c>
      <c r="B45" s="27" t="s">
        <v>176</v>
      </c>
      <c r="C45" s="27" t="s">
        <v>177</v>
      </c>
      <c r="D45" s="27" t="s">
        <v>178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16850</f>
        <v>16850.0</v>
      </c>
      <c r="L45" s="34" t="s">
        <v>49</v>
      </c>
      <c r="M45" s="33" t="n">
        <f>17160</f>
        <v>17160.0</v>
      </c>
      <c r="N45" s="34" t="s">
        <v>179</v>
      </c>
      <c r="O45" s="33" t="n">
        <f>16560</f>
        <v>16560.0</v>
      </c>
      <c r="P45" s="34" t="s">
        <v>180</v>
      </c>
      <c r="Q45" s="33" t="n">
        <f>17120</f>
        <v>17120.0</v>
      </c>
      <c r="R45" s="34" t="s">
        <v>51</v>
      </c>
      <c r="S45" s="35" t="n">
        <f>16911.67</f>
        <v>16911.67</v>
      </c>
      <c r="T45" s="32" t="n">
        <f>75</f>
        <v>75.0</v>
      </c>
      <c r="U45" s="32" t="n">
        <f>1</f>
        <v>1.0</v>
      </c>
      <c r="V45" s="32" t="n">
        <f>1267550</f>
        <v>1267550.0</v>
      </c>
      <c r="W45" s="32" t="n">
        <f>17140</f>
        <v>17140.0</v>
      </c>
      <c r="X45" s="36" t="n">
        <f>6</f>
        <v>6.0</v>
      </c>
    </row>
    <row r="46">
      <c r="A46" s="27" t="s">
        <v>42</v>
      </c>
      <c r="B46" s="27" t="s">
        <v>181</v>
      </c>
      <c r="C46" s="27" t="s">
        <v>182</v>
      </c>
      <c r="D46" s="27" t="s">
        <v>183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10000</f>
        <v>10000.0</v>
      </c>
      <c r="L46" s="34" t="s">
        <v>48</v>
      </c>
      <c r="M46" s="33" t="n">
        <f>10200</f>
        <v>10200.0</v>
      </c>
      <c r="N46" s="34" t="s">
        <v>61</v>
      </c>
      <c r="O46" s="33" t="n">
        <f>9760</f>
        <v>9760.0</v>
      </c>
      <c r="P46" s="34" t="s">
        <v>50</v>
      </c>
      <c r="Q46" s="33" t="n">
        <f>10000</f>
        <v>10000.0</v>
      </c>
      <c r="R46" s="34" t="s">
        <v>51</v>
      </c>
      <c r="S46" s="35" t="n">
        <f>9953.33</f>
        <v>9953.33</v>
      </c>
      <c r="T46" s="32" t="n">
        <f>2066</f>
        <v>2066.0</v>
      </c>
      <c r="U46" s="32" t="n">
        <f>1</f>
        <v>1.0</v>
      </c>
      <c r="V46" s="32" t="n">
        <f>20596700</f>
        <v>2.05967E7</v>
      </c>
      <c r="W46" s="32" t="n">
        <f>9970</f>
        <v>9970.0</v>
      </c>
      <c r="X46" s="36" t="n">
        <f>21</f>
        <v>21.0</v>
      </c>
    </row>
    <row r="47">
      <c r="A47" s="27" t="s">
        <v>42</v>
      </c>
      <c r="B47" s="27" t="s">
        <v>184</v>
      </c>
      <c r="C47" s="27" t="s">
        <v>185</v>
      </c>
      <c r="D47" s="27" t="s">
        <v>186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6170</f>
        <v>6170.0</v>
      </c>
      <c r="L47" s="34" t="s">
        <v>48</v>
      </c>
      <c r="M47" s="33" t="n">
        <f>6220</f>
        <v>6220.0</v>
      </c>
      <c r="N47" s="34" t="s">
        <v>187</v>
      </c>
      <c r="O47" s="33" t="n">
        <f>5170</f>
        <v>5170.0</v>
      </c>
      <c r="P47" s="34" t="s">
        <v>68</v>
      </c>
      <c r="Q47" s="33" t="n">
        <f>5410</f>
        <v>5410.0</v>
      </c>
      <c r="R47" s="34" t="s">
        <v>51</v>
      </c>
      <c r="S47" s="35" t="n">
        <f>5534.29</f>
        <v>5534.29</v>
      </c>
      <c r="T47" s="32" t="n">
        <f>6249</f>
        <v>6249.0</v>
      </c>
      <c r="U47" s="32" t="str">
        <f>"－"</f>
        <v>－</v>
      </c>
      <c r="V47" s="32" t="n">
        <f>34628150</f>
        <v>3.462815E7</v>
      </c>
      <c r="W47" s="32" t="str">
        <f>"－"</f>
        <v>－</v>
      </c>
      <c r="X47" s="36" t="n">
        <f>21</f>
        <v>21.0</v>
      </c>
    </row>
    <row r="48">
      <c r="A48" s="27" t="s">
        <v>42</v>
      </c>
      <c r="B48" s="27" t="s">
        <v>188</v>
      </c>
      <c r="C48" s="27" t="s">
        <v>189</v>
      </c>
      <c r="D48" s="27" t="s">
        <v>190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2853</f>
        <v>2853.0</v>
      </c>
      <c r="L48" s="34" t="s">
        <v>48</v>
      </c>
      <c r="M48" s="33" t="n">
        <f>2891</f>
        <v>2891.0</v>
      </c>
      <c r="N48" s="34" t="s">
        <v>68</v>
      </c>
      <c r="O48" s="33" t="n">
        <f>2819</f>
        <v>2819.0</v>
      </c>
      <c r="P48" s="34" t="s">
        <v>97</v>
      </c>
      <c r="Q48" s="33" t="n">
        <f>2880</f>
        <v>2880.0</v>
      </c>
      <c r="R48" s="34" t="s">
        <v>51</v>
      </c>
      <c r="S48" s="35" t="n">
        <f>2851.62</f>
        <v>2851.62</v>
      </c>
      <c r="T48" s="32" t="n">
        <f>1999</f>
        <v>1999.0</v>
      </c>
      <c r="U48" s="32" t="str">
        <f>"－"</f>
        <v>－</v>
      </c>
      <c r="V48" s="32" t="n">
        <f>5703380</f>
        <v>5703380.0</v>
      </c>
      <c r="W48" s="32" t="str">
        <f>"－"</f>
        <v>－</v>
      </c>
      <c r="X48" s="36" t="n">
        <f>21</f>
        <v>21.0</v>
      </c>
    </row>
    <row r="49">
      <c r="A49" s="27" t="s">
        <v>42</v>
      </c>
      <c r="B49" s="27" t="s">
        <v>191</v>
      </c>
      <c r="C49" s="27" t="s">
        <v>192</v>
      </c>
      <c r="D49" s="27" t="s">
        <v>193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2670</f>
        <v>2670.0</v>
      </c>
      <c r="L49" s="34" t="s">
        <v>48</v>
      </c>
      <c r="M49" s="33" t="n">
        <f>2741</f>
        <v>2741.0</v>
      </c>
      <c r="N49" s="34" t="s">
        <v>150</v>
      </c>
      <c r="O49" s="33" t="n">
        <f>2610</f>
        <v>2610.0</v>
      </c>
      <c r="P49" s="34" t="s">
        <v>50</v>
      </c>
      <c r="Q49" s="33" t="n">
        <f>2654</f>
        <v>2654.0</v>
      </c>
      <c r="R49" s="34" t="s">
        <v>51</v>
      </c>
      <c r="S49" s="35" t="n">
        <f>2667</f>
        <v>2667.0</v>
      </c>
      <c r="T49" s="32" t="n">
        <f>3644</f>
        <v>3644.0</v>
      </c>
      <c r="U49" s="32" t="str">
        <f>"－"</f>
        <v>－</v>
      </c>
      <c r="V49" s="32" t="n">
        <f>9723066</f>
        <v>9723066.0</v>
      </c>
      <c r="W49" s="32" t="str">
        <f>"－"</f>
        <v>－</v>
      </c>
      <c r="X49" s="36" t="n">
        <f>21</f>
        <v>21.0</v>
      </c>
    </row>
    <row r="50">
      <c r="A50" s="27" t="s">
        <v>42</v>
      </c>
      <c r="B50" s="27" t="s">
        <v>194</v>
      </c>
      <c r="C50" s="27" t="s">
        <v>195</v>
      </c>
      <c r="D50" s="27" t="s">
        <v>196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48100</f>
        <v>48100.0</v>
      </c>
      <c r="L50" s="34" t="s">
        <v>48</v>
      </c>
      <c r="M50" s="33" t="n">
        <f>49550</f>
        <v>49550.0</v>
      </c>
      <c r="N50" s="34" t="s">
        <v>51</v>
      </c>
      <c r="O50" s="33" t="n">
        <f>47300</f>
        <v>47300.0</v>
      </c>
      <c r="P50" s="34" t="s">
        <v>187</v>
      </c>
      <c r="Q50" s="33" t="n">
        <f>49550</f>
        <v>49550.0</v>
      </c>
      <c r="R50" s="34" t="s">
        <v>51</v>
      </c>
      <c r="S50" s="35" t="n">
        <f>48855</f>
        <v>48855.0</v>
      </c>
      <c r="T50" s="32" t="n">
        <f>1277</f>
        <v>1277.0</v>
      </c>
      <c r="U50" s="32" t="n">
        <f>1</f>
        <v>1.0</v>
      </c>
      <c r="V50" s="32" t="n">
        <f>62267800</f>
        <v>6.22678E7</v>
      </c>
      <c r="W50" s="32" t="n">
        <f>49350</f>
        <v>49350.0</v>
      </c>
      <c r="X50" s="36" t="n">
        <f>20</f>
        <v>20.0</v>
      </c>
    </row>
    <row r="51">
      <c r="A51" s="27" t="s">
        <v>42</v>
      </c>
      <c r="B51" s="27" t="s">
        <v>197</v>
      </c>
      <c r="C51" s="27" t="s">
        <v>198</v>
      </c>
      <c r="D51" s="27" t="s">
        <v>199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33800</f>
        <v>33800.0</v>
      </c>
      <c r="L51" s="34" t="s">
        <v>97</v>
      </c>
      <c r="M51" s="33" t="n">
        <f>35200</f>
        <v>35200.0</v>
      </c>
      <c r="N51" s="34" t="s">
        <v>73</v>
      </c>
      <c r="O51" s="33" t="n">
        <f>33800</f>
        <v>33800.0</v>
      </c>
      <c r="P51" s="34" t="s">
        <v>97</v>
      </c>
      <c r="Q51" s="33" t="n">
        <f>34850</f>
        <v>34850.0</v>
      </c>
      <c r="R51" s="34" t="s">
        <v>51</v>
      </c>
      <c r="S51" s="35" t="n">
        <f>34646.88</f>
        <v>34646.88</v>
      </c>
      <c r="T51" s="32" t="n">
        <f>245</f>
        <v>245.0</v>
      </c>
      <c r="U51" s="32" t="str">
        <f>"－"</f>
        <v>－</v>
      </c>
      <c r="V51" s="32" t="n">
        <f>8516300</f>
        <v>8516300.0</v>
      </c>
      <c r="W51" s="32" t="str">
        <f>"－"</f>
        <v>－</v>
      </c>
      <c r="X51" s="36" t="n">
        <f>16</f>
        <v>16.0</v>
      </c>
    </row>
    <row r="52">
      <c r="A52" s="27" t="s">
        <v>42</v>
      </c>
      <c r="B52" s="27" t="s">
        <v>200</v>
      </c>
      <c r="C52" s="27" t="s">
        <v>201</v>
      </c>
      <c r="D52" s="27" t="s">
        <v>202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27840</f>
        <v>27840.0</v>
      </c>
      <c r="L52" s="34" t="s">
        <v>48</v>
      </c>
      <c r="M52" s="33" t="n">
        <f>28450</f>
        <v>28450.0</v>
      </c>
      <c r="N52" s="34" t="s">
        <v>49</v>
      </c>
      <c r="O52" s="33" t="n">
        <f>27250</f>
        <v>27250.0</v>
      </c>
      <c r="P52" s="34" t="s">
        <v>50</v>
      </c>
      <c r="Q52" s="33" t="n">
        <f>28380</f>
        <v>28380.0</v>
      </c>
      <c r="R52" s="34" t="s">
        <v>51</v>
      </c>
      <c r="S52" s="35" t="n">
        <f>27942.11</f>
        <v>27942.11</v>
      </c>
      <c r="T52" s="32" t="n">
        <f>47625</f>
        <v>47625.0</v>
      </c>
      <c r="U52" s="32" t="n">
        <f>34005</f>
        <v>34005.0</v>
      </c>
      <c r="V52" s="32" t="n">
        <f>1326805551</f>
        <v>1.326805551E9</v>
      </c>
      <c r="W52" s="32" t="n">
        <f>947348781</f>
        <v>9.47348781E8</v>
      </c>
      <c r="X52" s="36" t="n">
        <f>19</f>
        <v>19.0</v>
      </c>
    </row>
    <row r="53">
      <c r="A53" s="27" t="s">
        <v>42</v>
      </c>
      <c r="B53" s="27" t="s">
        <v>203</v>
      </c>
      <c r="C53" s="27" t="s">
        <v>204</v>
      </c>
      <c r="D53" s="27" t="s">
        <v>205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10.0</v>
      </c>
      <c r="K53" s="33" t="n">
        <f>2217</f>
        <v>2217.0</v>
      </c>
      <c r="L53" s="34" t="s">
        <v>48</v>
      </c>
      <c r="M53" s="33" t="n">
        <f>2249</f>
        <v>2249.0</v>
      </c>
      <c r="N53" s="34" t="s">
        <v>51</v>
      </c>
      <c r="O53" s="33" t="n">
        <f>2127</f>
        <v>2127.0</v>
      </c>
      <c r="P53" s="34" t="s">
        <v>117</v>
      </c>
      <c r="Q53" s="33" t="n">
        <f>2210</f>
        <v>2210.0</v>
      </c>
      <c r="R53" s="34" t="s">
        <v>51</v>
      </c>
      <c r="S53" s="35" t="n">
        <f>2188</f>
        <v>2188.0</v>
      </c>
      <c r="T53" s="32" t="n">
        <f>387680</f>
        <v>387680.0</v>
      </c>
      <c r="U53" s="32" t="n">
        <f>192170</f>
        <v>192170.0</v>
      </c>
      <c r="V53" s="32" t="n">
        <f>847652093</f>
        <v>8.47652093E8</v>
      </c>
      <c r="W53" s="32" t="n">
        <f>422683453</f>
        <v>4.22683453E8</v>
      </c>
      <c r="X53" s="36" t="n">
        <f>21</f>
        <v>21.0</v>
      </c>
    </row>
    <row r="54">
      <c r="A54" s="27" t="s">
        <v>42</v>
      </c>
      <c r="B54" s="27" t="s">
        <v>206</v>
      </c>
      <c r="C54" s="27" t="s">
        <v>207</v>
      </c>
      <c r="D54" s="27" t="s">
        <v>208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10.0</v>
      </c>
      <c r="K54" s="33" t="n">
        <f>1533</f>
        <v>1533.0</v>
      </c>
      <c r="L54" s="34" t="s">
        <v>48</v>
      </c>
      <c r="M54" s="33" t="n">
        <f>1561</f>
        <v>1561.0</v>
      </c>
      <c r="N54" s="34" t="s">
        <v>49</v>
      </c>
      <c r="O54" s="33" t="n">
        <f>1511</f>
        <v>1511.0</v>
      </c>
      <c r="P54" s="34" t="s">
        <v>50</v>
      </c>
      <c r="Q54" s="33" t="n">
        <f>1543</f>
        <v>1543.0</v>
      </c>
      <c r="R54" s="34" t="s">
        <v>51</v>
      </c>
      <c r="S54" s="35" t="n">
        <f>1536.27</f>
        <v>1536.27</v>
      </c>
      <c r="T54" s="32" t="n">
        <f>2110</f>
        <v>2110.0</v>
      </c>
      <c r="U54" s="32" t="n">
        <f>10</f>
        <v>10.0</v>
      </c>
      <c r="V54" s="32" t="n">
        <f>3239390</f>
        <v>3239390.0</v>
      </c>
      <c r="W54" s="32" t="n">
        <f>15310</f>
        <v>15310.0</v>
      </c>
      <c r="X54" s="36" t="n">
        <f>15</f>
        <v>15.0</v>
      </c>
    </row>
    <row r="55">
      <c r="A55" s="27" t="s">
        <v>42</v>
      </c>
      <c r="B55" s="27" t="s">
        <v>209</v>
      </c>
      <c r="C55" s="27" t="s">
        <v>210</v>
      </c>
      <c r="D55" s="27" t="s">
        <v>211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4545</f>
        <v>4545.0</v>
      </c>
      <c r="L55" s="34" t="s">
        <v>48</v>
      </c>
      <c r="M55" s="33" t="n">
        <f>4635</f>
        <v>4635.0</v>
      </c>
      <c r="N55" s="34" t="s">
        <v>50</v>
      </c>
      <c r="O55" s="33" t="n">
        <f>4420</f>
        <v>4420.0</v>
      </c>
      <c r="P55" s="34" t="s">
        <v>49</v>
      </c>
      <c r="Q55" s="33" t="n">
        <f>4435</f>
        <v>4435.0</v>
      </c>
      <c r="R55" s="34" t="s">
        <v>51</v>
      </c>
      <c r="S55" s="35" t="n">
        <f>4512.62</f>
        <v>4512.62</v>
      </c>
      <c r="T55" s="32" t="n">
        <f>423394</f>
        <v>423394.0</v>
      </c>
      <c r="U55" s="32" t="str">
        <f>"－"</f>
        <v>－</v>
      </c>
      <c r="V55" s="32" t="n">
        <f>1914825725</f>
        <v>1.914825725E9</v>
      </c>
      <c r="W55" s="32" t="str">
        <f>"－"</f>
        <v>－</v>
      </c>
      <c r="X55" s="36" t="n">
        <f>21</f>
        <v>21.0</v>
      </c>
    </row>
    <row r="56">
      <c r="A56" s="27" t="s">
        <v>42</v>
      </c>
      <c r="B56" s="27" t="s">
        <v>212</v>
      </c>
      <c r="C56" s="27" t="s">
        <v>213</v>
      </c>
      <c r="D56" s="27" t="s">
        <v>214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5390</f>
        <v>5390.0</v>
      </c>
      <c r="L56" s="34" t="s">
        <v>48</v>
      </c>
      <c r="M56" s="33" t="n">
        <f>5490</f>
        <v>5490.0</v>
      </c>
      <c r="N56" s="34" t="s">
        <v>50</v>
      </c>
      <c r="O56" s="33" t="n">
        <f>5240</f>
        <v>5240.0</v>
      </c>
      <c r="P56" s="34" t="s">
        <v>49</v>
      </c>
      <c r="Q56" s="33" t="n">
        <f>5250</f>
        <v>5250.0</v>
      </c>
      <c r="R56" s="34" t="s">
        <v>51</v>
      </c>
      <c r="S56" s="35" t="n">
        <f>5344.76</f>
        <v>5344.76</v>
      </c>
      <c r="T56" s="32" t="n">
        <f>202870</f>
        <v>202870.0</v>
      </c>
      <c r="U56" s="32" t="str">
        <f>"－"</f>
        <v>－</v>
      </c>
      <c r="V56" s="32" t="n">
        <f>1082764670</f>
        <v>1.08276467E9</v>
      </c>
      <c r="W56" s="32" t="str">
        <f>"－"</f>
        <v>－</v>
      </c>
      <c r="X56" s="36" t="n">
        <f>21</f>
        <v>21.0</v>
      </c>
    </row>
    <row r="57">
      <c r="A57" s="27" t="s">
        <v>42</v>
      </c>
      <c r="B57" s="27" t="s">
        <v>215</v>
      </c>
      <c r="C57" s="27" t="s">
        <v>216</v>
      </c>
      <c r="D57" s="27" t="s">
        <v>217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16790</f>
        <v>16790.0</v>
      </c>
      <c r="L57" s="34" t="s">
        <v>48</v>
      </c>
      <c r="M57" s="33" t="n">
        <f>17700</f>
        <v>17700.0</v>
      </c>
      <c r="N57" s="34" t="s">
        <v>49</v>
      </c>
      <c r="O57" s="33" t="n">
        <f>16060</f>
        <v>16060.0</v>
      </c>
      <c r="P57" s="34" t="s">
        <v>50</v>
      </c>
      <c r="Q57" s="33" t="n">
        <f>17480</f>
        <v>17480.0</v>
      </c>
      <c r="R57" s="34" t="s">
        <v>51</v>
      </c>
      <c r="S57" s="35" t="n">
        <f>16966.67</f>
        <v>16966.67</v>
      </c>
      <c r="T57" s="32" t="n">
        <f>18820910</f>
        <v>1.882091E7</v>
      </c>
      <c r="U57" s="32" t="n">
        <f>21</f>
        <v>21.0</v>
      </c>
      <c r="V57" s="32" t="n">
        <f>318316555900</f>
        <v>3.183165559E11</v>
      </c>
      <c r="W57" s="32" t="n">
        <f>342680</f>
        <v>342680.0</v>
      </c>
      <c r="X57" s="36" t="n">
        <f>21</f>
        <v>21.0</v>
      </c>
    </row>
    <row r="58">
      <c r="A58" s="27" t="s">
        <v>42</v>
      </c>
      <c r="B58" s="27" t="s">
        <v>218</v>
      </c>
      <c r="C58" s="27" t="s">
        <v>219</v>
      </c>
      <c r="D58" s="27" t="s">
        <v>220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1801</f>
        <v>1801.0</v>
      </c>
      <c r="L58" s="34" t="s">
        <v>48</v>
      </c>
      <c r="M58" s="33" t="n">
        <f>1873</f>
        <v>1873.0</v>
      </c>
      <c r="N58" s="34" t="s">
        <v>50</v>
      </c>
      <c r="O58" s="33" t="n">
        <f>1706</f>
        <v>1706.0</v>
      </c>
      <c r="P58" s="34" t="s">
        <v>49</v>
      </c>
      <c r="Q58" s="33" t="n">
        <f>1718</f>
        <v>1718.0</v>
      </c>
      <c r="R58" s="34" t="s">
        <v>51</v>
      </c>
      <c r="S58" s="35" t="n">
        <f>1776.76</f>
        <v>1776.76</v>
      </c>
      <c r="T58" s="32" t="n">
        <f>148747214</f>
        <v>1.48747214E8</v>
      </c>
      <c r="U58" s="32" t="n">
        <f>379</f>
        <v>379.0</v>
      </c>
      <c r="V58" s="32" t="n">
        <f>264183855143</f>
        <v>2.64183855143E11</v>
      </c>
      <c r="W58" s="32" t="n">
        <f>645872</f>
        <v>645872.0</v>
      </c>
      <c r="X58" s="36" t="n">
        <f>21</f>
        <v>21.0</v>
      </c>
    </row>
    <row r="59">
      <c r="A59" s="27" t="s">
        <v>42</v>
      </c>
      <c r="B59" s="27" t="s">
        <v>221</v>
      </c>
      <c r="C59" s="27" t="s">
        <v>222</v>
      </c>
      <c r="D59" s="27" t="s">
        <v>223</v>
      </c>
      <c r="E59" s="28" t="s">
        <v>46</v>
      </c>
      <c r="F59" s="29" t="s">
        <v>46</v>
      </c>
      <c r="G59" s="30" t="s">
        <v>46</v>
      </c>
      <c r="H59" s="31" t="s">
        <v>121</v>
      </c>
      <c r="I59" s="31" t="s">
        <v>47</v>
      </c>
      <c r="J59" s="32" t="n">
        <v>1.0</v>
      </c>
      <c r="K59" s="33" t="n">
        <f>23810</f>
        <v>23810.0</v>
      </c>
      <c r="L59" s="34" t="s">
        <v>72</v>
      </c>
      <c r="M59" s="33" t="n">
        <f>24960</f>
        <v>24960.0</v>
      </c>
      <c r="N59" s="34" t="s">
        <v>61</v>
      </c>
      <c r="O59" s="33" t="n">
        <f>23550</f>
        <v>23550.0</v>
      </c>
      <c r="P59" s="34" t="s">
        <v>72</v>
      </c>
      <c r="Q59" s="33" t="n">
        <f>24480</f>
        <v>24480.0</v>
      </c>
      <c r="R59" s="34" t="s">
        <v>51</v>
      </c>
      <c r="S59" s="35" t="n">
        <f>24356.92</f>
        <v>24356.92</v>
      </c>
      <c r="T59" s="32" t="n">
        <f>116</f>
        <v>116.0</v>
      </c>
      <c r="U59" s="32" t="n">
        <f>1</f>
        <v>1.0</v>
      </c>
      <c r="V59" s="32" t="n">
        <f>2818460</f>
        <v>2818460.0</v>
      </c>
      <c r="W59" s="32" t="n">
        <f>24960</f>
        <v>24960.0</v>
      </c>
      <c r="X59" s="36" t="n">
        <f>13</f>
        <v>13.0</v>
      </c>
    </row>
    <row r="60">
      <c r="A60" s="27" t="s">
        <v>42</v>
      </c>
      <c r="B60" s="27" t="s">
        <v>224</v>
      </c>
      <c r="C60" s="27" t="s">
        <v>225</v>
      </c>
      <c r="D60" s="27" t="s">
        <v>226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14200</f>
        <v>14200.0</v>
      </c>
      <c r="L60" s="34" t="s">
        <v>48</v>
      </c>
      <c r="M60" s="33" t="n">
        <f>15020</f>
        <v>15020.0</v>
      </c>
      <c r="N60" s="34" t="s">
        <v>49</v>
      </c>
      <c r="O60" s="33" t="n">
        <f>13780</f>
        <v>13780.0</v>
      </c>
      <c r="P60" s="34" t="s">
        <v>50</v>
      </c>
      <c r="Q60" s="33" t="n">
        <f>14780</f>
        <v>14780.0</v>
      </c>
      <c r="R60" s="34" t="s">
        <v>51</v>
      </c>
      <c r="S60" s="35" t="n">
        <f>14448.57</f>
        <v>14448.57</v>
      </c>
      <c r="T60" s="32" t="n">
        <f>7202</f>
        <v>7202.0</v>
      </c>
      <c r="U60" s="32" t="str">
        <f>"－"</f>
        <v>－</v>
      </c>
      <c r="V60" s="32" t="n">
        <f>104094570</f>
        <v>1.0409457E8</v>
      </c>
      <c r="W60" s="32" t="str">
        <f>"－"</f>
        <v>－</v>
      </c>
      <c r="X60" s="36" t="n">
        <f>21</f>
        <v>21.0</v>
      </c>
    </row>
    <row r="61">
      <c r="A61" s="27" t="s">
        <v>42</v>
      </c>
      <c r="B61" s="27" t="s">
        <v>227</v>
      </c>
      <c r="C61" s="27" t="s">
        <v>228</v>
      </c>
      <c r="D61" s="27" t="s">
        <v>229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5200</f>
        <v>5200.0</v>
      </c>
      <c r="L61" s="34" t="s">
        <v>187</v>
      </c>
      <c r="M61" s="33" t="n">
        <f>5240</f>
        <v>5240.0</v>
      </c>
      <c r="N61" s="34" t="s">
        <v>73</v>
      </c>
      <c r="O61" s="33" t="n">
        <f>5080</f>
        <v>5080.0</v>
      </c>
      <c r="P61" s="34" t="s">
        <v>51</v>
      </c>
      <c r="Q61" s="33" t="n">
        <f>5090</f>
        <v>5090.0</v>
      </c>
      <c r="R61" s="34" t="s">
        <v>51</v>
      </c>
      <c r="S61" s="35" t="n">
        <f>5188.33</f>
        <v>5188.33</v>
      </c>
      <c r="T61" s="32" t="n">
        <f>657</f>
        <v>657.0</v>
      </c>
      <c r="U61" s="32" t="str">
        <f>"－"</f>
        <v>－</v>
      </c>
      <c r="V61" s="32" t="n">
        <f>3349360</f>
        <v>3349360.0</v>
      </c>
      <c r="W61" s="32" t="str">
        <f>"－"</f>
        <v>－</v>
      </c>
      <c r="X61" s="36" t="n">
        <f>6</f>
        <v>6.0</v>
      </c>
    </row>
    <row r="62">
      <c r="A62" s="27" t="s">
        <v>42</v>
      </c>
      <c r="B62" s="27" t="s">
        <v>230</v>
      </c>
      <c r="C62" s="27" t="s">
        <v>231</v>
      </c>
      <c r="D62" s="27" t="s">
        <v>232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2227</f>
        <v>2227.0</v>
      </c>
      <c r="L62" s="34" t="s">
        <v>48</v>
      </c>
      <c r="M62" s="33" t="n">
        <f>2290</f>
        <v>2290.0</v>
      </c>
      <c r="N62" s="34" t="s">
        <v>50</v>
      </c>
      <c r="O62" s="33" t="n">
        <f>2091</f>
        <v>2091.0</v>
      </c>
      <c r="P62" s="34" t="s">
        <v>51</v>
      </c>
      <c r="Q62" s="33" t="n">
        <f>2111</f>
        <v>2111.0</v>
      </c>
      <c r="R62" s="34" t="s">
        <v>51</v>
      </c>
      <c r="S62" s="35" t="n">
        <f>2183.48</f>
        <v>2183.48</v>
      </c>
      <c r="T62" s="32" t="n">
        <f>28379</f>
        <v>28379.0</v>
      </c>
      <c r="U62" s="32" t="str">
        <f>"－"</f>
        <v>－</v>
      </c>
      <c r="V62" s="32" t="n">
        <f>61797988</f>
        <v>6.1797988E7</v>
      </c>
      <c r="W62" s="32" t="str">
        <f>"－"</f>
        <v>－</v>
      </c>
      <c r="X62" s="36" t="n">
        <f>21</f>
        <v>21.0</v>
      </c>
    </row>
    <row r="63">
      <c r="A63" s="27" t="s">
        <v>42</v>
      </c>
      <c r="B63" s="27" t="s">
        <v>233</v>
      </c>
      <c r="C63" s="27" t="s">
        <v>234</v>
      </c>
      <c r="D63" s="27" t="s">
        <v>235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10.0</v>
      </c>
      <c r="K63" s="33" t="n">
        <f>13390</f>
        <v>13390.0</v>
      </c>
      <c r="L63" s="34" t="s">
        <v>48</v>
      </c>
      <c r="M63" s="33" t="n">
        <f>14000</f>
        <v>14000.0</v>
      </c>
      <c r="N63" s="34" t="s">
        <v>49</v>
      </c>
      <c r="O63" s="33" t="n">
        <f>12790</f>
        <v>12790.0</v>
      </c>
      <c r="P63" s="34" t="s">
        <v>50</v>
      </c>
      <c r="Q63" s="33" t="n">
        <f>13820</f>
        <v>13820.0</v>
      </c>
      <c r="R63" s="34" t="s">
        <v>51</v>
      </c>
      <c r="S63" s="35" t="n">
        <f>13528.1</f>
        <v>13528.1</v>
      </c>
      <c r="T63" s="32" t="n">
        <f>2480</f>
        <v>2480.0</v>
      </c>
      <c r="U63" s="32" t="n">
        <f>10</f>
        <v>10.0</v>
      </c>
      <c r="V63" s="32" t="n">
        <f>33645500</f>
        <v>3.36455E7</v>
      </c>
      <c r="W63" s="32" t="n">
        <f>136100</f>
        <v>136100.0</v>
      </c>
      <c r="X63" s="36" t="n">
        <f>21</f>
        <v>21.0</v>
      </c>
    </row>
    <row r="64">
      <c r="A64" s="27" t="s">
        <v>42</v>
      </c>
      <c r="B64" s="27" t="s">
        <v>236</v>
      </c>
      <c r="C64" s="27" t="s">
        <v>237</v>
      </c>
      <c r="D64" s="27" t="s">
        <v>238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10.0</v>
      </c>
      <c r="K64" s="33" t="n">
        <f>5040</f>
        <v>5040.0</v>
      </c>
      <c r="L64" s="34" t="s">
        <v>101</v>
      </c>
      <c r="M64" s="33" t="n">
        <f>5090</f>
        <v>5090.0</v>
      </c>
      <c r="N64" s="34" t="s">
        <v>50</v>
      </c>
      <c r="O64" s="33" t="n">
        <f>4925</f>
        <v>4925.0</v>
      </c>
      <c r="P64" s="34" t="s">
        <v>49</v>
      </c>
      <c r="Q64" s="33" t="n">
        <f>4970</f>
        <v>4970.0</v>
      </c>
      <c r="R64" s="34" t="s">
        <v>117</v>
      </c>
      <c r="S64" s="35" t="n">
        <f>5009.29</f>
        <v>5009.29</v>
      </c>
      <c r="T64" s="32" t="n">
        <f>280</f>
        <v>280.0</v>
      </c>
      <c r="U64" s="32" t="str">
        <f>"－"</f>
        <v>－</v>
      </c>
      <c r="V64" s="32" t="n">
        <f>1400750</f>
        <v>1400750.0</v>
      </c>
      <c r="W64" s="32" t="str">
        <f>"－"</f>
        <v>－</v>
      </c>
      <c r="X64" s="36" t="n">
        <f>7</f>
        <v>7.0</v>
      </c>
    </row>
    <row r="65">
      <c r="A65" s="27" t="s">
        <v>42</v>
      </c>
      <c r="B65" s="27" t="s">
        <v>239</v>
      </c>
      <c r="C65" s="27" t="s">
        <v>240</v>
      </c>
      <c r="D65" s="27" t="s">
        <v>241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10.0</v>
      </c>
      <c r="K65" s="33" t="n">
        <f>2210</f>
        <v>2210.0</v>
      </c>
      <c r="L65" s="34" t="s">
        <v>48</v>
      </c>
      <c r="M65" s="33" t="n">
        <f>2273</f>
        <v>2273.0</v>
      </c>
      <c r="N65" s="34" t="s">
        <v>134</v>
      </c>
      <c r="O65" s="33" t="n">
        <f>2075</f>
        <v>2075.0</v>
      </c>
      <c r="P65" s="34" t="s">
        <v>51</v>
      </c>
      <c r="Q65" s="33" t="n">
        <f>2075</f>
        <v>2075.0</v>
      </c>
      <c r="R65" s="34" t="s">
        <v>51</v>
      </c>
      <c r="S65" s="35" t="n">
        <f>2155.33</f>
        <v>2155.33</v>
      </c>
      <c r="T65" s="32" t="n">
        <f>65380</f>
        <v>65380.0</v>
      </c>
      <c r="U65" s="32" t="str">
        <f>"－"</f>
        <v>－</v>
      </c>
      <c r="V65" s="32" t="n">
        <f>142744530</f>
        <v>1.4274453E8</v>
      </c>
      <c r="W65" s="32" t="str">
        <f>"－"</f>
        <v>－</v>
      </c>
      <c r="X65" s="36" t="n">
        <f>21</f>
        <v>21.0</v>
      </c>
    </row>
    <row r="66">
      <c r="A66" s="27" t="s">
        <v>42</v>
      </c>
      <c r="B66" s="27" t="s">
        <v>242</v>
      </c>
      <c r="C66" s="27" t="s">
        <v>243</v>
      </c>
      <c r="D66" s="27" t="s">
        <v>244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3445</f>
        <v>3445.0</v>
      </c>
      <c r="L66" s="34" t="s">
        <v>48</v>
      </c>
      <c r="M66" s="33" t="n">
        <f>3490</f>
        <v>3490.0</v>
      </c>
      <c r="N66" s="34" t="s">
        <v>68</v>
      </c>
      <c r="O66" s="33" t="n">
        <f>3305</f>
        <v>3305.0</v>
      </c>
      <c r="P66" s="34" t="s">
        <v>51</v>
      </c>
      <c r="Q66" s="33" t="n">
        <f>3305</f>
        <v>3305.0</v>
      </c>
      <c r="R66" s="34" t="s">
        <v>51</v>
      </c>
      <c r="S66" s="35" t="n">
        <f>3370.95</f>
        <v>3370.95</v>
      </c>
      <c r="T66" s="32" t="n">
        <f>2243</f>
        <v>2243.0</v>
      </c>
      <c r="U66" s="32" t="n">
        <f>1</f>
        <v>1.0</v>
      </c>
      <c r="V66" s="32" t="n">
        <f>7601035</f>
        <v>7601035.0</v>
      </c>
      <c r="W66" s="32" t="n">
        <f>3370</f>
        <v>3370.0</v>
      </c>
      <c r="X66" s="36" t="n">
        <f>21</f>
        <v>21.0</v>
      </c>
    </row>
    <row r="67">
      <c r="A67" s="27" t="s">
        <v>42</v>
      </c>
      <c r="B67" s="27" t="s">
        <v>245</v>
      </c>
      <c r="C67" s="27" t="s">
        <v>246</v>
      </c>
      <c r="D67" s="27" t="s">
        <v>247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896</f>
        <v>896.0</v>
      </c>
      <c r="L67" s="34" t="s">
        <v>48</v>
      </c>
      <c r="M67" s="33" t="n">
        <f>913</f>
        <v>913.0</v>
      </c>
      <c r="N67" s="34" t="s">
        <v>50</v>
      </c>
      <c r="O67" s="33" t="n">
        <f>837</f>
        <v>837.0</v>
      </c>
      <c r="P67" s="34" t="s">
        <v>51</v>
      </c>
      <c r="Q67" s="33" t="n">
        <f>845</f>
        <v>845.0</v>
      </c>
      <c r="R67" s="34" t="s">
        <v>51</v>
      </c>
      <c r="S67" s="35" t="n">
        <f>872.33</f>
        <v>872.33</v>
      </c>
      <c r="T67" s="32" t="n">
        <f>80843</f>
        <v>80843.0</v>
      </c>
      <c r="U67" s="32" t="n">
        <f>1</f>
        <v>1.0</v>
      </c>
      <c r="V67" s="32" t="n">
        <f>70028855</f>
        <v>7.0028855E7</v>
      </c>
      <c r="W67" s="32" t="n">
        <f>873</f>
        <v>873.0</v>
      </c>
      <c r="X67" s="36" t="n">
        <f>21</f>
        <v>21.0</v>
      </c>
    </row>
    <row r="68">
      <c r="A68" s="27" t="s">
        <v>42</v>
      </c>
      <c r="B68" s="27" t="s">
        <v>248</v>
      </c>
      <c r="C68" s="27" t="s">
        <v>249</v>
      </c>
      <c r="D68" s="27" t="s">
        <v>250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10.0</v>
      </c>
      <c r="K68" s="33" t="n">
        <f>1943</f>
        <v>1943.0</v>
      </c>
      <c r="L68" s="34" t="s">
        <v>48</v>
      </c>
      <c r="M68" s="33" t="n">
        <f>1995</f>
        <v>1995.0</v>
      </c>
      <c r="N68" s="34" t="s">
        <v>49</v>
      </c>
      <c r="O68" s="33" t="n">
        <f>1900</f>
        <v>1900.0</v>
      </c>
      <c r="P68" s="34" t="s">
        <v>50</v>
      </c>
      <c r="Q68" s="33" t="n">
        <f>1993</f>
        <v>1993.0</v>
      </c>
      <c r="R68" s="34" t="s">
        <v>51</v>
      </c>
      <c r="S68" s="35" t="n">
        <f>1955.76</f>
        <v>1955.76</v>
      </c>
      <c r="T68" s="32" t="n">
        <f>24208570</f>
        <v>2.420857E7</v>
      </c>
      <c r="U68" s="32" t="n">
        <f>23720110</f>
        <v>2.372011E7</v>
      </c>
      <c r="V68" s="32" t="n">
        <f>47085555835</f>
        <v>4.7085555835E10</v>
      </c>
      <c r="W68" s="32" t="n">
        <f>46140887305</f>
        <v>4.6140887305E10</v>
      </c>
      <c r="X68" s="36" t="n">
        <f>21</f>
        <v>21.0</v>
      </c>
    </row>
    <row r="69">
      <c r="A69" s="27" t="s">
        <v>42</v>
      </c>
      <c r="B69" s="27" t="s">
        <v>251</v>
      </c>
      <c r="C69" s="27" t="s">
        <v>252</v>
      </c>
      <c r="D69" s="27" t="s">
        <v>253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17370</f>
        <v>17370.0</v>
      </c>
      <c r="L69" s="34" t="s">
        <v>48</v>
      </c>
      <c r="M69" s="33" t="n">
        <f>17830</f>
        <v>17830.0</v>
      </c>
      <c r="N69" s="34" t="s">
        <v>51</v>
      </c>
      <c r="O69" s="33" t="n">
        <f>17070</f>
        <v>17070.0</v>
      </c>
      <c r="P69" s="34" t="s">
        <v>50</v>
      </c>
      <c r="Q69" s="33" t="n">
        <f>17830</f>
        <v>17830.0</v>
      </c>
      <c r="R69" s="34" t="s">
        <v>51</v>
      </c>
      <c r="S69" s="35" t="n">
        <f>17509.52</f>
        <v>17509.52</v>
      </c>
      <c r="T69" s="32" t="n">
        <f>22186</f>
        <v>22186.0</v>
      </c>
      <c r="U69" s="32" t="str">
        <f>"－"</f>
        <v>－</v>
      </c>
      <c r="V69" s="32" t="n">
        <f>387313160</f>
        <v>3.8731316E8</v>
      </c>
      <c r="W69" s="32" t="str">
        <f>"－"</f>
        <v>－</v>
      </c>
      <c r="X69" s="36" t="n">
        <f>21</f>
        <v>21.0</v>
      </c>
    </row>
    <row r="70">
      <c r="A70" s="27" t="s">
        <v>42</v>
      </c>
      <c r="B70" s="27" t="s">
        <v>254</v>
      </c>
      <c r="C70" s="27" t="s">
        <v>255</v>
      </c>
      <c r="D70" s="27" t="s">
        <v>256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1994</f>
        <v>1994.0</v>
      </c>
      <c r="L70" s="34" t="s">
        <v>48</v>
      </c>
      <c r="M70" s="33" t="n">
        <f>2006</f>
        <v>2006.0</v>
      </c>
      <c r="N70" s="34" t="s">
        <v>49</v>
      </c>
      <c r="O70" s="33" t="n">
        <f>1911</f>
        <v>1911.0</v>
      </c>
      <c r="P70" s="34" t="s">
        <v>50</v>
      </c>
      <c r="Q70" s="33" t="n">
        <f>1994</f>
        <v>1994.0</v>
      </c>
      <c r="R70" s="34" t="s">
        <v>51</v>
      </c>
      <c r="S70" s="35" t="n">
        <f>1968.76</f>
        <v>1968.76</v>
      </c>
      <c r="T70" s="32" t="n">
        <f>5993012</f>
        <v>5993012.0</v>
      </c>
      <c r="U70" s="32" t="n">
        <f>1450419</f>
        <v>1450419.0</v>
      </c>
      <c r="V70" s="32" t="n">
        <f>11796028089</f>
        <v>1.1796028089E10</v>
      </c>
      <c r="W70" s="32" t="n">
        <f>2849773025</f>
        <v>2.849773025E9</v>
      </c>
      <c r="X70" s="36" t="n">
        <f>21</f>
        <v>21.0</v>
      </c>
    </row>
    <row r="71">
      <c r="A71" s="27" t="s">
        <v>42</v>
      </c>
      <c r="B71" s="27" t="s">
        <v>257</v>
      </c>
      <c r="C71" s="27" t="s">
        <v>258</v>
      </c>
      <c r="D71" s="27" t="s">
        <v>259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2238</f>
        <v>2238.0</v>
      </c>
      <c r="L71" s="34" t="s">
        <v>48</v>
      </c>
      <c r="M71" s="33" t="n">
        <f>2245</f>
        <v>2245.0</v>
      </c>
      <c r="N71" s="34" t="s">
        <v>51</v>
      </c>
      <c r="O71" s="33" t="n">
        <f>2135</f>
        <v>2135.0</v>
      </c>
      <c r="P71" s="34" t="s">
        <v>117</v>
      </c>
      <c r="Q71" s="33" t="n">
        <f>2213</f>
        <v>2213.0</v>
      </c>
      <c r="R71" s="34" t="s">
        <v>51</v>
      </c>
      <c r="S71" s="35" t="n">
        <f>2197.14</f>
        <v>2197.14</v>
      </c>
      <c r="T71" s="32" t="n">
        <f>4634424</f>
        <v>4634424.0</v>
      </c>
      <c r="U71" s="32" t="n">
        <f>541671</f>
        <v>541671.0</v>
      </c>
      <c r="V71" s="32" t="n">
        <f>10202027603</f>
        <v>1.0202027603E10</v>
      </c>
      <c r="W71" s="32" t="n">
        <f>1183693441</f>
        <v>1.183693441E9</v>
      </c>
      <c r="X71" s="36" t="n">
        <f>21</f>
        <v>21.0</v>
      </c>
    </row>
    <row r="72">
      <c r="A72" s="27" t="s">
        <v>42</v>
      </c>
      <c r="B72" s="27" t="s">
        <v>260</v>
      </c>
      <c r="C72" s="27" t="s">
        <v>261</v>
      </c>
      <c r="D72" s="27" t="s">
        <v>262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1849</f>
        <v>1849.0</v>
      </c>
      <c r="L72" s="34" t="s">
        <v>48</v>
      </c>
      <c r="M72" s="33" t="n">
        <f>1886</f>
        <v>1886.0</v>
      </c>
      <c r="N72" s="34" t="s">
        <v>51</v>
      </c>
      <c r="O72" s="33" t="n">
        <f>1817</f>
        <v>1817.0</v>
      </c>
      <c r="P72" s="34" t="s">
        <v>89</v>
      </c>
      <c r="Q72" s="33" t="n">
        <f>1883</f>
        <v>1883.0</v>
      </c>
      <c r="R72" s="34" t="s">
        <v>51</v>
      </c>
      <c r="S72" s="35" t="n">
        <f>1852.76</f>
        <v>1852.76</v>
      </c>
      <c r="T72" s="32" t="n">
        <f>72436</f>
        <v>72436.0</v>
      </c>
      <c r="U72" s="32" t="n">
        <f>9236</f>
        <v>9236.0</v>
      </c>
      <c r="V72" s="32" t="n">
        <f>134377395</f>
        <v>1.34377395E8</v>
      </c>
      <c r="W72" s="32" t="n">
        <f>17357766</f>
        <v>1.7357766E7</v>
      </c>
      <c r="X72" s="36" t="n">
        <f>21</f>
        <v>21.0</v>
      </c>
    </row>
    <row r="73">
      <c r="A73" s="27" t="s">
        <v>42</v>
      </c>
      <c r="B73" s="27" t="s">
        <v>263</v>
      </c>
      <c r="C73" s="27" t="s">
        <v>264</v>
      </c>
      <c r="D73" s="27" t="s">
        <v>265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2134</f>
        <v>2134.0</v>
      </c>
      <c r="L73" s="34" t="s">
        <v>48</v>
      </c>
      <c r="M73" s="33" t="n">
        <f>2175</f>
        <v>2175.0</v>
      </c>
      <c r="N73" s="34" t="s">
        <v>187</v>
      </c>
      <c r="O73" s="33" t="n">
        <f>2065</f>
        <v>2065.0</v>
      </c>
      <c r="P73" s="34" t="s">
        <v>50</v>
      </c>
      <c r="Q73" s="33" t="n">
        <f>2108</f>
        <v>2108.0</v>
      </c>
      <c r="R73" s="34" t="s">
        <v>51</v>
      </c>
      <c r="S73" s="35" t="n">
        <f>2111</f>
        <v>2111.0</v>
      </c>
      <c r="T73" s="32" t="n">
        <f>232869</f>
        <v>232869.0</v>
      </c>
      <c r="U73" s="32" t="n">
        <f>71975</f>
        <v>71975.0</v>
      </c>
      <c r="V73" s="32" t="n">
        <f>494118779</f>
        <v>4.94118779E8</v>
      </c>
      <c r="W73" s="32" t="n">
        <f>153018619</f>
        <v>1.53018619E8</v>
      </c>
      <c r="X73" s="36" t="n">
        <f>21</f>
        <v>21.0</v>
      </c>
    </row>
    <row r="74">
      <c r="A74" s="27" t="s">
        <v>42</v>
      </c>
      <c r="B74" s="27" t="s">
        <v>266</v>
      </c>
      <c r="C74" s="27" t="s">
        <v>267</v>
      </c>
      <c r="D74" s="27" t="s">
        <v>268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23450</f>
        <v>23450.0</v>
      </c>
      <c r="L74" s="34" t="s">
        <v>48</v>
      </c>
      <c r="M74" s="33" t="n">
        <f>23930</f>
        <v>23930.0</v>
      </c>
      <c r="N74" s="34" t="s">
        <v>51</v>
      </c>
      <c r="O74" s="33" t="n">
        <f>23270</f>
        <v>23270.0</v>
      </c>
      <c r="P74" s="34" t="s">
        <v>172</v>
      </c>
      <c r="Q74" s="33" t="n">
        <f>23930</f>
        <v>23930.0</v>
      </c>
      <c r="R74" s="34" t="s">
        <v>51</v>
      </c>
      <c r="S74" s="35" t="n">
        <f>23568.75</f>
        <v>23568.75</v>
      </c>
      <c r="T74" s="32" t="n">
        <f>179</f>
        <v>179.0</v>
      </c>
      <c r="U74" s="32" t="str">
        <f>"－"</f>
        <v>－</v>
      </c>
      <c r="V74" s="32" t="n">
        <f>4223770</f>
        <v>4223770.0</v>
      </c>
      <c r="W74" s="32" t="str">
        <f>"－"</f>
        <v>－</v>
      </c>
      <c r="X74" s="36" t="n">
        <f>16</f>
        <v>16.0</v>
      </c>
    </row>
    <row r="75">
      <c r="A75" s="27" t="s">
        <v>42</v>
      </c>
      <c r="B75" s="27" t="s">
        <v>269</v>
      </c>
      <c r="C75" s="27" t="s">
        <v>270</v>
      </c>
      <c r="D75" s="27" t="s">
        <v>271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19230</f>
        <v>19230.0</v>
      </c>
      <c r="L75" s="34" t="s">
        <v>48</v>
      </c>
      <c r="M75" s="33" t="n">
        <f>19660</f>
        <v>19660.0</v>
      </c>
      <c r="N75" s="34" t="s">
        <v>49</v>
      </c>
      <c r="O75" s="33" t="n">
        <f>19190</f>
        <v>19190.0</v>
      </c>
      <c r="P75" s="34" t="s">
        <v>172</v>
      </c>
      <c r="Q75" s="33" t="n">
        <f>19660</f>
        <v>19660.0</v>
      </c>
      <c r="R75" s="34" t="s">
        <v>51</v>
      </c>
      <c r="S75" s="35" t="n">
        <f>19397.5</f>
        <v>19397.5</v>
      </c>
      <c r="T75" s="32" t="n">
        <f>569</f>
        <v>569.0</v>
      </c>
      <c r="U75" s="32" t="str">
        <f>"－"</f>
        <v>－</v>
      </c>
      <c r="V75" s="32" t="n">
        <f>11083820</f>
        <v>1.108382E7</v>
      </c>
      <c r="W75" s="32" t="str">
        <f>"－"</f>
        <v>－</v>
      </c>
      <c r="X75" s="36" t="n">
        <f>12</f>
        <v>12.0</v>
      </c>
    </row>
    <row r="76">
      <c r="A76" s="27" t="s">
        <v>42</v>
      </c>
      <c r="B76" s="27" t="s">
        <v>272</v>
      </c>
      <c r="C76" s="27" t="s">
        <v>273</v>
      </c>
      <c r="D76" s="27" t="s">
        <v>274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1899</f>
        <v>1899.0</v>
      </c>
      <c r="L76" s="34" t="s">
        <v>48</v>
      </c>
      <c r="M76" s="33" t="n">
        <f>1950</f>
        <v>1950.0</v>
      </c>
      <c r="N76" s="34" t="s">
        <v>51</v>
      </c>
      <c r="O76" s="33" t="n">
        <f>1875</f>
        <v>1875.0</v>
      </c>
      <c r="P76" s="34" t="s">
        <v>50</v>
      </c>
      <c r="Q76" s="33" t="n">
        <f>1950</f>
        <v>1950.0</v>
      </c>
      <c r="R76" s="34" t="s">
        <v>51</v>
      </c>
      <c r="S76" s="35" t="n">
        <f>1913.6</f>
        <v>1913.6</v>
      </c>
      <c r="T76" s="32" t="n">
        <f>857</f>
        <v>857.0</v>
      </c>
      <c r="U76" s="32" t="n">
        <f>1</f>
        <v>1.0</v>
      </c>
      <c r="V76" s="32" t="n">
        <f>1644339</f>
        <v>1644339.0</v>
      </c>
      <c r="W76" s="32" t="n">
        <f>1889</f>
        <v>1889.0</v>
      </c>
      <c r="X76" s="36" t="n">
        <f>15</f>
        <v>15.0</v>
      </c>
    </row>
    <row r="77">
      <c r="A77" s="27" t="s">
        <v>42</v>
      </c>
      <c r="B77" s="27" t="s">
        <v>275</v>
      </c>
      <c r="C77" s="27" t="s">
        <v>276</v>
      </c>
      <c r="D77" s="27" t="s">
        <v>277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2397</f>
        <v>2397.0</v>
      </c>
      <c r="L77" s="34" t="s">
        <v>48</v>
      </c>
      <c r="M77" s="33" t="n">
        <f>2410</f>
        <v>2410.0</v>
      </c>
      <c r="N77" s="34" t="s">
        <v>97</v>
      </c>
      <c r="O77" s="33" t="n">
        <f>2373</f>
        <v>2373.0</v>
      </c>
      <c r="P77" s="34" t="s">
        <v>61</v>
      </c>
      <c r="Q77" s="33" t="n">
        <f>2393</f>
        <v>2393.0</v>
      </c>
      <c r="R77" s="34" t="s">
        <v>51</v>
      </c>
      <c r="S77" s="35" t="n">
        <f>2391.57</f>
        <v>2391.57</v>
      </c>
      <c r="T77" s="32" t="n">
        <f>4801841</f>
        <v>4801841.0</v>
      </c>
      <c r="U77" s="32" t="n">
        <f>2855593</f>
        <v>2855593.0</v>
      </c>
      <c r="V77" s="32" t="n">
        <f>11486918477</f>
        <v>1.1486918477E10</v>
      </c>
      <c r="W77" s="32" t="n">
        <f>6841613968</f>
        <v>6.841613968E9</v>
      </c>
      <c r="X77" s="36" t="n">
        <f>21</f>
        <v>21.0</v>
      </c>
    </row>
    <row r="78">
      <c r="A78" s="27" t="s">
        <v>42</v>
      </c>
      <c r="B78" s="27" t="s">
        <v>278</v>
      </c>
      <c r="C78" s="27" t="s">
        <v>279</v>
      </c>
      <c r="D78" s="27" t="s">
        <v>280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1891</f>
        <v>1891.0</v>
      </c>
      <c r="L78" s="34" t="s">
        <v>48</v>
      </c>
      <c r="M78" s="33" t="n">
        <f>1960</f>
        <v>1960.0</v>
      </c>
      <c r="N78" s="34" t="s">
        <v>89</v>
      </c>
      <c r="O78" s="33" t="n">
        <f>1857</f>
        <v>1857.0</v>
      </c>
      <c r="P78" s="34" t="s">
        <v>180</v>
      </c>
      <c r="Q78" s="33" t="n">
        <f>1938</f>
        <v>1938.0</v>
      </c>
      <c r="R78" s="34" t="s">
        <v>51</v>
      </c>
      <c r="S78" s="35" t="n">
        <f>1909.5</f>
        <v>1909.5</v>
      </c>
      <c r="T78" s="32" t="n">
        <f>1406</f>
        <v>1406.0</v>
      </c>
      <c r="U78" s="32" t="str">
        <f>"－"</f>
        <v>－</v>
      </c>
      <c r="V78" s="32" t="n">
        <f>2680129</f>
        <v>2680129.0</v>
      </c>
      <c r="W78" s="32" t="str">
        <f>"－"</f>
        <v>－</v>
      </c>
      <c r="X78" s="36" t="n">
        <f>20</f>
        <v>20.0</v>
      </c>
    </row>
    <row r="79">
      <c r="A79" s="27" t="s">
        <v>42</v>
      </c>
      <c r="B79" s="27" t="s">
        <v>281</v>
      </c>
      <c r="C79" s="27" t="s">
        <v>282</v>
      </c>
      <c r="D79" s="27" t="s">
        <v>283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10.0</v>
      </c>
      <c r="K79" s="33" t="n">
        <f>1880</f>
        <v>1880.0</v>
      </c>
      <c r="L79" s="34" t="s">
        <v>48</v>
      </c>
      <c r="M79" s="33" t="n">
        <f>1931</f>
        <v>1931.0</v>
      </c>
      <c r="N79" s="34" t="s">
        <v>51</v>
      </c>
      <c r="O79" s="33" t="n">
        <f>1845</f>
        <v>1845.0</v>
      </c>
      <c r="P79" s="34" t="s">
        <v>50</v>
      </c>
      <c r="Q79" s="33" t="n">
        <f>1930</f>
        <v>1930.0</v>
      </c>
      <c r="R79" s="34" t="s">
        <v>51</v>
      </c>
      <c r="S79" s="35" t="n">
        <f>1889.76</f>
        <v>1889.76</v>
      </c>
      <c r="T79" s="32" t="n">
        <f>8170</f>
        <v>8170.0</v>
      </c>
      <c r="U79" s="32" t="n">
        <f>10</f>
        <v>10.0</v>
      </c>
      <c r="V79" s="32" t="n">
        <f>15440640</f>
        <v>1.544064E7</v>
      </c>
      <c r="W79" s="32" t="n">
        <f>18830</f>
        <v>18830.0</v>
      </c>
      <c r="X79" s="36" t="n">
        <f>21</f>
        <v>21.0</v>
      </c>
    </row>
    <row r="80">
      <c r="A80" s="27" t="s">
        <v>42</v>
      </c>
      <c r="B80" s="27" t="s">
        <v>284</v>
      </c>
      <c r="C80" s="27" t="s">
        <v>285</v>
      </c>
      <c r="D80" s="27" t="s">
        <v>286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1.0</v>
      </c>
      <c r="K80" s="33" t="n">
        <f>29700</f>
        <v>29700.0</v>
      </c>
      <c r="L80" s="34" t="s">
        <v>48</v>
      </c>
      <c r="M80" s="33" t="n">
        <f>30600</f>
        <v>30600.0</v>
      </c>
      <c r="N80" s="34" t="s">
        <v>48</v>
      </c>
      <c r="O80" s="33" t="n">
        <f>29020</f>
        <v>29020.0</v>
      </c>
      <c r="P80" s="34" t="s">
        <v>72</v>
      </c>
      <c r="Q80" s="33" t="n">
        <f>30150</f>
        <v>30150.0</v>
      </c>
      <c r="R80" s="34" t="s">
        <v>93</v>
      </c>
      <c r="S80" s="35" t="n">
        <f>29853.75</f>
        <v>29853.75</v>
      </c>
      <c r="T80" s="32" t="n">
        <f>31</f>
        <v>31.0</v>
      </c>
      <c r="U80" s="32" t="str">
        <f>"－"</f>
        <v>－</v>
      </c>
      <c r="V80" s="32" t="n">
        <f>915850</f>
        <v>915850.0</v>
      </c>
      <c r="W80" s="32" t="str">
        <f>"－"</f>
        <v>－</v>
      </c>
      <c r="X80" s="36" t="n">
        <f>8</f>
        <v>8.0</v>
      </c>
    </row>
    <row r="81">
      <c r="A81" s="27" t="s">
        <v>42</v>
      </c>
      <c r="B81" s="27" t="s">
        <v>287</v>
      </c>
      <c r="C81" s="27" t="s">
        <v>288</v>
      </c>
      <c r="D81" s="27" t="s">
        <v>289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21570</f>
        <v>21570.0</v>
      </c>
      <c r="L81" s="34" t="s">
        <v>48</v>
      </c>
      <c r="M81" s="33" t="n">
        <f>21800</f>
        <v>21800.0</v>
      </c>
      <c r="N81" s="34" t="s">
        <v>93</v>
      </c>
      <c r="O81" s="33" t="n">
        <f>21520</f>
        <v>21520.0</v>
      </c>
      <c r="P81" s="34" t="s">
        <v>73</v>
      </c>
      <c r="Q81" s="33" t="n">
        <f>21600</f>
        <v>21600.0</v>
      </c>
      <c r="R81" s="34" t="s">
        <v>51</v>
      </c>
      <c r="S81" s="35" t="n">
        <f>21606.67</f>
        <v>21606.67</v>
      </c>
      <c r="T81" s="32" t="n">
        <f>51604</f>
        <v>51604.0</v>
      </c>
      <c r="U81" s="32" t="n">
        <f>8551</f>
        <v>8551.0</v>
      </c>
      <c r="V81" s="32" t="n">
        <f>1116453355</f>
        <v>1.116453355E9</v>
      </c>
      <c r="W81" s="32" t="n">
        <f>185023805</f>
        <v>1.85023805E8</v>
      </c>
      <c r="X81" s="36" t="n">
        <f>21</f>
        <v>21.0</v>
      </c>
    </row>
    <row r="82">
      <c r="A82" s="27" t="s">
        <v>42</v>
      </c>
      <c r="B82" s="27" t="s">
        <v>290</v>
      </c>
      <c r="C82" s="27" t="s">
        <v>291</v>
      </c>
      <c r="D82" s="27" t="s">
        <v>292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18700</f>
        <v>18700.0</v>
      </c>
      <c r="L82" s="34" t="s">
        <v>48</v>
      </c>
      <c r="M82" s="33" t="n">
        <f>18750</f>
        <v>18750.0</v>
      </c>
      <c r="N82" s="34" t="s">
        <v>97</v>
      </c>
      <c r="O82" s="33" t="n">
        <f>18450</f>
        <v>18450.0</v>
      </c>
      <c r="P82" s="34" t="s">
        <v>61</v>
      </c>
      <c r="Q82" s="33" t="n">
        <f>18590</f>
        <v>18590.0</v>
      </c>
      <c r="R82" s="34" t="s">
        <v>51</v>
      </c>
      <c r="S82" s="35" t="n">
        <f>18600</f>
        <v>18600.0</v>
      </c>
      <c r="T82" s="32" t="n">
        <f>376058</f>
        <v>376058.0</v>
      </c>
      <c r="U82" s="32" t="n">
        <f>296208</f>
        <v>296208.0</v>
      </c>
      <c r="V82" s="32" t="n">
        <f>7001157760</f>
        <v>7.00115776E9</v>
      </c>
      <c r="W82" s="32" t="n">
        <f>5521235500</f>
        <v>5.5212355E9</v>
      </c>
      <c r="X82" s="36" t="n">
        <f>21</f>
        <v>21.0</v>
      </c>
    </row>
    <row r="83">
      <c r="A83" s="27" t="s">
        <v>42</v>
      </c>
      <c r="B83" s="27" t="s">
        <v>293</v>
      </c>
      <c r="C83" s="27" t="s">
        <v>294</v>
      </c>
      <c r="D83" s="27" t="s">
        <v>295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10.0</v>
      </c>
      <c r="K83" s="33" t="n">
        <f>2235</f>
        <v>2235.0</v>
      </c>
      <c r="L83" s="34" t="s">
        <v>48</v>
      </c>
      <c r="M83" s="33" t="n">
        <f>2256</f>
        <v>2256.0</v>
      </c>
      <c r="N83" s="34" t="s">
        <v>89</v>
      </c>
      <c r="O83" s="33" t="n">
        <f>2147</f>
        <v>2147.0</v>
      </c>
      <c r="P83" s="34" t="s">
        <v>117</v>
      </c>
      <c r="Q83" s="33" t="n">
        <f>2225</f>
        <v>2225.0</v>
      </c>
      <c r="R83" s="34" t="s">
        <v>51</v>
      </c>
      <c r="S83" s="35" t="n">
        <f>2207.43</f>
        <v>2207.43</v>
      </c>
      <c r="T83" s="32" t="n">
        <f>2079360</f>
        <v>2079360.0</v>
      </c>
      <c r="U83" s="32" t="n">
        <f>516690</f>
        <v>516690.0</v>
      </c>
      <c r="V83" s="32" t="n">
        <f>4573320522</f>
        <v>4.573320522E9</v>
      </c>
      <c r="W83" s="32" t="n">
        <f>1135206212</f>
        <v>1.135206212E9</v>
      </c>
      <c r="X83" s="36" t="n">
        <f>21</f>
        <v>21.0</v>
      </c>
    </row>
    <row r="84">
      <c r="A84" s="27" t="s">
        <v>42</v>
      </c>
      <c r="B84" s="27" t="s">
        <v>296</v>
      </c>
      <c r="C84" s="27" t="s">
        <v>297</v>
      </c>
      <c r="D84" s="27" t="s">
        <v>298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1.0</v>
      </c>
      <c r="K84" s="33" t="n">
        <f>34650</f>
        <v>34650.0</v>
      </c>
      <c r="L84" s="34" t="s">
        <v>48</v>
      </c>
      <c r="M84" s="33" t="n">
        <f>36450</f>
        <v>36450.0</v>
      </c>
      <c r="N84" s="34" t="s">
        <v>49</v>
      </c>
      <c r="O84" s="33" t="n">
        <f>34550</f>
        <v>34550.0</v>
      </c>
      <c r="P84" s="34" t="s">
        <v>50</v>
      </c>
      <c r="Q84" s="33" t="n">
        <f>35800</f>
        <v>35800.0</v>
      </c>
      <c r="R84" s="34" t="s">
        <v>51</v>
      </c>
      <c r="S84" s="35" t="n">
        <f>35457.14</f>
        <v>35457.14</v>
      </c>
      <c r="T84" s="32" t="n">
        <f>23704</f>
        <v>23704.0</v>
      </c>
      <c r="U84" s="32" t="n">
        <f>1204</f>
        <v>1204.0</v>
      </c>
      <c r="V84" s="32" t="n">
        <f>839498310</f>
        <v>8.3949831E8</v>
      </c>
      <c r="W84" s="32" t="n">
        <f>42561960</f>
        <v>4.256196E7</v>
      </c>
      <c r="X84" s="36" t="n">
        <f>21</f>
        <v>21.0</v>
      </c>
    </row>
    <row r="85">
      <c r="A85" s="27" t="s">
        <v>42</v>
      </c>
      <c r="B85" s="27" t="s">
        <v>299</v>
      </c>
      <c r="C85" s="27" t="s">
        <v>300</v>
      </c>
      <c r="D85" s="27" t="s">
        <v>301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10.0</v>
      </c>
      <c r="K85" s="33" t="n">
        <f>7690</f>
        <v>7690.0</v>
      </c>
      <c r="L85" s="34" t="s">
        <v>97</v>
      </c>
      <c r="M85" s="33" t="n">
        <f>7690</f>
        <v>7690.0</v>
      </c>
      <c r="N85" s="34" t="s">
        <v>97</v>
      </c>
      <c r="O85" s="33" t="n">
        <f>7590</f>
        <v>7590.0</v>
      </c>
      <c r="P85" s="34" t="s">
        <v>73</v>
      </c>
      <c r="Q85" s="33" t="n">
        <f>7590</f>
        <v>7590.0</v>
      </c>
      <c r="R85" s="34" t="s">
        <v>73</v>
      </c>
      <c r="S85" s="35" t="n">
        <f>7646.67</f>
        <v>7646.67</v>
      </c>
      <c r="T85" s="32" t="n">
        <f>118250</f>
        <v>118250.0</v>
      </c>
      <c r="U85" s="32" t="n">
        <f>118000</f>
        <v>118000.0</v>
      </c>
      <c r="V85" s="32" t="n">
        <f>899582100</f>
        <v>8.995821E8</v>
      </c>
      <c r="W85" s="32" t="n">
        <f>897663000</f>
        <v>8.97663E8</v>
      </c>
      <c r="X85" s="36" t="n">
        <f>3</f>
        <v>3.0</v>
      </c>
    </row>
    <row r="86">
      <c r="A86" s="27" t="s">
        <v>42</v>
      </c>
      <c r="B86" s="27" t="s">
        <v>302</v>
      </c>
      <c r="C86" s="27" t="s">
        <v>303</v>
      </c>
      <c r="D86" s="27" t="s">
        <v>304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1.0</v>
      </c>
      <c r="K86" s="33" t="n">
        <f>16480</f>
        <v>16480.0</v>
      </c>
      <c r="L86" s="34" t="s">
        <v>48</v>
      </c>
      <c r="M86" s="33" t="n">
        <f>16690</f>
        <v>16690.0</v>
      </c>
      <c r="N86" s="34" t="s">
        <v>51</v>
      </c>
      <c r="O86" s="33" t="n">
        <f>15760</f>
        <v>15760.0</v>
      </c>
      <c r="P86" s="34" t="s">
        <v>50</v>
      </c>
      <c r="Q86" s="33" t="n">
        <f>16680</f>
        <v>16680.0</v>
      </c>
      <c r="R86" s="34" t="s">
        <v>51</v>
      </c>
      <c r="S86" s="35" t="n">
        <f>16335.24</f>
        <v>16335.24</v>
      </c>
      <c r="T86" s="32" t="n">
        <f>1169</f>
        <v>1169.0</v>
      </c>
      <c r="U86" s="32" t="n">
        <f>4</f>
        <v>4.0</v>
      </c>
      <c r="V86" s="32" t="n">
        <f>19076540</f>
        <v>1.907654E7</v>
      </c>
      <c r="W86" s="32" t="n">
        <f>65820</f>
        <v>65820.0</v>
      </c>
      <c r="X86" s="36" t="n">
        <f>21</f>
        <v>21.0</v>
      </c>
    </row>
    <row r="87">
      <c r="A87" s="27" t="s">
        <v>42</v>
      </c>
      <c r="B87" s="27" t="s">
        <v>305</v>
      </c>
      <c r="C87" s="27" t="s">
        <v>306</v>
      </c>
      <c r="D87" s="27" t="s">
        <v>307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16200</f>
        <v>16200.0</v>
      </c>
      <c r="L87" s="34" t="s">
        <v>48</v>
      </c>
      <c r="M87" s="33" t="n">
        <f>16590</f>
        <v>16590.0</v>
      </c>
      <c r="N87" s="34" t="s">
        <v>51</v>
      </c>
      <c r="O87" s="33" t="n">
        <f>15590</f>
        <v>15590.0</v>
      </c>
      <c r="P87" s="34" t="s">
        <v>50</v>
      </c>
      <c r="Q87" s="33" t="n">
        <f>16590</f>
        <v>16590.0</v>
      </c>
      <c r="R87" s="34" t="s">
        <v>51</v>
      </c>
      <c r="S87" s="35" t="n">
        <f>16184.76</f>
        <v>16184.76</v>
      </c>
      <c r="T87" s="32" t="n">
        <f>1089</f>
        <v>1089.0</v>
      </c>
      <c r="U87" s="32" t="str">
        <f>"－"</f>
        <v>－</v>
      </c>
      <c r="V87" s="32" t="n">
        <f>17562930</f>
        <v>1.756293E7</v>
      </c>
      <c r="W87" s="32" t="str">
        <f>"－"</f>
        <v>－</v>
      </c>
      <c r="X87" s="36" t="n">
        <f>21</f>
        <v>21.0</v>
      </c>
    </row>
    <row r="88">
      <c r="A88" s="27" t="s">
        <v>42</v>
      </c>
      <c r="B88" s="27" t="s">
        <v>308</v>
      </c>
      <c r="C88" s="27" t="s">
        <v>309</v>
      </c>
      <c r="D88" s="27" t="s">
        <v>310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18820</f>
        <v>18820.0</v>
      </c>
      <c r="L88" s="34" t="s">
        <v>48</v>
      </c>
      <c r="M88" s="33" t="n">
        <f>19240</f>
        <v>19240.0</v>
      </c>
      <c r="N88" s="34" t="s">
        <v>48</v>
      </c>
      <c r="O88" s="33" t="n">
        <f>18350</f>
        <v>18350.0</v>
      </c>
      <c r="P88" s="34" t="s">
        <v>50</v>
      </c>
      <c r="Q88" s="33" t="n">
        <f>18860</f>
        <v>18860.0</v>
      </c>
      <c r="R88" s="34" t="s">
        <v>51</v>
      </c>
      <c r="S88" s="35" t="n">
        <f>18800.95</f>
        <v>18800.95</v>
      </c>
      <c r="T88" s="32" t="n">
        <f>1681</f>
        <v>1681.0</v>
      </c>
      <c r="U88" s="32" t="str">
        <f>"－"</f>
        <v>－</v>
      </c>
      <c r="V88" s="32" t="n">
        <f>31513320</f>
        <v>3.151332E7</v>
      </c>
      <c r="W88" s="32" t="str">
        <f>"－"</f>
        <v>－</v>
      </c>
      <c r="X88" s="36" t="n">
        <f>21</f>
        <v>21.0</v>
      </c>
    </row>
    <row r="89">
      <c r="A89" s="27" t="s">
        <v>42</v>
      </c>
      <c r="B89" s="27" t="s">
        <v>311</v>
      </c>
      <c r="C89" s="27" t="s">
        <v>312</v>
      </c>
      <c r="D89" s="27" t="s">
        <v>313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10.0</v>
      </c>
      <c r="K89" s="33" t="n">
        <f>10500</f>
        <v>10500.0</v>
      </c>
      <c r="L89" s="34" t="s">
        <v>48</v>
      </c>
      <c r="M89" s="33" t="n">
        <f>10530</f>
        <v>10530.0</v>
      </c>
      <c r="N89" s="34" t="s">
        <v>48</v>
      </c>
      <c r="O89" s="33" t="n">
        <f>10300</f>
        <v>10300.0</v>
      </c>
      <c r="P89" s="34" t="s">
        <v>68</v>
      </c>
      <c r="Q89" s="33" t="n">
        <f>10460</f>
        <v>10460.0</v>
      </c>
      <c r="R89" s="34" t="s">
        <v>51</v>
      </c>
      <c r="S89" s="35" t="n">
        <f>10417.62</f>
        <v>10417.62</v>
      </c>
      <c r="T89" s="32" t="n">
        <f>7060</f>
        <v>7060.0</v>
      </c>
      <c r="U89" s="32" t="n">
        <f>10</f>
        <v>10.0</v>
      </c>
      <c r="V89" s="32" t="n">
        <f>73518300</f>
        <v>7.35183E7</v>
      </c>
      <c r="W89" s="32" t="n">
        <f>103600</f>
        <v>103600.0</v>
      </c>
      <c r="X89" s="36" t="n">
        <f>21</f>
        <v>21.0</v>
      </c>
    </row>
    <row r="90">
      <c r="A90" s="27" t="s">
        <v>42</v>
      </c>
      <c r="B90" s="27" t="s">
        <v>314</v>
      </c>
      <c r="C90" s="27" t="s">
        <v>315</v>
      </c>
      <c r="D90" s="27" t="s">
        <v>316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1.0</v>
      </c>
      <c r="K90" s="33" t="n">
        <f>2633</f>
        <v>2633.0</v>
      </c>
      <c r="L90" s="34" t="s">
        <v>48</v>
      </c>
      <c r="M90" s="33" t="n">
        <f>2639</f>
        <v>2639.0</v>
      </c>
      <c r="N90" s="34" t="s">
        <v>97</v>
      </c>
      <c r="O90" s="33" t="n">
        <f>2588</f>
        <v>2588.0</v>
      </c>
      <c r="P90" s="34" t="s">
        <v>61</v>
      </c>
      <c r="Q90" s="33" t="n">
        <f>2629</f>
        <v>2629.0</v>
      </c>
      <c r="R90" s="34" t="s">
        <v>51</v>
      </c>
      <c r="S90" s="35" t="n">
        <f>2617.71</f>
        <v>2617.71</v>
      </c>
      <c r="T90" s="32" t="n">
        <f>488071</f>
        <v>488071.0</v>
      </c>
      <c r="U90" s="32" t="n">
        <f>440000</f>
        <v>440000.0</v>
      </c>
      <c r="V90" s="32" t="n">
        <f>1275951169</f>
        <v>1.275951169E9</v>
      </c>
      <c r="W90" s="32" t="n">
        <f>1150301552</f>
        <v>1.150301552E9</v>
      </c>
      <c r="X90" s="36" t="n">
        <f>21</f>
        <v>21.0</v>
      </c>
    </row>
    <row r="91">
      <c r="A91" s="27" t="s">
        <v>42</v>
      </c>
      <c r="B91" s="27" t="s">
        <v>317</v>
      </c>
      <c r="C91" s="27" t="s">
        <v>318</v>
      </c>
      <c r="D91" s="27" t="s">
        <v>319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2370</f>
        <v>2370.0</v>
      </c>
      <c r="L91" s="34" t="s">
        <v>48</v>
      </c>
      <c r="M91" s="33" t="n">
        <f>2386</f>
        <v>2386.0</v>
      </c>
      <c r="N91" s="34" t="s">
        <v>320</v>
      </c>
      <c r="O91" s="33" t="n">
        <f>2353</f>
        <v>2353.0</v>
      </c>
      <c r="P91" s="34" t="s">
        <v>49</v>
      </c>
      <c r="Q91" s="33" t="n">
        <f>2383</f>
        <v>2383.0</v>
      </c>
      <c r="R91" s="34" t="s">
        <v>51</v>
      </c>
      <c r="S91" s="35" t="n">
        <f>2367.05</f>
        <v>2367.05</v>
      </c>
      <c r="T91" s="32" t="n">
        <f>52063</f>
        <v>52063.0</v>
      </c>
      <c r="U91" s="32" t="n">
        <f>1</f>
        <v>1.0</v>
      </c>
      <c r="V91" s="32" t="n">
        <f>123121548</f>
        <v>1.23121548E8</v>
      </c>
      <c r="W91" s="32" t="n">
        <f>2373</f>
        <v>2373.0</v>
      </c>
      <c r="X91" s="36" t="n">
        <f>21</f>
        <v>21.0</v>
      </c>
    </row>
    <row r="92">
      <c r="A92" s="27" t="s">
        <v>42</v>
      </c>
      <c r="B92" s="27" t="s">
        <v>321</v>
      </c>
      <c r="C92" s="27" t="s">
        <v>322</v>
      </c>
      <c r="D92" s="27" t="s">
        <v>323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14650</f>
        <v>14650.0</v>
      </c>
      <c r="L92" s="34" t="s">
        <v>48</v>
      </c>
      <c r="M92" s="33" t="n">
        <f>15000</f>
        <v>15000.0</v>
      </c>
      <c r="N92" s="34" t="s">
        <v>49</v>
      </c>
      <c r="O92" s="33" t="n">
        <f>14270</f>
        <v>14270.0</v>
      </c>
      <c r="P92" s="34" t="s">
        <v>50</v>
      </c>
      <c r="Q92" s="33" t="n">
        <f>14930</f>
        <v>14930.0</v>
      </c>
      <c r="R92" s="34" t="s">
        <v>51</v>
      </c>
      <c r="S92" s="35" t="n">
        <f>14710.48</f>
        <v>14710.48</v>
      </c>
      <c r="T92" s="32" t="n">
        <f>10294</f>
        <v>10294.0</v>
      </c>
      <c r="U92" s="32" t="n">
        <f>6852</f>
        <v>6852.0</v>
      </c>
      <c r="V92" s="32" t="n">
        <f>150471809</f>
        <v>1.50471809E8</v>
      </c>
      <c r="W92" s="32" t="n">
        <f>99977169</f>
        <v>9.9977169E7</v>
      </c>
      <c r="X92" s="36" t="n">
        <f>21</f>
        <v>21.0</v>
      </c>
    </row>
    <row r="93">
      <c r="A93" s="27" t="s">
        <v>42</v>
      </c>
      <c r="B93" s="27" t="s">
        <v>324</v>
      </c>
      <c r="C93" s="27" t="s">
        <v>325</v>
      </c>
      <c r="D93" s="27" t="s">
        <v>326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8210</f>
        <v>8210.0</v>
      </c>
      <c r="L93" s="34" t="s">
        <v>48</v>
      </c>
      <c r="M93" s="33" t="n">
        <f>8310</f>
        <v>8310.0</v>
      </c>
      <c r="N93" s="34" t="s">
        <v>61</v>
      </c>
      <c r="O93" s="33" t="n">
        <f>8110</f>
        <v>8110.0</v>
      </c>
      <c r="P93" s="34" t="s">
        <v>73</v>
      </c>
      <c r="Q93" s="33" t="n">
        <f>8160</f>
        <v>8160.0</v>
      </c>
      <c r="R93" s="34" t="s">
        <v>51</v>
      </c>
      <c r="S93" s="35" t="n">
        <f>8171.9</f>
        <v>8171.9</v>
      </c>
      <c r="T93" s="32" t="n">
        <f>2459</f>
        <v>2459.0</v>
      </c>
      <c r="U93" s="32" t="n">
        <f>12</f>
        <v>12.0</v>
      </c>
      <c r="V93" s="32" t="n">
        <f>20152700</f>
        <v>2.01527E7</v>
      </c>
      <c r="W93" s="32" t="n">
        <f>98130</f>
        <v>98130.0</v>
      </c>
      <c r="X93" s="36" t="n">
        <f>21</f>
        <v>21.0</v>
      </c>
    </row>
    <row r="94">
      <c r="A94" s="27" t="s">
        <v>42</v>
      </c>
      <c r="B94" s="27" t="s">
        <v>327</v>
      </c>
      <c r="C94" s="27" t="s">
        <v>328</v>
      </c>
      <c r="D94" s="27" t="s">
        <v>329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6080</f>
        <v>6080.0</v>
      </c>
      <c r="L94" s="34" t="s">
        <v>48</v>
      </c>
      <c r="M94" s="33" t="n">
        <f>6120</f>
        <v>6120.0</v>
      </c>
      <c r="N94" s="34" t="s">
        <v>93</v>
      </c>
      <c r="O94" s="33" t="n">
        <f>5830</f>
        <v>5830.0</v>
      </c>
      <c r="P94" s="34" t="s">
        <v>101</v>
      </c>
      <c r="Q94" s="33" t="n">
        <f>6100</f>
        <v>6100.0</v>
      </c>
      <c r="R94" s="34" t="s">
        <v>51</v>
      </c>
      <c r="S94" s="35" t="n">
        <f>6003.81</f>
        <v>6003.81</v>
      </c>
      <c r="T94" s="32" t="n">
        <f>1933777</f>
        <v>1933777.0</v>
      </c>
      <c r="U94" s="32" t="n">
        <f>51547</f>
        <v>51547.0</v>
      </c>
      <c r="V94" s="32" t="n">
        <f>11571417359</f>
        <v>1.1571417359E10</v>
      </c>
      <c r="W94" s="32" t="n">
        <f>310812089</f>
        <v>3.10812089E8</v>
      </c>
      <c r="X94" s="36" t="n">
        <f>21</f>
        <v>21.0</v>
      </c>
    </row>
    <row r="95">
      <c r="A95" s="27" t="s">
        <v>42</v>
      </c>
      <c r="B95" s="27" t="s">
        <v>330</v>
      </c>
      <c r="C95" s="27" t="s">
        <v>331</v>
      </c>
      <c r="D95" s="27" t="s">
        <v>332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3495</f>
        <v>3495.0</v>
      </c>
      <c r="L95" s="34" t="s">
        <v>48</v>
      </c>
      <c r="M95" s="33" t="n">
        <f>3520</f>
        <v>3520.0</v>
      </c>
      <c r="N95" s="34" t="s">
        <v>48</v>
      </c>
      <c r="O95" s="33" t="n">
        <f>3220</f>
        <v>3220.0</v>
      </c>
      <c r="P95" s="34" t="s">
        <v>50</v>
      </c>
      <c r="Q95" s="33" t="n">
        <f>3360</f>
        <v>3360.0</v>
      </c>
      <c r="R95" s="34" t="s">
        <v>51</v>
      </c>
      <c r="S95" s="35" t="n">
        <f>3357.86</f>
        <v>3357.86</v>
      </c>
      <c r="T95" s="32" t="n">
        <f>707509</f>
        <v>707509.0</v>
      </c>
      <c r="U95" s="32" t="n">
        <f>250</f>
        <v>250.0</v>
      </c>
      <c r="V95" s="32" t="n">
        <f>2371462220</f>
        <v>2.37146222E9</v>
      </c>
      <c r="W95" s="32" t="n">
        <f>821400</f>
        <v>821400.0</v>
      </c>
      <c r="X95" s="36" t="n">
        <f>21</f>
        <v>21.0</v>
      </c>
    </row>
    <row r="96">
      <c r="A96" s="27" t="s">
        <v>42</v>
      </c>
      <c r="B96" s="27" t="s">
        <v>333</v>
      </c>
      <c r="C96" s="27" t="s">
        <v>334</v>
      </c>
      <c r="D96" s="27" t="s">
        <v>335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8380</f>
        <v>8380.0</v>
      </c>
      <c r="L96" s="34" t="s">
        <v>48</v>
      </c>
      <c r="M96" s="33" t="n">
        <f>8410</f>
        <v>8410.0</v>
      </c>
      <c r="N96" s="34" t="s">
        <v>48</v>
      </c>
      <c r="O96" s="33" t="n">
        <f>7610</f>
        <v>7610.0</v>
      </c>
      <c r="P96" s="34" t="s">
        <v>68</v>
      </c>
      <c r="Q96" s="33" t="n">
        <f>7990</f>
        <v>7990.0</v>
      </c>
      <c r="R96" s="34" t="s">
        <v>51</v>
      </c>
      <c r="S96" s="35" t="n">
        <f>7934.29</f>
        <v>7934.29</v>
      </c>
      <c r="T96" s="32" t="n">
        <f>273223</f>
        <v>273223.0</v>
      </c>
      <c r="U96" s="32" t="n">
        <f>12</f>
        <v>12.0</v>
      </c>
      <c r="V96" s="32" t="n">
        <f>2147700090</f>
        <v>2.14770009E9</v>
      </c>
      <c r="W96" s="32" t="n">
        <f>93080</f>
        <v>93080.0</v>
      </c>
      <c r="X96" s="36" t="n">
        <f>21</f>
        <v>21.0</v>
      </c>
    </row>
    <row r="97">
      <c r="A97" s="27" t="s">
        <v>42</v>
      </c>
      <c r="B97" s="27" t="s">
        <v>336</v>
      </c>
      <c r="C97" s="27" t="s">
        <v>337</v>
      </c>
      <c r="D97" s="27" t="s">
        <v>338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1.0</v>
      </c>
      <c r="K97" s="33" t="n">
        <f>87000</f>
        <v>87000.0</v>
      </c>
      <c r="L97" s="34" t="s">
        <v>48</v>
      </c>
      <c r="M97" s="33" t="n">
        <f>87400</f>
        <v>87400.0</v>
      </c>
      <c r="N97" s="34" t="s">
        <v>48</v>
      </c>
      <c r="O97" s="33" t="n">
        <f>76700</f>
        <v>76700.0</v>
      </c>
      <c r="P97" s="34" t="s">
        <v>68</v>
      </c>
      <c r="Q97" s="33" t="n">
        <f>81200</f>
        <v>81200.0</v>
      </c>
      <c r="R97" s="34" t="s">
        <v>51</v>
      </c>
      <c r="S97" s="35" t="n">
        <f>82838.1</f>
        <v>82838.1</v>
      </c>
      <c r="T97" s="32" t="n">
        <f>2259</f>
        <v>2259.0</v>
      </c>
      <c r="U97" s="32" t="str">
        <f>"－"</f>
        <v>－</v>
      </c>
      <c r="V97" s="32" t="n">
        <f>184024400</f>
        <v>1.840244E8</v>
      </c>
      <c r="W97" s="32" t="str">
        <f>"－"</f>
        <v>－</v>
      </c>
      <c r="X97" s="36" t="n">
        <f>21</f>
        <v>21.0</v>
      </c>
    </row>
    <row r="98">
      <c r="A98" s="27" t="s">
        <v>42</v>
      </c>
      <c r="B98" s="27" t="s">
        <v>339</v>
      </c>
      <c r="C98" s="27" t="s">
        <v>340</v>
      </c>
      <c r="D98" s="27" t="s">
        <v>341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1.0</v>
      </c>
      <c r="K98" s="33" t="n">
        <f>16660</f>
        <v>16660.0</v>
      </c>
      <c r="L98" s="34" t="s">
        <v>48</v>
      </c>
      <c r="M98" s="33" t="n">
        <f>17410</f>
        <v>17410.0</v>
      </c>
      <c r="N98" s="34" t="s">
        <v>51</v>
      </c>
      <c r="O98" s="33" t="n">
        <f>16500</f>
        <v>16500.0</v>
      </c>
      <c r="P98" s="34" t="s">
        <v>172</v>
      </c>
      <c r="Q98" s="33" t="n">
        <f>17400</f>
        <v>17400.0</v>
      </c>
      <c r="R98" s="34" t="s">
        <v>51</v>
      </c>
      <c r="S98" s="35" t="n">
        <f>16843.81</f>
        <v>16843.81</v>
      </c>
      <c r="T98" s="32" t="n">
        <f>1145395</f>
        <v>1145395.0</v>
      </c>
      <c r="U98" s="32" t="n">
        <f>33458</f>
        <v>33458.0</v>
      </c>
      <c r="V98" s="32" t="n">
        <f>19279020282</f>
        <v>1.9279020282E10</v>
      </c>
      <c r="W98" s="32" t="n">
        <f>554793142</f>
        <v>5.54793142E8</v>
      </c>
      <c r="X98" s="36" t="n">
        <f>21</f>
        <v>21.0</v>
      </c>
    </row>
    <row r="99">
      <c r="A99" s="27" t="s">
        <v>42</v>
      </c>
      <c r="B99" s="27" t="s">
        <v>342</v>
      </c>
      <c r="C99" s="27" t="s">
        <v>343</v>
      </c>
      <c r="D99" s="27" t="s">
        <v>344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1.0</v>
      </c>
      <c r="K99" s="33" t="n">
        <f>37800</f>
        <v>37800.0</v>
      </c>
      <c r="L99" s="34" t="s">
        <v>48</v>
      </c>
      <c r="M99" s="33" t="n">
        <f>38200</f>
        <v>38200.0</v>
      </c>
      <c r="N99" s="34" t="s">
        <v>150</v>
      </c>
      <c r="O99" s="33" t="n">
        <f>37150</f>
        <v>37150.0</v>
      </c>
      <c r="P99" s="34" t="s">
        <v>50</v>
      </c>
      <c r="Q99" s="33" t="n">
        <f>37950</f>
        <v>37950.0</v>
      </c>
      <c r="R99" s="34" t="s">
        <v>51</v>
      </c>
      <c r="S99" s="35" t="n">
        <f>37742.86</f>
        <v>37742.86</v>
      </c>
      <c r="T99" s="32" t="n">
        <f>143702</f>
        <v>143702.0</v>
      </c>
      <c r="U99" s="32" t="n">
        <f>122</f>
        <v>122.0</v>
      </c>
      <c r="V99" s="32" t="n">
        <f>5423553150</f>
        <v>5.42355315E9</v>
      </c>
      <c r="W99" s="32" t="n">
        <f>4623500</f>
        <v>4623500.0</v>
      </c>
      <c r="X99" s="36" t="n">
        <f>21</f>
        <v>21.0</v>
      </c>
    </row>
    <row r="100">
      <c r="A100" s="27" t="s">
        <v>42</v>
      </c>
      <c r="B100" s="27" t="s">
        <v>345</v>
      </c>
      <c r="C100" s="27" t="s">
        <v>346</v>
      </c>
      <c r="D100" s="27" t="s">
        <v>347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10.0</v>
      </c>
      <c r="K100" s="33" t="n">
        <f>5270</f>
        <v>5270.0</v>
      </c>
      <c r="L100" s="34" t="s">
        <v>48</v>
      </c>
      <c r="M100" s="33" t="n">
        <f>5430</f>
        <v>5430.0</v>
      </c>
      <c r="N100" s="34" t="s">
        <v>51</v>
      </c>
      <c r="O100" s="33" t="n">
        <f>5210</f>
        <v>5210.0</v>
      </c>
      <c r="P100" s="34" t="s">
        <v>97</v>
      </c>
      <c r="Q100" s="33" t="n">
        <f>5430</f>
        <v>5430.0</v>
      </c>
      <c r="R100" s="34" t="s">
        <v>51</v>
      </c>
      <c r="S100" s="35" t="n">
        <f>5318.57</f>
        <v>5318.57</v>
      </c>
      <c r="T100" s="32" t="n">
        <f>933430</f>
        <v>933430.0</v>
      </c>
      <c r="U100" s="32" t="n">
        <f>19380</f>
        <v>19380.0</v>
      </c>
      <c r="V100" s="32" t="n">
        <f>4961507473</f>
        <v>4.961507473E9</v>
      </c>
      <c r="W100" s="32" t="n">
        <f>102056073</f>
        <v>1.02056073E8</v>
      </c>
      <c r="X100" s="36" t="n">
        <f>21</f>
        <v>21.0</v>
      </c>
    </row>
    <row r="101">
      <c r="A101" s="27" t="s">
        <v>42</v>
      </c>
      <c r="B101" s="27" t="s">
        <v>348</v>
      </c>
      <c r="C101" s="27" t="s">
        <v>349</v>
      </c>
      <c r="D101" s="27" t="s">
        <v>350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10.0</v>
      </c>
      <c r="K101" s="33" t="n">
        <f>3475</f>
        <v>3475.0</v>
      </c>
      <c r="L101" s="34" t="s">
        <v>48</v>
      </c>
      <c r="M101" s="33" t="n">
        <f>3560</f>
        <v>3560.0</v>
      </c>
      <c r="N101" s="34" t="s">
        <v>51</v>
      </c>
      <c r="O101" s="33" t="n">
        <f>3440</f>
        <v>3440.0</v>
      </c>
      <c r="P101" s="34" t="s">
        <v>97</v>
      </c>
      <c r="Q101" s="33" t="n">
        <f>3560</f>
        <v>3560.0</v>
      </c>
      <c r="R101" s="34" t="s">
        <v>51</v>
      </c>
      <c r="S101" s="35" t="n">
        <f>3498.57</f>
        <v>3498.57</v>
      </c>
      <c r="T101" s="32" t="n">
        <f>361260</f>
        <v>361260.0</v>
      </c>
      <c r="U101" s="32" t="n">
        <f>268500</f>
        <v>268500.0</v>
      </c>
      <c r="V101" s="32" t="n">
        <f>1254015600</f>
        <v>1.2540156E9</v>
      </c>
      <c r="W101" s="32" t="n">
        <f>929257450</f>
        <v>9.2925745E8</v>
      </c>
      <c r="X101" s="36" t="n">
        <f>21</f>
        <v>21.0</v>
      </c>
    </row>
    <row r="102">
      <c r="A102" s="27" t="s">
        <v>42</v>
      </c>
      <c r="B102" s="27" t="s">
        <v>351</v>
      </c>
      <c r="C102" s="27" t="s">
        <v>352</v>
      </c>
      <c r="D102" s="27" t="s">
        <v>353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10.0</v>
      </c>
      <c r="K102" s="33" t="n">
        <f>5190</f>
        <v>5190.0</v>
      </c>
      <c r="L102" s="34" t="s">
        <v>48</v>
      </c>
      <c r="M102" s="33" t="n">
        <f>5520</f>
        <v>5520.0</v>
      </c>
      <c r="N102" s="34" t="s">
        <v>51</v>
      </c>
      <c r="O102" s="33" t="n">
        <f>5190</f>
        <v>5190.0</v>
      </c>
      <c r="P102" s="34" t="s">
        <v>48</v>
      </c>
      <c r="Q102" s="33" t="n">
        <f>5510</f>
        <v>5510.0</v>
      </c>
      <c r="R102" s="34" t="s">
        <v>51</v>
      </c>
      <c r="S102" s="35" t="n">
        <f>5334.29</f>
        <v>5334.29</v>
      </c>
      <c r="T102" s="32" t="n">
        <f>10810</f>
        <v>10810.0</v>
      </c>
      <c r="U102" s="32" t="str">
        <f>"－"</f>
        <v>－</v>
      </c>
      <c r="V102" s="32" t="n">
        <f>57622200</f>
        <v>5.76222E7</v>
      </c>
      <c r="W102" s="32" t="str">
        <f>"－"</f>
        <v>－</v>
      </c>
      <c r="X102" s="36" t="n">
        <f>21</f>
        <v>21.0</v>
      </c>
    </row>
    <row r="103">
      <c r="A103" s="27" t="s">
        <v>42</v>
      </c>
      <c r="B103" s="27" t="s">
        <v>354</v>
      </c>
      <c r="C103" s="27" t="s">
        <v>355</v>
      </c>
      <c r="D103" s="27" t="s">
        <v>356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2640</f>
        <v>2640.0</v>
      </c>
      <c r="L103" s="34" t="s">
        <v>48</v>
      </c>
      <c r="M103" s="33" t="n">
        <f>2732</f>
        <v>2732.0</v>
      </c>
      <c r="N103" s="34" t="s">
        <v>97</v>
      </c>
      <c r="O103" s="33" t="n">
        <f>2226</f>
        <v>2226.0</v>
      </c>
      <c r="P103" s="34" t="s">
        <v>51</v>
      </c>
      <c r="Q103" s="33" t="n">
        <f>2227</f>
        <v>2227.0</v>
      </c>
      <c r="R103" s="34" t="s">
        <v>51</v>
      </c>
      <c r="S103" s="35" t="n">
        <f>2450.81</f>
        <v>2450.81</v>
      </c>
      <c r="T103" s="32" t="n">
        <f>33188185</f>
        <v>3.3188185E7</v>
      </c>
      <c r="U103" s="32" t="n">
        <f>53342</f>
        <v>53342.0</v>
      </c>
      <c r="V103" s="32" t="n">
        <f>81704414897</f>
        <v>8.1704414897E10</v>
      </c>
      <c r="W103" s="32" t="n">
        <f>133562024</f>
        <v>1.33562024E8</v>
      </c>
      <c r="X103" s="36" t="n">
        <f>21</f>
        <v>21.0</v>
      </c>
    </row>
    <row r="104">
      <c r="A104" s="27" t="s">
        <v>42</v>
      </c>
      <c r="B104" s="27" t="s">
        <v>357</v>
      </c>
      <c r="C104" s="27" t="s">
        <v>358</v>
      </c>
      <c r="D104" s="27" t="s">
        <v>359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10.0</v>
      </c>
      <c r="K104" s="33" t="n">
        <f>2980</f>
        <v>2980.0</v>
      </c>
      <c r="L104" s="34" t="s">
        <v>48</v>
      </c>
      <c r="M104" s="33" t="n">
        <f>3065</f>
        <v>3065.0</v>
      </c>
      <c r="N104" s="34" t="s">
        <v>51</v>
      </c>
      <c r="O104" s="33" t="n">
        <f>2947</f>
        <v>2947.0</v>
      </c>
      <c r="P104" s="34" t="s">
        <v>50</v>
      </c>
      <c r="Q104" s="33" t="n">
        <f>3065</f>
        <v>3065.0</v>
      </c>
      <c r="R104" s="34" t="s">
        <v>51</v>
      </c>
      <c r="S104" s="35" t="n">
        <f>3009.29</f>
        <v>3009.29</v>
      </c>
      <c r="T104" s="32" t="n">
        <f>84790</f>
        <v>84790.0</v>
      </c>
      <c r="U104" s="32" t="n">
        <f>80</f>
        <v>80.0</v>
      </c>
      <c r="V104" s="32" t="n">
        <f>255107530</f>
        <v>2.5510753E8</v>
      </c>
      <c r="W104" s="32" t="n">
        <f>240050</f>
        <v>240050.0</v>
      </c>
      <c r="X104" s="36" t="n">
        <f>21</f>
        <v>21.0</v>
      </c>
    </row>
    <row r="105">
      <c r="A105" s="27" t="s">
        <v>42</v>
      </c>
      <c r="B105" s="27" t="s">
        <v>360</v>
      </c>
      <c r="C105" s="27" t="s">
        <v>361</v>
      </c>
      <c r="D105" s="27" t="s">
        <v>362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n">
        <f>1674</f>
        <v>1674.0</v>
      </c>
      <c r="L105" s="34" t="s">
        <v>48</v>
      </c>
      <c r="M105" s="33" t="n">
        <f>1756</f>
        <v>1756.0</v>
      </c>
      <c r="N105" s="34" t="s">
        <v>51</v>
      </c>
      <c r="O105" s="33" t="n">
        <f>1654</f>
        <v>1654.0</v>
      </c>
      <c r="P105" s="34" t="s">
        <v>48</v>
      </c>
      <c r="Q105" s="33" t="n">
        <f>1751</f>
        <v>1751.0</v>
      </c>
      <c r="R105" s="34" t="s">
        <v>51</v>
      </c>
      <c r="S105" s="35" t="n">
        <f>1702.05</f>
        <v>1702.05</v>
      </c>
      <c r="T105" s="32" t="n">
        <f>116170</f>
        <v>116170.0</v>
      </c>
      <c r="U105" s="32" t="n">
        <f>200</f>
        <v>200.0</v>
      </c>
      <c r="V105" s="32" t="n">
        <f>197685380</f>
        <v>1.9768538E8</v>
      </c>
      <c r="W105" s="32" t="n">
        <f>324720</f>
        <v>324720.0</v>
      </c>
      <c r="X105" s="36" t="n">
        <f>21</f>
        <v>21.0</v>
      </c>
    </row>
    <row r="106">
      <c r="A106" s="27" t="s">
        <v>42</v>
      </c>
      <c r="B106" s="27" t="s">
        <v>363</v>
      </c>
      <c r="C106" s="27" t="s">
        <v>364</v>
      </c>
      <c r="D106" s="27" t="s">
        <v>365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1.0</v>
      </c>
      <c r="K106" s="33" t="n">
        <f>48250</f>
        <v>48250.0</v>
      </c>
      <c r="L106" s="34" t="s">
        <v>48</v>
      </c>
      <c r="M106" s="33" t="n">
        <f>49850</f>
        <v>49850.0</v>
      </c>
      <c r="N106" s="34" t="s">
        <v>51</v>
      </c>
      <c r="O106" s="33" t="n">
        <f>47800</f>
        <v>47800.0</v>
      </c>
      <c r="P106" s="34" t="s">
        <v>97</v>
      </c>
      <c r="Q106" s="33" t="n">
        <f>49850</f>
        <v>49850.0</v>
      </c>
      <c r="R106" s="34" t="s">
        <v>51</v>
      </c>
      <c r="S106" s="35" t="n">
        <f>48797.62</f>
        <v>48797.62</v>
      </c>
      <c r="T106" s="32" t="n">
        <f>307253</f>
        <v>307253.0</v>
      </c>
      <c r="U106" s="32" t="n">
        <f>84000</f>
        <v>84000.0</v>
      </c>
      <c r="V106" s="32" t="n">
        <f>14993104950</f>
        <v>1.499310495E10</v>
      </c>
      <c r="W106" s="32" t="n">
        <f>4110191800</f>
        <v>4.1101918E9</v>
      </c>
      <c r="X106" s="36" t="n">
        <f>21</f>
        <v>21.0</v>
      </c>
    </row>
    <row r="107">
      <c r="A107" s="27" t="s">
        <v>42</v>
      </c>
      <c r="B107" s="27" t="s">
        <v>366</v>
      </c>
      <c r="C107" s="27" t="s">
        <v>367</v>
      </c>
      <c r="D107" s="27" t="s">
        <v>368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3000</f>
        <v>3000.0</v>
      </c>
      <c r="L107" s="34" t="s">
        <v>48</v>
      </c>
      <c r="M107" s="33" t="n">
        <f>3110</f>
        <v>3110.0</v>
      </c>
      <c r="N107" s="34" t="s">
        <v>180</v>
      </c>
      <c r="O107" s="33" t="n">
        <f>2960</f>
        <v>2960.0</v>
      </c>
      <c r="P107" s="34" t="s">
        <v>68</v>
      </c>
      <c r="Q107" s="33" t="n">
        <f>3060</f>
        <v>3060.0</v>
      </c>
      <c r="R107" s="34" t="s">
        <v>51</v>
      </c>
      <c r="S107" s="35" t="n">
        <f>3019.38</f>
        <v>3019.38</v>
      </c>
      <c r="T107" s="32" t="n">
        <f>16242</f>
        <v>16242.0</v>
      </c>
      <c r="U107" s="32" t="str">
        <f>"－"</f>
        <v>－</v>
      </c>
      <c r="V107" s="32" t="n">
        <f>48957202</f>
        <v>4.8957202E7</v>
      </c>
      <c r="W107" s="32" t="str">
        <f>"－"</f>
        <v>－</v>
      </c>
      <c r="X107" s="36" t="n">
        <f>21</f>
        <v>21.0</v>
      </c>
    </row>
    <row r="108">
      <c r="A108" s="27" t="s">
        <v>42</v>
      </c>
      <c r="B108" s="27" t="s">
        <v>369</v>
      </c>
      <c r="C108" s="27" t="s">
        <v>370</v>
      </c>
      <c r="D108" s="27" t="s">
        <v>371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1.0</v>
      </c>
      <c r="K108" s="33" t="n">
        <f>3970</f>
        <v>3970.0</v>
      </c>
      <c r="L108" s="34" t="s">
        <v>48</v>
      </c>
      <c r="M108" s="33" t="n">
        <f>4080</f>
        <v>4080.0</v>
      </c>
      <c r="N108" s="34" t="s">
        <v>51</v>
      </c>
      <c r="O108" s="33" t="n">
        <f>3735</f>
        <v>3735.0</v>
      </c>
      <c r="P108" s="34" t="s">
        <v>72</v>
      </c>
      <c r="Q108" s="33" t="n">
        <f>4050</f>
        <v>4050.0</v>
      </c>
      <c r="R108" s="34" t="s">
        <v>51</v>
      </c>
      <c r="S108" s="35" t="n">
        <f>3881.9</f>
        <v>3881.9</v>
      </c>
      <c r="T108" s="32" t="n">
        <f>13510</f>
        <v>13510.0</v>
      </c>
      <c r="U108" s="32" t="str">
        <f>"－"</f>
        <v>－</v>
      </c>
      <c r="V108" s="32" t="n">
        <f>52182900</f>
        <v>5.21829E7</v>
      </c>
      <c r="W108" s="32" t="str">
        <f>"－"</f>
        <v>－</v>
      </c>
      <c r="X108" s="36" t="n">
        <f>21</f>
        <v>21.0</v>
      </c>
    </row>
    <row r="109">
      <c r="A109" s="27" t="s">
        <v>42</v>
      </c>
      <c r="B109" s="27" t="s">
        <v>372</v>
      </c>
      <c r="C109" s="27" t="s">
        <v>373</v>
      </c>
      <c r="D109" s="27" t="s">
        <v>374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1.0</v>
      </c>
      <c r="K109" s="33" t="n">
        <f>4065</f>
        <v>4065.0</v>
      </c>
      <c r="L109" s="34" t="s">
        <v>48</v>
      </c>
      <c r="M109" s="33" t="n">
        <f>4505</f>
        <v>4505.0</v>
      </c>
      <c r="N109" s="34" t="s">
        <v>320</v>
      </c>
      <c r="O109" s="33" t="n">
        <f>3920</f>
        <v>3920.0</v>
      </c>
      <c r="P109" s="34" t="s">
        <v>375</v>
      </c>
      <c r="Q109" s="33" t="n">
        <f>4455</f>
        <v>4455.0</v>
      </c>
      <c r="R109" s="34" t="s">
        <v>51</v>
      </c>
      <c r="S109" s="35" t="n">
        <f>4160.95</f>
        <v>4160.95</v>
      </c>
      <c r="T109" s="32" t="n">
        <f>220922</f>
        <v>220922.0</v>
      </c>
      <c r="U109" s="32" t="n">
        <f>4</f>
        <v>4.0</v>
      </c>
      <c r="V109" s="32" t="n">
        <f>935978235</f>
        <v>9.35978235E8</v>
      </c>
      <c r="W109" s="32" t="n">
        <f>15950</f>
        <v>15950.0</v>
      </c>
      <c r="X109" s="36" t="n">
        <f>21</f>
        <v>21.0</v>
      </c>
    </row>
    <row r="110">
      <c r="A110" s="27" t="s">
        <v>42</v>
      </c>
      <c r="B110" s="27" t="s">
        <v>376</v>
      </c>
      <c r="C110" s="27" t="s">
        <v>377</v>
      </c>
      <c r="D110" s="27" t="s">
        <v>378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44400</f>
        <v>44400.0</v>
      </c>
      <c r="L110" s="34" t="s">
        <v>48</v>
      </c>
      <c r="M110" s="33" t="n">
        <f>44600</f>
        <v>44600.0</v>
      </c>
      <c r="N110" s="34" t="s">
        <v>51</v>
      </c>
      <c r="O110" s="33" t="n">
        <f>43600</f>
        <v>43600.0</v>
      </c>
      <c r="P110" s="34" t="s">
        <v>50</v>
      </c>
      <c r="Q110" s="33" t="n">
        <f>44550</f>
        <v>44550.0</v>
      </c>
      <c r="R110" s="34" t="s">
        <v>51</v>
      </c>
      <c r="S110" s="35" t="n">
        <f>44159.52</f>
        <v>44159.52</v>
      </c>
      <c r="T110" s="32" t="n">
        <f>16448</f>
        <v>16448.0</v>
      </c>
      <c r="U110" s="32" t="n">
        <f>112</f>
        <v>112.0</v>
      </c>
      <c r="V110" s="32" t="n">
        <f>724893365</f>
        <v>7.24893365E8</v>
      </c>
      <c r="W110" s="32" t="n">
        <f>4973315</f>
        <v>4973315.0</v>
      </c>
      <c r="X110" s="36" t="n">
        <f>21</f>
        <v>21.0</v>
      </c>
    </row>
    <row r="111">
      <c r="A111" s="27" t="s">
        <v>42</v>
      </c>
      <c r="B111" s="27" t="s">
        <v>379</v>
      </c>
      <c r="C111" s="27" t="s">
        <v>380</v>
      </c>
      <c r="D111" s="27" t="s">
        <v>381</v>
      </c>
      <c r="E111" s="28" t="s">
        <v>46</v>
      </c>
      <c r="F111" s="29" t="s">
        <v>46</v>
      </c>
      <c r="G111" s="30" t="s">
        <v>46</v>
      </c>
      <c r="H111" s="31" t="s">
        <v>121</v>
      </c>
      <c r="I111" s="31" t="s">
        <v>47</v>
      </c>
      <c r="J111" s="32" t="n">
        <v>10.0</v>
      </c>
      <c r="K111" s="33" t="n">
        <f>1245</f>
        <v>1245.0</v>
      </c>
      <c r="L111" s="34" t="s">
        <v>72</v>
      </c>
      <c r="M111" s="33" t="n">
        <f>1290</f>
        <v>1290.0</v>
      </c>
      <c r="N111" s="34" t="s">
        <v>320</v>
      </c>
      <c r="O111" s="33" t="n">
        <f>1227</f>
        <v>1227.0</v>
      </c>
      <c r="P111" s="34" t="s">
        <v>72</v>
      </c>
      <c r="Q111" s="33" t="n">
        <f>1250</f>
        <v>1250.0</v>
      </c>
      <c r="R111" s="34" t="s">
        <v>73</v>
      </c>
      <c r="S111" s="35" t="n">
        <f>1248.4</f>
        <v>1248.4</v>
      </c>
      <c r="T111" s="32" t="n">
        <f>570</f>
        <v>570.0</v>
      </c>
      <c r="U111" s="32" t="str">
        <f>"－"</f>
        <v>－</v>
      </c>
      <c r="V111" s="32" t="n">
        <f>709750</f>
        <v>709750.0</v>
      </c>
      <c r="W111" s="32" t="str">
        <f>"－"</f>
        <v>－</v>
      </c>
      <c r="X111" s="36" t="n">
        <f>5</f>
        <v>5.0</v>
      </c>
    </row>
    <row r="112">
      <c r="A112" s="27" t="s">
        <v>42</v>
      </c>
      <c r="B112" s="27" t="s">
        <v>382</v>
      </c>
      <c r="C112" s="27" t="s">
        <v>383</v>
      </c>
      <c r="D112" s="27" t="s">
        <v>384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10.0</v>
      </c>
      <c r="K112" s="33" t="n">
        <f>23230</f>
        <v>23230.0</v>
      </c>
      <c r="L112" s="34" t="s">
        <v>48</v>
      </c>
      <c r="M112" s="33" t="n">
        <f>24470</f>
        <v>24470.0</v>
      </c>
      <c r="N112" s="34" t="s">
        <v>49</v>
      </c>
      <c r="O112" s="33" t="n">
        <f>22170</f>
        <v>22170.0</v>
      </c>
      <c r="P112" s="34" t="s">
        <v>50</v>
      </c>
      <c r="Q112" s="33" t="n">
        <f>24190</f>
        <v>24190.0</v>
      </c>
      <c r="R112" s="34" t="s">
        <v>51</v>
      </c>
      <c r="S112" s="35" t="n">
        <f>23476.67</f>
        <v>23476.67</v>
      </c>
      <c r="T112" s="32" t="n">
        <f>3636270</f>
        <v>3636270.0</v>
      </c>
      <c r="U112" s="32" t="n">
        <f>3960</f>
        <v>3960.0</v>
      </c>
      <c r="V112" s="32" t="n">
        <f>85311350200</f>
        <v>8.53113502E10</v>
      </c>
      <c r="W112" s="32" t="n">
        <f>93502500</f>
        <v>9.35025E7</v>
      </c>
      <c r="X112" s="36" t="n">
        <f>21</f>
        <v>21.0</v>
      </c>
    </row>
    <row r="113">
      <c r="A113" s="27" t="s">
        <v>42</v>
      </c>
      <c r="B113" s="27" t="s">
        <v>385</v>
      </c>
      <c r="C113" s="27" t="s">
        <v>386</v>
      </c>
      <c r="D113" s="27" t="s">
        <v>387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10.0</v>
      </c>
      <c r="K113" s="33" t="n">
        <f>2256</f>
        <v>2256.0</v>
      </c>
      <c r="L113" s="34" t="s">
        <v>48</v>
      </c>
      <c r="M113" s="33" t="n">
        <f>2302</f>
        <v>2302.0</v>
      </c>
      <c r="N113" s="34" t="s">
        <v>50</v>
      </c>
      <c r="O113" s="33" t="n">
        <f>2192</f>
        <v>2192.0</v>
      </c>
      <c r="P113" s="34" t="s">
        <v>51</v>
      </c>
      <c r="Q113" s="33" t="n">
        <f>2201</f>
        <v>2201.0</v>
      </c>
      <c r="R113" s="34" t="s">
        <v>51</v>
      </c>
      <c r="S113" s="35" t="n">
        <f>2238.57</f>
        <v>2238.57</v>
      </c>
      <c r="T113" s="32" t="n">
        <f>379230</f>
        <v>379230.0</v>
      </c>
      <c r="U113" s="32" t="n">
        <f>27650</f>
        <v>27650.0</v>
      </c>
      <c r="V113" s="32" t="n">
        <f>847931820</f>
        <v>8.4793182E8</v>
      </c>
      <c r="W113" s="32" t="n">
        <f>61736500</f>
        <v>6.17365E7</v>
      </c>
      <c r="X113" s="36" t="n">
        <f>21</f>
        <v>21.0</v>
      </c>
    </row>
    <row r="114">
      <c r="A114" s="27" t="s">
        <v>42</v>
      </c>
      <c r="B114" s="27" t="s">
        <v>388</v>
      </c>
      <c r="C114" s="27" t="s">
        <v>389</v>
      </c>
      <c r="D114" s="27" t="s">
        <v>390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1.0</v>
      </c>
      <c r="K114" s="33" t="n">
        <f>14360</f>
        <v>14360.0</v>
      </c>
      <c r="L114" s="34" t="s">
        <v>48</v>
      </c>
      <c r="M114" s="33" t="n">
        <f>15130</f>
        <v>15130.0</v>
      </c>
      <c r="N114" s="34" t="s">
        <v>49</v>
      </c>
      <c r="O114" s="33" t="n">
        <f>13740</f>
        <v>13740.0</v>
      </c>
      <c r="P114" s="34" t="s">
        <v>50</v>
      </c>
      <c r="Q114" s="33" t="n">
        <f>14940</f>
        <v>14940.0</v>
      </c>
      <c r="R114" s="34" t="s">
        <v>51</v>
      </c>
      <c r="S114" s="35" t="n">
        <f>14507.62</f>
        <v>14507.62</v>
      </c>
      <c r="T114" s="32" t="n">
        <f>111333359</f>
        <v>1.11333359E8</v>
      </c>
      <c r="U114" s="32" t="n">
        <f>59425</f>
        <v>59425.0</v>
      </c>
      <c r="V114" s="32" t="n">
        <f>1611859120654</f>
        <v>1.611859120654E12</v>
      </c>
      <c r="W114" s="32" t="n">
        <f>857508884</f>
        <v>8.57508884E8</v>
      </c>
      <c r="X114" s="36" t="n">
        <f>21</f>
        <v>21.0</v>
      </c>
    </row>
    <row r="115">
      <c r="A115" s="27" t="s">
        <v>42</v>
      </c>
      <c r="B115" s="27" t="s">
        <v>391</v>
      </c>
      <c r="C115" s="27" t="s">
        <v>392</v>
      </c>
      <c r="D115" s="27" t="s">
        <v>393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1056</f>
        <v>1056.0</v>
      </c>
      <c r="L115" s="34" t="s">
        <v>48</v>
      </c>
      <c r="M115" s="33" t="n">
        <f>1076</f>
        <v>1076.0</v>
      </c>
      <c r="N115" s="34" t="s">
        <v>50</v>
      </c>
      <c r="O115" s="33" t="n">
        <f>1027</f>
        <v>1027.0</v>
      </c>
      <c r="P115" s="34" t="s">
        <v>49</v>
      </c>
      <c r="Q115" s="33" t="n">
        <f>1031</f>
        <v>1031.0</v>
      </c>
      <c r="R115" s="34" t="s">
        <v>51</v>
      </c>
      <c r="S115" s="35" t="n">
        <f>1048.43</f>
        <v>1048.43</v>
      </c>
      <c r="T115" s="32" t="n">
        <f>12842553</f>
        <v>1.2842553E7</v>
      </c>
      <c r="U115" s="32" t="n">
        <f>960000</f>
        <v>960000.0</v>
      </c>
      <c r="V115" s="32" t="n">
        <f>13486433881</f>
        <v>1.3486433881E10</v>
      </c>
      <c r="W115" s="32" t="n">
        <f>990336000</f>
        <v>9.90336E8</v>
      </c>
      <c r="X115" s="36" t="n">
        <f>21</f>
        <v>21.0</v>
      </c>
    </row>
    <row r="116">
      <c r="A116" s="27" t="s">
        <v>42</v>
      </c>
      <c r="B116" s="27" t="s">
        <v>394</v>
      </c>
      <c r="C116" s="27" t="s">
        <v>395</v>
      </c>
      <c r="D116" s="27" t="s">
        <v>396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10.0</v>
      </c>
      <c r="K116" s="33" t="n">
        <f>8400</f>
        <v>8400.0</v>
      </c>
      <c r="L116" s="34" t="s">
        <v>48</v>
      </c>
      <c r="M116" s="33" t="n">
        <f>9120</f>
        <v>9120.0</v>
      </c>
      <c r="N116" s="34" t="s">
        <v>49</v>
      </c>
      <c r="O116" s="33" t="n">
        <f>7550</f>
        <v>7550.0</v>
      </c>
      <c r="P116" s="34" t="s">
        <v>50</v>
      </c>
      <c r="Q116" s="33" t="n">
        <f>8030</f>
        <v>8030.0</v>
      </c>
      <c r="R116" s="34" t="s">
        <v>51</v>
      </c>
      <c r="S116" s="35" t="n">
        <f>8353.81</f>
        <v>8353.81</v>
      </c>
      <c r="T116" s="32" t="n">
        <f>53690</f>
        <v>53690.0</v>
      </c>
      <c r="U116" s="32" t="n">
        <f>80</f>
        <v>80.0</v>
      </c>
      <c r="V116" s="32" t="n">
        <f>440669500</f>
        <v>4.406695E8</v>
      </c>
      <c r="W116" s="32" t="n">
        <f>641600</f>
        <v>641600.0</v>
      </c>
      <c r="X116" s="36" t="n">
        <f>21</f>
        <v>21.0</v>
      </c>
    </row>
    <row r="117">
      <c r="A117" s="27" t="s">
        <v>42</v>
      </c>
      <c r="B117" s="27" t="s">
        <v>397</v>
      </c>
      <c r="C117" s="27" t="s">
        <v>398</v>
      </c>
      <c r="D117" s="27" t="s">
        <v>399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10.0</v>
      </c>
      <c r="K117" s="33" t="n">
        <f>7550</f>
        <v>7550.0</v>
      </c>
      <c r="L117" s="34" t="s">
        <v>48</v>
      </c>
      <c r="M117" s="33" t="n">
        <f>8000</f>
        <v>8000.0</v>
      </c>
      <c r="N117" s="34" t="s">
        <v>50</v>
      </c>
      <c r="O117" s="33" t="n">
        <f>7210</f>
        <v>7210.0</v>
      </c>
      <c r="P117" s="34" t="s">
        <v>187</v>
      </c>
      <c r="Q117" s="33" t="n">
        <f>7840</f>
        <v>7840.0</v>
      </c>
      <c r="R117" s="34" t="s">
        <v>51</v>
      </c>
      <c r="S117" s="35" t="n">
        <f>7596.19</f>
        <v>7596.19</v>
      </c>
      <c r="T117" s="32" t="n">
        <f>12400</f>
        <v>12400.0</v>
      </c>
      <c r="U117" s="32" t="str">
        <f>"－"</f>
        <v>－</v>
      </c>
      <c r="V117" s="32" t="n">
        <f>95079000</f>
        <v>9.5079E7</v>
      </c>
      <c r="W117" s="32" t="str">
        <f>"－"</f>
        <v>－</v>
      </c>
      <c r="X117" s="36" t="n">
        <f>21</f>
        <v>21.0</v>
      </c>
    </row>
    <row r="118">
      <c r="A118" s="27" t="s">
        <v>42</v>
      </c>
      <c r="B118" s="27" t="s">
        <v>400</v>
      </c>
      <c r="C118" s="27" t="s">
        <v>401</v>
      </c>
      <c r="D118" s="27" t="s">
        <v>402</v>
      </c>
      <c r="E118" s="28" t="s">
        <v>46</v>
      </c>
      <c r="F118" s="29" t="s">
        <v>46</v>
      </c>
      <c r="G118" s="30" t="s">
        <v>46</v>
      </c>
      <c r="H118" s="31" t="s">
        <v>121</v>
      </c>
      <c r="I118" s="31" t="s">
        <v>47</v>
      </c>
      <c r="J118" s="32" t="n">
        <v>10.0</v>
      </c>
      <c r="K118" s="33" t="n">
        <f>1650</f>
        <v>1650.0</v>
      </c>
      <c r="L118" s="34" t="s">
        <v>72</v>
      </c>
      <c r="M118" s="33" t="n">
        <f>1680</f>
        <v>1680.0</v>
      </c>
      <c r="N118" s="34" t="s">
        <v>320</v>
      </c>
      <c r="O118" s="33" t="n">
        <f>1645</f>
        <v>1645.0</v>
      </c>
      <c r="P118" s="34" t="s">
        <v>72</v>
      </c>
      <c r="Q118" s="33" t="n">
        <f>1677</f>
        <v>1677.0</v>
      </c>
      <c r="R118" s="34" t="s">
        <v>93</v>
      </c>
      <c r="S118" s="35" t="n">
        <f>1661.2</f>
        <v>1661.2</v>
      </c>
      <c r="T118" s="32" t="n">
        <f>2490</f>
        <v>2490.0</v>
      </c>
      <c r="U118" s="32" t="str">
        <f>"－"</f>
        <v>－</v>
      </c>
      <c r="V118" s="32" t="n">
        <f>4103050</f>
        <v>4103050.0</v>
      </c>
      <c r="W118" s="32" t="str">
        <f>"－"</f>
        <v>－</v>
      </c>
      <c r="X118" s="36" t="n">
        <f>5</f>
        <v>5.0</v>
      </c>
    </row>
    <row r="119">
      <c r="A119" s="27" t="s">
        <v>42</v>
      </c>
      <c r="B119" s="27" t="s">
        <v>403</v>
      </c>
      <c r="C119" s="27" t="s">
        <v>404</v>
      </c>
      <c r="D119" s="27" t="s">
        <v>405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10.0</v>
      </c>
      <c r="K119" s="33" t="n">
        <f>800</f>
        <v>800.0</v>
      </c>
      <c r="L119" s="34" t="s">
        <v>48</v>
      </c>
      <c r="M119" s="33" t="n">
        <f>823</f>
        <v>823.0</v>
      </c>
      <c r="N119" s="34" t="s">
        <v>61</v>
      </c>
      <c r="O119" s="33" t="n">
        <f>744</f>
        <v>744.0</v>
      </c>
      <c r="P119" s="34" t="s">
        <v>50</v>
      </c>
      <c r="Q119" s="33" t="n">
        <f>766</f>
        <v>766.0</v>
      </c>
      <c r="R119" s="34" t="s">
        <v>51</v>
      </c>
      <c r="S119" s="35" t="n">
        <f>782.33</f>
        <v>782.33</v>
      </c>
      <c r="T119" s="32" t="n">
        <f>18440</f>
        <v>18440.0</v>
      </c>
      <c r="U119" s="32" t="n">
        <f>10</f>
        <v>10.0</v>
      </c>
      <c r="V119" s="32" t="n">
        <f>14298600</f>
        <v>1.42986E7</v>
      </c>
      <c r="W119" s="32" t="n">
        <f>8050</f>
        <v>8050.0</v>
      </c>
      <c r="X119" s="36" t="n">
        <f>21</f>
        <v>21.0</v>
      </c>
    </row>
    <row r="120">
      <c r="A120" s="27" t="s">
        <v>42</v>
      </c>
      <c r="B120" s="27" t="s">
        <v>406</v>
      </c>
      <c r="C120" s="27" t="s">
        <v>407</v>
      </c>
      <c r="D120" s="27" t="s">
        <v>408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1.0</v>
      </c>
      <c r="K120" s="33" t="n">
        <f>22260</f>
        <v>22260.0</v>
      </c>
      <c r="L120" s="34" t="s">
        <v>48</v>
      </c>
      <c r="M120" s="33" t="n">
        <f>23150</f>
        <v>23150.0</v>
      </c>
      <c r="N120" s="34" t="s">
        <v>49</v>
      </c>
      <c r="O120" s="33" t="n">
        <f>21980</f>
        <v>21980.0</v>
      </c>
      <c r="P120" s="34" t="s">
        <v>50</v>
      </c>
      <c r="Q120" s="33" t="n">
        <f>22610</f>
        <v>22610.0</v>
      </c>
      <c r="R120" s="34" t="s">
        <v>51</v>
      </c>
      <c r="S120" s="35" t="n">
        <f>22505.24</f>
        <v>22505.24</v>
      </c>
      <c r="T120" s="32" t="n">
        <f>39803</f>
        <v>39803.0</v>
      </c>
      <c r="U120" s="32" t="n">
        <f>2</f>
        <v>2.0</v>
      </c>
      <c r="V120" s="32" t="n">
        <f>899977640</f>
        <v>8.9997764E8</v>
      </c>
      <c r="W120" s="32" t="n">
        <f>44990</f>
        <v>44990.0</v>
      </c>
      <c r="X120" s="36" t="n">
        <f>21</f>
        <v>21.0</v>
      </c>
    </row>
    <row r="121">
      <c r="A121" s="27" t="s">
        <v>42</v>
      </c>
      <c r="B121" s="27" t="s">
        <v>409</v>
      </c>
      <c r="C121" s="27" t="s">
        <v>410</v>
      </c>
      <c r="D121" s="27" t="s">
        <v>411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2196</f>
        <v>2196.0</v>
      </c>
      <c r="L121" s="34" t="s">
        <v>48</v>
      </c>
      <c r="M121" s="33" t="n">
        <f>2251</f>
        <v>2251.0</v>
      </c>
      <c r="N121" s="34" t="s">
        <v>49</v>
      </c>
      <c r="O121" s="33" t="n">
        <f>2148</f>
        <v>2148.0</v>
      </c>
      <c r="P121" s="34" t="s">
        <v>50</v>
      </c>
      <c r="Q121" s="33" t="n">
        <f>2240</f>
        <v>2240.0</v>
      </c>
      <c r="R121" s="34" t="s">
        <v>51</v>
      </c>
      <c r="S121" s="35" t="n">
        <f>2206.24</f>
        <v>2206.24</v>
      </c>
      <c r="T121" s="32" t="n">
        <f>24112</f>
        <v>24112.0</v>
      </c>
      <c r="U121" s="32" t="str">
        <f>"－"</f>
        <v>－</v>
      </c>
      <c r="V121" s="32" t="n">
        <f>53035361</f>
        <v>5.3035361E7</v>
      </c>
      <c r="W121" s="32" t="str">
        <f>"－"</f>
        <v>－</v>
      </c>
      <c r="X121" s="36" t="n">
        <f>21</f>
        <v>21.0</v>
      </c>
    </row>
    <row r="122">
      <c r="A122" s="27" t="s">
        <v>42</v>
      </c>
      <c r="B122" s="27" t="s">
        <v>412</v>
      </c>
      <c r="C122" s="27" t="s">
        <v>413</v>
      </c>
      <c r="D122" s="27" t="s">
        <v>414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10.0</v>
      </c>
      <c r="K122" s="33" t="n">
        <f>15340</f>
        <v>15340.0</v>
      </c>
      <c r="L122" s="34" t="s">
        <v>48</v>
      </c>
      <c r="M122" s="33" t="n">
        <f>16170</f>
        <v>16170.0</v>
      </c>
      <c r="N122" s="34" t="s">
        <v>49</v>
      </c>
      <c r="O122" s="33" t="n">
        <f>14680</f>
        <v>14680.0</v>
      </c>
      <c r="P122" s="34" t="s">
        <v>50</v>
      </c>
      <c r="Q122" s="33" t="n">
        <f>15970</f>
        <v>15970.0</v>
      </c>
      <c r="R122" s="34" t="s">
        <v>51</v>
      </c>
      <c r="S122" s="35" t="n">
        <f>15502.86</f>
        <v>15502.86</v>
      </c>
      <c r="T122" s="32" t="n">
        <f>18820660</f>
        <v>1.882066E7</v>
      </c>
      <c r="U122" s="32" t="n">
        <f>10660</f>
        <v>10660.0</v>
      </c>
      <c r="V122" s="32" t="n">
        <f>291116608260</f>
        <v>2.9111660826E11</v>
      </c>
      <c r="W122" s="32" t="n">
        <f>163840360</f>
        <v>1.6384036E8</v>
      </c>
      <c r="X122" s="36" t="n">
        <f>21</f>
        <v>21.0</v>
      </c>
    </row>
    <row r="123">
      <c r="A123" s="27" t="s">
        <v>42</v>
      </c>
      <c r="B123" s="27" t="s">
        <v>415</v>
      </c>
      <c r="C123" s="27" t="s">
        <v>416</v>
      </c>
      <c r="D123" s="27" t="s">
        <v>417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10.0</v>
      </c>
      <c r="K123" s="33" t="n">
        <f>2813</f>
        <v>2813.0</v>
      </c>
      <c r="L123" s="34" t="s">
        <v>48</v>
      </c>
      <c r="M123" s="33" t="n">
        <f>2868</f>
        <v>2868.0</v>
      </c>
      <c r="N123" s="34" t="s">
        <v>50</v>
      </c>
      <c r="O123" s="33" t="n">
        <f>2738</f>
        <v>2738.0</v>
      </c>
      <c r="P123" s="34" t="s">
        <v>49</v>
      </c>
      <c r="Q123" s="33" t="n">
        <f>2750</f>
        <v>2750.0</v>
      </c>
      <c r="R123" s="34" t="s">
        <v>51</v>
      </c>
      <c r="S123" s="35" t="n">
        <f>2794.1</f>
        <v>2794.1</v>
      </c>
      <c r="T123" s="32" t="n">
        <f>882040</f>
        <v>882040.0</v>
      </c>
      <c r="U123" s="32" t="str">
        <f>"－"</f>
        <v>－</v>
      </c>
      <c r="V123" s="32" t="n">
        <f>2459669650</f>
        <v>2.45966965E9</v>
      </c>
      <c r="W123" s="32" t="str">
        <f>"－"</f>
        <v>－</v>
      </c>
      <c r="X123" s="36" t="n">
        <f>21</f>
        <v>21.0</v>
      </c>
    </row>
    <row r="124">
      <c r="A124" s="27" t="s">
        <v>42</v>
      </c>
      <c r="B124" s="27" t="s">
        <v>418</v>
      </c>
      <c r="C124" s="27" t="s">
        <v>419</v>
      </c>
      <c r="D124" s="27" t="s">
        <v>420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10.0</v>
      </c>
      <c r="K124" s="33" t="n">
        <f>1010</f>
        <v>1010.0</v>
      </c>
      <c r="L124" s="34" t="s">
        <v>48</v>
      </c>
      <c r="M124" s="33" t="n">
        <f>1038</f>
        <v>1038.0</v>
      </c>
      <c r="N124" s="34" t="s">
        <v>49</v>
      </c>
      <c r="O124" s="33" t="n">
        <f>946</f>
        <v>946.0</v>
      </c>
      <c r="P124" s="34" t="s">
        <v>68</v>
      </c>
      <c r="Q124" s="33" t="n">
        <f>982</f>
        <v>982.0</v>
      </c>
      <c r="R124" s="34" t="s">
        <v>51</v>
      </c>
      <c r="S124" s="35" t="n">
        <f>996.71</f>
        <v>996.71</v>
      </c>
      <c r="T124" s="32" t="n">
        <f>1940</f>
        <v>1940.0</v>
      </c>
      <c r="U124" s="32" t="n">
        <f>10</f>
        <v>10.0</v>
      </c>
      <c r="V124" s="32" t="n">
        <f>1925610</f>
        <v>1925610.0</v>
      </c>
      <c r="W124" s="32" t="n">
        <f>10200</f>
        <v>10200.0</v>
      </c>
      <c r="X124" s="36" t="n">
        <f>17</f>
        <v>17.0</v>
      </c>
    </row>
    <row r="125">
      <c r="A125" s="27" t="s">
        <v>42</v>
      </c>
      <c r="B125" s="27" t="s">
        <v>421</v>
      </c>
      <c r="C125" s="27" t="s">
        <v>422</v>
      </c>
      <c r="D125" s="27" t="s">
        <v>423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10.0</v>
      </c>
      <c r="K125" s="33" t="n">
        <f>1531</f>
        <v>1531.0</v>
      </c>
      <c r="L125" s="34" t="s">
        <v>101</v>
      </c>
      <c r="M125" s="33" t="n">
        <f>1543</f>
        <v>1543.0</v>
      </c>
      <c r="N125" s="34" t="s">
        <v>49</v>
      </c>
      <c r="O125" s="33" t="n">
        <f>1487</f>
        <v>1487.0</v>
      </c>
      <c r="P125" s="34" t="s">
        <v>50</v>
      </c>
      <c r="Q125" s="33" t="n">
        <f>1526</f>
        <v>1526.0</v>
      </c>
      <c r="R125" s="34" t="s">
        <v>93</v>
      </c>
      <c r="S125" s="35" t="n">
        <f>1519.56</f>
        <v>1519.56</v>
      </c>
      <c r="T125" s="32" t="n">
        <f>250</f>
        <v>250.0</v>
      </c>
      <c r="U125" s="32" t="str">
        <f>"－"</f>
        <v>－</v>
      </c>
      <c r="V125" s="32" t="n">
        <f>380780</f>
        <v>380780.0</v>
      </c>
      <c r="W125" s="32" t="str">
        <f>"－"</f>
        <v>－</v>
      </c>
      <c r="X125" s="36" t="n">
        <f>9</f>
        <v>9.0</v>
      </c>
    </row>
    <row r="126">
      <c r="A126" s="27" t="s">
        <v>42</v>
      </c>
      <c r="B126" s="27" t="s">
        <v>424</v>
      </c>
      <c r="C126" s="27" t="s">
        <v>425</v>
      </c>
      <c r="D126" s="27" t="s">
        <v>426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1.0</v>
      </c>
      <c r="K126" s="33" t="n">
        <f>1711</f>
        <v>1711.0</v>
      </c>
      <c r="L126" s="34" t="s">
        <v>48</v>
      </c>
      <c r="M126" s="33" t="n">
        <f>1763</f>
        <v>1763.0</v>
      </c>
      <c r="N126" s="34" t="s">
        <v>179</v>
      </c>
      <c r="O126" s="33" t="n">
        <f>1630</f>
        <v>1630.0</v>
      </c>
      <c r="P126" s="34" t="s">
        <v>50</v>
      </c>
      <c r="Q126" s="33" t="n">
        <f>1741</f>
        <v>1741.0</v>
      </c>
      <c r="R126" s="34" t="s">
        <v>51</v>
      </c>
      <c r="S126" s="35" t="n">
        <f>1724.89</f>
        <v>1724.89</v>
      </c>
      <c r="T126" s="32" t="n">
        <f>170827</f>
        <v>170827.0</v>
      </c>
      <c r="U126" s="32" t="n">
        <f>170001</f>
        <v>170001.0</v>
      </c>
      <c r="V126" s="32" t="n">
        <f>294125543</f>
        <v>2.94125543E8</v>
      </c>
      <c r="W126" s="32" t="n">
        <f>292721351</f>
        <v>2.92721351E8</v>
      </c>
      <c r="X126" s="36" t="n">
        <f>19</f>
        <v>19.0</v>
      </c>
    </row>
    <row r="127">
      <c r="A127" s="27" t="s">
        <v>42</v>
      </c>
      <c r="B127" s="27" t="s">
        <v>427</v>
      </c>
      <c r="C127" s="27" t="s">
        <v>428</v>
      </c>
      <c r="D127" s="27" t="s">
        <v>429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1.0</v>
      </c>
      <c r="K127" s="33" t="n">
        <f>17300</f>
        <v>17300.0</v>
      </c>
      <c r="L127" s="34" t="s">
        <v>48</v>
      </c>
      <c r="M127" s="33" t="n">
        <f>17820</f>
        <v>17820.0</v>
      </c>
      <c r="N127" s="34" t="s">
        <v>49</v>
      </c>
      <c r="O127" s="33" t="n">
        <f>17010</f>
        <v>17010.0</v>
      </c>
      <c r="P127" s="34" t="s">
        <v>50</v>
      </c>
      <c r="Q127" s="33" t="n">
        <f>17710</f>
        <v>17710.0</v>
      </c>
      <c r="R127" s="34" t="s">
        <v>51</v>
      </c>
      <c r="S127" s="35" t="n">
        <f>17462.38</f>
        <v>17462.38</v>
      </c>
      <c r="T127" s="32" t="n">
        <f>68321</f>
        <v>68321.0</v>
      </c>
      <c r="U127" s="32" t="n">
        <f>36800</f>
        <v>36800.0</v>
      </c>
      <c r="V127" s="32" t="n">
        <f>1194418830</f>
        <v>1.19441883E9</v>
      </c>
      <c r="W127" s="32" t="n">
        <f>647856700</f>
        <v>6.478567E8</v>
      </c>
      <c r="X127" s="36" t="n">
        <f>21</f>
        <v>21.0</v>
      </c>
    </row>
    <row r="128">
      <c r="A128" s="27" t="s">
        <v>42</v>
      </c>
      <c r="B128" s="27" t="s">
        <v>430</v>
      </c>
      <c r="C128" s="27" t="s">
        <v>431</v>
      </c>
      <c r="D128" s="27" t="s">
        <v>432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1577</f>
        <v>1577.0</v>
      </c>
      <c r="L128" s="34" t="s">
        <v>48</v>
      </c>
      <c r="M128" s="33" t="n">
        <f>1623</f>
        <v>1623.0</v>
      </c>
      <c r="N128" s="34" t="s">
        <v>49</v>
      </c>
      <c r="O128" s="33" t="n">
        <f>1551</f>
        <v>1551.0</v>
      </c>
      <c r="P128" s="34" t="s">
        <v>50</v>
      </c>
      <c r="Q128" s="33" t="n">
        <f>1617</f>
        <v>1617.0</v>
      </c>
      <c r="R128" s="34" t="s">
        <v>51</v>
      </c>
      <c r="S128" s="35" t="n">
        <f>1592.1</f>
        <v>1592.1</v>
      </c>
      <c r="T128" s="32" t="n">
        <f>54710</f>
        <v>54710.0</v>
      </c>
      <c r="U128" s="32" t="str">
        <f>"－"</f>
        <v>－</v>
      </c>
      <c r="V128" s="32" t="n">
        <f>86961406</f>
        <v>8.6961406E7</v>
      </c>
      <c r="W128" s="32" t="str">
        <f>"－"</f>
        <v>－</v>
      </c>
      <c r="X128" s="36" t="n">
        <f>21</f>
        <v>21.0</v>
      </c>
    </row>
    <row r="129">
      <c r="A129" s="27" t="s">
        <v>42</v>
      </c>
      <c r="B129" s="27" t="s">
        <v>433</v>
      </c>
      <c r="C129" s="27" t="s">
        <v>434</v>
      </c>
      <c r="D129" s="27" t="s">
        <v>435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17650</f>
        <v>17650.0</v>
      </c>
      <c r="L129" s="34" t="s">
        <v>48</v>
      </c>
      <c r="M129" s="33" t="n">
        <f>18150</f>
        <v>18150.0</v>
      </c>
      <c r="N129" s="34" t="s">
        <v>49</v>
      </c>
      <c r="O129" s="33" t="n">
        <f>17330</f>
        <v>17330.0</v>
      </c>
      <c r="P129" s="34" t="s">
        <v>50</v>
      </c>
      <c r="Q129" s="33" t="n">
        <f>18050</f>
        <v>18050.0</v>
      </c>
      <c r="R129" s="34" t="s">
        <v>51</v>
      </c>
      <c r="S129" s="35" t="n">
        <f>17788.57</f>
        <v>17788.57</v>
      </c>
      <c r="T129" s="32" t="n">
        <f>12501</f>
        <v>12501.0</v>
      </c>
      <c r="U129" s="32" t="str">
        <f>"－"</f>
        <v>－</v>
      </c>
      <c r="V129" s="32" t="n">
        <f>222278760</f>
        <v>2.2227876E8</v>
      </c>
      <c r="W129" s="32" t="str">
        <f>"－"</f>
        <v>－</v>
      </c>
      <c r="X129" s="36" t="n">
        <f>21</f>
        <v>21.0</v>
      </c>
    </row>
    <row r="130">
      <c r="A130" s="27" t="s">
        <v>42</v>
      </c>
      <c r="B130" s="27" t="s">
        <v>436</v>
      </c>
      <c r="C130" s="27" t="s">
        <v>437</v>
      </c>
      <c r="D130" s="27" t="s">
        <v>438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10.0</v>
      </c>
      <c r="K130" s="33" t="n">
        <f>2196</f>
        <v>2196.0</v>
      </c>
      <c r="L130" s="34" t="s">
        <v>48</v>
      </c>
      <c r="M130" s="33" t="n">
        <f>2222</f>
        <v>2222.0</v>
      </c>
      <c r="N130" s="34" t="s">
        <v>93</v>
      </c>
      <c r="O130" s="33" t="n">
        <f>2115</f>
        <v>2115.0</v>
      </c>
      <c r="P130" s="34" t="s">
        <v>117</v>
      </c>
      <c r="Q130" s="33" t="n">
        <f>2187</f>
        <v>2187.0</v>
      </c>
      <c r="R130" s="34" t="s">
        <v>51</v>
      </c>
      <c r="S130" s="35" t="n">
        <f>2172.38</f>
        <v>2172.38</v>
      </c>
      <c r="T130" s="32" t="n">
        <f>5252460</f>
        <v>5252460.0</v>
      </c>
      <c r="U130" s="32" t="n">
        <f>1404400</f>
        <v>1404400.0</v>
      </c>
      <c r="V130" s="32" t="n">
        <f>11496339450</f>
        <v>1.149633945E10</v>
      </c>
      <c r="W130" s="32" t="n">
        <f>3064098730</f>
        <v>3.06409873E9</v>
      </c>
      <c r="X130" s="36" t="n">
        <f>21</f>
        <v>21.0</v>
      </c>
    </row>
    <row r="131">
      <c r="A131" s="27" t="s">
        <v>42</v>
      </c>
      <c r="B131" s="27" t="s">
        <v>439</v>
      </c>
      <c r="C131" s="27" t="s">
        <v>440</v>
      </c>
      <c r="D131" s="27" t="s">
        <v>441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10.0</v>
      </c>
      <c r="K131" s="33" t="n">
        <f>1717</f>
        <v>1717.0</v>
      </c>
      <c r="L131" s="34" t="s">
        <v>49</v>
      </c>
      <c r="M131" s="33" t="n">
        <f>1717</f>
        <v>1717.0</v>
      </c>
      <c r="N131" s="34" t="s">
        <v>49</v>
      </c>
      <c r="O131" s="33" t="n">
        <f>1654</f>
        <v>1654.0</v>
      </c>
      <c r="P131" s="34" t="s">
        <v>50</v>
      </c>
      <c r="Q131" s="33" t="n">
        <f>1717</f>
        <v>1717.0</v>
      </c>
      <c r="R131" s="34" t="s">
        <v>51</v>
      </c>
      <c r="S131" s="35" t="n">
        <f>1694.57</f>
        <v>1694.57</v>
      </c>
      <c r="T131" s="32" t="n">
        <f>1240</f>
        <v>1240.0</v>
      </c>
      <c r="U131" s="32" t="str">
        <f>"－"</f>
        <v>－</v>
      </c>
      <c r="V131" s="32" t="n">
        <f>2122980</f>
        <v>2122980.0</v>
      </c>
      <c r="W131" s="32" t="str">
        <f>"－"</f>
        <v>－</v>
      </c>
      <c r="X131" s="36" t="n">
        <f>7</f>
        <v>7.0</v>
      </c>
    </row>
    <row r="132">
      <c r="A132" s="27" t="s">
        <v>42</v>
      </c>
      <c r="B132" s="27" t="s">
        <v>442</v>
      </c>
      <c r="C132" s="27" t="s">
        <v>443</v>
      </c>
      <c r="D132" s="27" t="s">
        <v>444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2222</f>
        <v>2222.0</v>
      </c>
      <c r="L132" s="34" t="s">
        <v>48</v>
      </c>
      <c r="M132" s="33" t="n">
        <f>2243</f>
        <v>2243.0</v>
      </c>
      <c r="N132" s="34" t="s">
        <v>89</v>
      </c>
      <c r="O132" s="33" t="n">
        <f>2136</f>
        <v>2136.0</v>
      </c>
      <c r="P132" s="34" t="s">
        <v>117</v>
      </c>
      <c r="Q132" s="33" t="n">
        <f>2213</f>
        <v>2213.0</v>
      </c>
      <c r="R132" s="34" t="s">
        <v>51</v>
      </c>
      <c r="S132" s="35" t="n">
        <f>2194.81</f>
        <v>2194.81</v>
      </c>
      <c r="T132" s="32" t="n">
        <f>753480</f>
        <v>753480.0</v>
      </c>
      <c r="U132" s="32" t="n">
        <f>181960</f>
        <v>181960.0</v>
      </c>
      <c r="V132" s="32" t="n">
        <f>1646054400</f>
        <v>1.6460544E9</v>
      </c>
      <c r="W132" s="32" t="n">
        <f>397602300</f>
        <v>3.976023E8</v>
      </c>
      <c r="X132" s="36" t="n">
        <f>21</f>
        <v>21.0</v>
      </c>
    </row>
    <row r="133">
      <c r="A133" s="27" t="s">
        <v>42</v>
      </c>
      <c r="B133" s="27" t="s">
        <v>445</v>
      </c>
      <c r="C133" s="27" t="s">
        <v>446</v>
      </c>
      <c r="D133" s="27" t="s">
        <v>447</v>
      </c>
      <c r="E133" s="28" t="s">
        <v>46</v>
      </c>
      <c r="F133" s="29" t="s">
        <v>46</v>
      </c>
      <c r="G133" s="30" t="s">
        <v>46</v>
      </c>
      <c r="H133" s="31" t="s">
        <v>448</v>
      </c>
      <c r="I133" s="31"/>
      <c r="J133" s="32" t="n">
        <v>1.0</v>
      </c>
      <c r="K133" s="33" t="n">
        <f>19520</f>
        <v>19520.0</v>
      </c>
      <c r="L133" s="34" t="s">
        <v>134</v>
      </c>
      <c r="M133" s="33" t="n">
        <f>19520</f>
        <v>19520.0</v>
      </c>
      <c r="N133" s="34" t="s">
        <v>134</v>
      </c>
      <c r="O133" s="33" t="n">
        <f>18520</f>
        <v>18520.0</v>
      </c>
      <c r="P133" s="34" t="s">
        <v>50</v>
      </c>
      <c r="Q133" s="33" t="n">
        <f>18930</f>
        <v>18930.0</v>
      </c>
      <c r="R133" s="34" t="s">
        <v>117</v>
      </c>
      <c r="S133" s="35" t="n">
        <f>19134</f>
        <v>19134.0</v>
      </c>
      <c r="T133" s="32" t="n">
        <f>203</f>
        <v>203.0</v>
      </c>
      <c r="U133" s="32" t="str">
        <f>"－"</f>
        <v>－</v>
      </c>
      <c r="V133" s="32" t="n">
        <f>3784650</f>
        <v>3784650.0</v>
      </c>
      <c r="W133" s="32" t="str">
        <f>"－"</f>
        <v>－</v>
      </c>
      <c r="X133" s="36" t="n">
        <f>5</f>
        <v>5.0</v>
      </c>
    </row>
    <row r="134">
      <c r="A134" s="27" t="s">
        <v>42</v>
      </c>
      <c r="B134" s="27" t="s">
        <v>449</v>
      </c>
      <c r="C134" s="27" t="s">
        <v>450</v>
      </c>
      <c r="D134" s="27" t="s">
        <v>451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1.0</v>
      </c>
      <c r="K134" s="33" t="n">
        <f>17620</f>
        <v>17620.0</v>
      </c>
      <c r="L134" s="34" t="s">
        <v>48</v>
      </c>
      <c r="M134" s="33" t="n">
        <f>17940</f>
        <v>17940.0</v>
      </c>
      <c r="N134" s="34" t="s">
        <v>49</v>
      </c>
      <c r="O134" s="33" t="n">
        <f>17170</f>
        <v>17170.0</v>
      </c>
      <c r="P134" s="34" t="s">
        <v>50</v>
      </c>
      <c r="Q134" s="33" t="n">
        <f>17890</f>
        <v>17890.0</v>
      </c>
      <c r="R134" s="34" t="s">
        <v>51</v>
      </c>
      <c r="S134" s="35" t="n">
        <f>17614.71</f>
        <v>17614.71</v>
      </c>
      <c r="T134" s="32" t="n">
        <f>1128</f>
        <v>1128.0</v>
      </c>
      <c r="U134" s="32" t="n">
        <f>1</f>
        <v>1.0</v>
      </c>
      <c r="V134" s="32" t="n">
        <f>19685700</f>
        <v>1.96857E7</v>
      </c>
      <c r="W134" s="32" t="n">
        <f>17530</f>
        <v>17530.0</v>
      </c>
      <c r="X134" s="36" t="n">
        <f>17</f>
        <v>17.0</v>
      </c>
    </row>
    <row r="135">
      <c r="A135" s="27" t="s">
        <v>42</v>
      </c>
      <c r="B135" s="27" t="s">
        <v>452</v>
      </c>
      <c r="C135" s="27" t="s">
        <v>453</v>
      </c>
      <c r="D135" s="27" t="s">
        <v>454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100.0</v>
      </c>
      <c r="K135" s="33" t="n">
        <f>143</f>
        <v>143.0</v>
      </c>
      <c r="L135" s="34" t="s">
        <v>48</v>
      </c>
      <c r="M135" s="33" t="n">
        <f>151</f>
        <v>151.0</v>
      </c>
      <c r="N135" s="34" t="s">
        <v>49</v>
      </c>
      <c r="O135" s="33" t="n">
        <f>141</f>
        <v>141.0</v>
      </c>
      <c r="P135" s="34" t="s">
        <v>97</v>
      </c>
      <c r="Q135" s="33" t="n">
        <f>146</f>
        <v>146.0</v>
      </c>
      <c r="R135" s="34" t="s">
        <v>51</v>
      </c>
      <c r="S135" s="35" t="n">
        <f>144.76</f>
        <v>144.76</v>
      </c>
      <c r="T135" s="32" t="n">
        <f>35286200</f>
        <v>3.52862E7</v>
      </c>
      <c r="U135" s="32" t="n">
        <f>7100</f>
        <v>7100.0</v>
      </c>
      <c r="V135" s="32" t="n">
        <f>5159226920</f>
        <v>5.15922692E9</v>
      </c>
      <c r="W135" s="32" t="n">
        <f>1006520</f>
        <v>1006520.0</v>
      </c>
      <c r="X135" s="36" t="n">
        <f>21</f>
        <v>21.0</v>
      </c>
    </row>
    <row r="136">
      <c r="A136" s="27" t="s">
        <v>42</v>
      </c>
      <c r="B136" s="27" t="s">
        <v>455</v>
      </c>
      <c r="C136" s="27" t="s">
        <v>456</v>
      </c>
      <c r="D136" s="27" t="s">
        <v>457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27350</f>
        <v>27350.0</v>
      </c>
      <c r="L136" s="34" t="s">
        <v>48</v>
      </c>
      <c r="M136" s="33" t="n">
        <f>28450</f>
        <v>28450.0</v>
      </c>
      <c r="N136" s="34" t="s">
        <v>51</v>
      </c>
      <c r="O136" s="33" t="n">
        <f>27240</f>
        <v>27240.0</v>
      </c>
      <c r="P136" s="34" t="s">
        <v>179</v>
      </c>
      <c r="Q136" s="33" t="n">
        <f>28450</f>
        <v>28450.0</v>
      </c>
      <c r="R136" s="34" t="s">
        <v>51</v>
      </c>
      <c r="S136" s="35" t="n">
        <f>27754.76</f>
        <v>27754.76</v>
      </c>
      <c r="T136" s="32" t="n">
        <f>908</f>
        <v>908.0</v>
      </c>
      <c r="U136" s="32" t="str">
        <f>"－"</f>
        <v>－</v>
      </c>
      <c r="V136" s="32" t="n">
        <f>25143080</f>
        <v>2.514308E7</v>
      </c>
      <c r="W136" s="32" t="str">
        <f>"－"</f>
        <v>－</v>
      </c>
      <c r="X136" s="36" t="n">
        <f>21</f>
        <v>21.0</v>
      </c>
    </row>
    <row r="137">
      <c r="A137" s="27" t="s">
        <v>42</v>
      </c>
      <c r="B137" s="27" t="s">
        <v>458</v>
      </c>
      <c r="C137" s="27" t="s">
        <v>459</v>
      </c>
      <c r="D137" s="27" t="s">
        <v>460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9690</f>
        <v>9690.0</v>
      </c>
      <c r="L137" s="34" t="s">
        <v>48</v>
      </c>
      <c r="M137" s="33" t="n">
        <f>10100</f>
        <v>10100.0</v>
      </c>
      <c r="N137" s="34" t="s">
        <v>49</v>
      </c>
      <c r="O137" s="33" t="n">
        <f>9030</f>
        <v>9030.0</v>
      </c>
      <c r="P137" s="34" t="s">
        <v>50</v>
      </c>
      <c r="Q137" s="33" t="n">
        <f>9410</f>
        <v>9410.0</v>
      </c>
      <c r="R137" s="34" t="s">
        <v>51</v>
      </c>
      <c r="S137" s="35" t="n">
        <f>9563.33</f>
        <v>9563.33</v>
      </c>
      <c r="T137" s="32" t="n">
        <f>6346</f>
        <v>6346.0</v>
      </c>
      <c r="U137" s="32" t="n">
        <f>1</f>
        <v>1.0</v>
      </c>
      <c r="V137" s="32" t="n">
        <f>60529400</f>
        <v>6.05294E7</v>
      </c>
      <c r="W137" s="32" t="n">
        <f>9720</f>
        <v>9720.0</v>
      </c>
      <c r="X137" s="36" t="n">
        <f>21</f>
        <v>21.0</v>
      </c>
    </row>
    <row r="138">
      <c r="A138" s="27" t="s">
        <v>42</v>
      </c>
      <c r="B138" s="27" t="s">
        <v>461</v>
      </c>
      <c r="C138" s="27" t="s">
        <v>462</v>
      </c>
      <c r="D138" s="27" t="s">
        <v>463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21660</f>
        <v>21660.0</v>
      </c>
      <c r="L138" s="34" t="s">
        <v>48</v>
      </c>
      <c r="M138" s="33" t="n">
        <f>22020</f>
        <v>22020.0</v>
      </c>
      <c r="N138" s="34" t="s">
        <v>97</v>
      </c>
      <c r="O138" s="33" t="n">
        <f>21070</f>
        <v>21070.0</v>
      </c>
      <c r="P138" s="34" t="s">
        <v>50</v>
      </c>
      <c r="Q138" s="33" t="n">
        <f>21790</f>
        <v>21790.0</v>
      </c>
      <c r="R138" s="34" t="s">
        <v>51</v>
      </c>
      <c r="S138" s="35" t="n">
        <f>21560</f>
        <v>21560.0</v>
      </c>
      <c r="T138" s="32" t="n">
        <f>1286</f>
        <v>1286.0</v>
      </c>
      <c r="U138" s="32" t="n">
        <f>1</f>
        <v>1.0</v>
      </c>
      <c r="V138" s="32" t="n">
        <f>27627050</f>
        <v>2.762705E7</v>
      </c>
      <c r="W138" s="32" t="n">
        <f>21580</f>
        <v>21580.0</v>
      </c>
      <c r="X138" s="36" t="n">
        <f>21</f>
        <v>21.0</v>
      </c>
    </row>
    <row r="139">
      <c r="A139" s="27" t="s">
        <v>42</v>
      </c>
      <c r="B139" s="27" t="s">
        <v>464</v>
      </c>
      <c r="C139" s="27" t="s">
        <v>465</v>
      </c>
      <c r="D139" s="27" t="s">
        <v>466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26820</f>
        <v>26820.0</v>
      </c>
      <c r="L139" s="34" t="s">
        <v>48</v>
      </c>
      <c r="M139" s="33" t="n">
        <f>27400</f>
        <v>27400.0</v>
      </c>
      <c r="N139" s="34" t="s">
        <v>49</v>
      </c>
      <c r="O139" s="33" t="n">
        <f>26360</f>
        <v>26360.0</v>
      </c>
      <c r="P139" s="34" t="s">
        <v>50</v>
      </c>
      <c r="Q139" s="33" t="n">
        <f>27350</f>
        <v>27350.0</v>
      </c>
      <c r="R139" s="34" t="s">
        <v>51</v>
      </c>
      <c r="S139" s="35" t="n">
        <f>26977.62</f>
        <v>26977.62</v>
      </c>
      <c r="T139" s="32" t="n">
        <f>1436</f>
        <v>1436.0</v>
      </c>
      <c r="U139" s="32" t="str">
        <f>"－"</f>
        <v>－</v>
      </c>
      <c r="V139" s="32" t="n">
        <f>38713410</f>
        <v>3.871341E7</v>
      </c>
      <c r="W139" s="32" t="str">
        <f>"－"</f>
        <v>－</v>
      </c>
      <c r="X139" s="36" t="n">
        <f>21</f>
        <v>21.0</v>
      </c>
    </row>
    <row r="140">
      <c r="A140" s="27" t="s">
        <v>42</v>
      </c>
      <c r="B140" s="27" t="s">
        <v>467</v>
      </c>
      <c r="C140" s="27" t="s">
        <v>468</v>
      </c>
      <c r="D140" s="27" t="s">
        <v>469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22310</f>
        <v>22310.0</v>
      </c>
      <c r="L140" s="34" t="s">
        <v>48</v>
      </c>
      <c r="M140" s="33" t="n">
        <f>23800</f>
        <v>23800.0</v>
      </c>
      <c r="N140" s="34" t="s">
        <v>320</v>
      </c>
      <c r="O140" s="33" t="n">
        <f>21850</f>
        <v>21850.0</v>
      </c>
      <c r="P140" s="34" t="s">
        <v>72</v>
      </c>
      <c r="Q140" s="33" t="n">
        <f>23660</f>
        <v>23660.0</v>
      </c>
      <c r="R140" s="34" t="s">
        <v>51</v>
      </c>
      <c r="S140" s="35" t="n">
        <f>22944.76</f>
        <v>22944.76</v>
      </c>
      <c r="T140" s="32" t="n">
        <f>6278</f>
        <v>6278.0</v>
      </c>
      <c r="U140" s="32" t="str">
        <f>"－"</f>
        <v>－</v>
      </c>
      <c r="V140" s="32" t="n">
        <f>143955830</f>
        <v>1.4395583E8</v>
      </c>
      <c r="W140" s="32" t="str">
        <f>"－"</f>
        <v>－</v>
      </c>
      <c r="X140" s="36" t="n">
        <f>21</f>
        <v>21.0</v>
      </c>
    </row>
    <row r="141">
      <c r="A141" s="27" t="s">
        <v>42</v>
      </c>
      <c r="B141" s="27" t="s">
        <v>470</v>
      </c>
      <c r="C141" s="27" t="s">
        <v>471</v>
      </c>
      <c r="D141" s="27" t="s">
        <v>472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23350</f>
        <v>23350.0</v>
      </c>
      <c r="L141" s="34" t="s">
        <v>48</v>
      </c>
      <c r="M141" s="33" t="n">
        <f>24080</f>
        <v>24080.0</v>
      </c>
      <c r="N141" s="34" t="s">
        <v>49</v>
      </c>
      <c r="O141" s="33" t="n">
        <f>21490</f>
        <v>21490.0</v>
      </c>
      <c r="P141" s="34" t="s">
        <v>50</v>
      </c>
      <c r="Q141" s="33" t="n">
        <f>23020</f>
        <v>23020.0</v>
      </c>
      <c r="R141" s="34" t="s">
        <v>51</v>
      </c>
      <c r="S141" s="35" t="n">
        <f>23132.38</f>
        <v>23132.38</v>
      </c>
      <c r="T141" s="32" t="n">
        <f>3711</f>
        <v>3711.0</v>
      </c>
      <c r="U141" s="32" t="str">
        <f>"－"</f>
        <v>－</v>
      </c>
      <c r="V141" s="32" t="n">
        <f>84598430</f>
        <v>8.459843E7</v>
      </c>
      <c r="W141" s="32" t="str">
        <f>"－"</f>
        <v>－</v>
      </c>
      <c r="X141" s="36" t="n">
        <f>21</f>
        <v>21.0</v>
      </c>
    </row>
    <row r="142">
      <c r="A142" s="27" t="s">
        <v>42</v>
      </c>
      <c r="B142" s="27" t="s">
        <v>473</v>
      </c>
      <c r="C142" s="27" t="s">
        <v>474</v>
      </c>
      <c r="D142" s="27" t="s">
        <v>475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15750</f>
        <v>15750.0</v>
      </c>
      <c r="L142" s="34" t="s">
        <v>48</v>
      </c>
      <c r="M142" s="33" t="n">
        <f>16880</f>
        <v>16880.0</v>
      </c>
      <c r="N142" s="34" t="s">
        <v>150</v>
      </c>
      <c r="O142" s="33" t="n">
        <f>14750</f>
        <v>14750.0</v>
      </c>
      <c r="P142" s="34" t="s">
        <v>68</v>
      </c>
      <c r="Q142" s="33" t="n">
        <f>16660</f>
        <v>16660.0</v>
      </c>
      <c r="R142" s="34" t="s">
        <v>51</v>
      </c>
      <c r="S142" s="35" t="n">
        <f>16035.24</f>
        <v>16035.24</v>
      </c>
      <c r="T142" s="32" t="n">
        <f>5676</f>
        <v>5676.0</v>
      </c>
      <c r="U142" s="32" t="str">
        <f>"－"</f>
        <v>－</v>
      </c>
      <c r="V142" s="32" t="n">
        <f>91208580</f>
        <v>9.120858E7</v>
      </c>
      <c r="W142" s="32" t="str">
        <f>"－"</f>
        <v>－</v>
      </c>
      <c r="X142" s="36" t="n">
        <f>21</f>
        <v>21.0</v>
      </c>
    </row>
    <row r="143">
      <c r="A143" s="27" t="s">
        <v>42</v>
      </c>
      <c r="B143" s="27" t="s">
        <v>476</v>
      </c>
      <c r="C143" s="27" t="s">
        <v>477</v>
      </c>
      <c r="D143" s="27" t="s">
        <v>478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39700</f>
        <v>39700.0</v>
      </c>
      <c r="L143" s="34" t="s">
        <v>48</v>
      </c>
      <c r="M143" s="33" t="n">
        <f>41800</f>
        <v>41800.0</v>
      </c>
      <c r="N143" s="34" t="s">
        <v>49</v>
      </c>
      <c r="O143" s="33" t="n">
        <f>39200</f>
        <v>39200.0</v>
      </c>
      <c r="P143" s="34" t="s">
        <v>50</v>
      </c>
      <c r="Q143" s="33" t="n">
        <f>41550</f>
        <v>41550.0</v>
      </c>
      <c r="R143" s="34" t="s">
        <v>51</v>
      </c>
      <c r="S143" s="35" t="n">
        <f>40465</f>
        <v>40465.0</v>
      </c>
      <c r="T143" s="32" t="n">
        <f>2133</f>
        <v>2133.0</v>
      </c>
      <c r="U143" s="32" t="str">
        <f>"－"</f>
        <v>－</v>
      </c>
      <c r="V143" s="32" t="n">
        <f>85657750</f>
        <v>8.565775E7</v>
      </c>
      <c r="W143" s="32" t="str">
        <f>"－"</f>
        <v>－</v>
      </c>
      <c r="X143" s="36" t="n">
        <f>20</f>
        <v>20.0</v>
      </c>
    </row>
    <row r="144">
      <c r="A144" s="27" t="s">
        <v>42</v>
      </c>
      <c r="B144" s="27" t="s">
        <v>479</v>
      </c>
      <c r="C144" s="27" t="s">
        <v>480</v>
      </c>
      <c r="D144" s="27" t="s">
        <v>481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28500</f>
        <v>28500.0</v>
      </c>
      <c r="L144" s="34" t="s">
        <v>48</v>
      </c>
      <c r="M144" s="33" t="n">
        <f>29610</f>
        <v>29610.0</v>
      </c>
      <c r="N144" s="34" t="s">
        <v>51</v>
      </c>
      <c r="O144" s="33" t="n">
        <f>27810</f>
        <v>27810.0</v>
      </c>
      <c r="P144" s="34" t="s">
        <v>50</v>
      </c>
      <c r="Q144" s="33" t="n">
        <f>29550</f>
        <v>29550.0</v>
      </c>
      <c r="R144" s="34" t="s">
        <v>51</v>
      </c>
      <c r="S144" s="35" t="n">
        <f>28860.95</f>
        <v>28860.95</v>
      </c>
      <c r="T144" s="32" t="n">
        <f>1996</f>
        <v>1996.0</v>
      </c>
      <c r="U144" s="32" t="str">
        <f>"－"</f>
        <v>－</v>
      </c>
      <c r="V144" s="32" t="n">
        <f>57280810</f>
        <v>5.728081E7</v>
      </c>
      <c r="W144" s="32" t="str">
        <f>"－"</f>
        <v>－</v>
      </c>
      <c r="X144" s="36" t="n">
        <f>21</f>
        <v>21.0</v>
      </c>
    </row>
    <row r="145">
      <c r="A145" s="27" t="s">
        <v>42</v>
      </c>
      <c r="B145" s="27" t="s">
        <v>482</v>
      </c>
      <c r="C145" s="27" t="s">
        <v>483</v>
      </c>
      <c r="D145" s="27" t="s">
        <v>484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1.0</v>
      </c>
      <c r="K145" s="33" t="n">
        <f>28270</f>
        <v>28270.0</v>
      </c>
      <c r="L145" s="34" t="s">
        <v>48</v>
      </c>
      <c r="M145" s="33" t="n">
        <f>29290</f>
        <v>29290.0</v>
      </c>
      <c r="N145" s="34" t="s">
        <v>51</v>
      </c>
      <c r="O145" s="33" t="n">
        <f>28010</f>
        <v>28010.0</v>
      </c>
      <c r="P145" s="34" t="s">
        <v>50</v>
      </c>
      <c r="Q145" s="33" t="n">
        <f>29290</f>
        <v>29290.0</v>
      </c>
      <c r="R145" s="34" t="s">
        <v>51</v>
      </c>
      <c r="S145" s="35" t="n">
        <f>28571.9</f>
        <v>28571.9</v>
      </c>
      <c r="T145" s="32" t="n">
        <f>1328</f>
        <v>1328.0</v>
      </c>
      <c r="U145" s="32" t="str">
        <f>"－"</f>
        <v>－</v>
      </c>
      <c r="V145" s="32" t="n">
        <f>37951090</f>
        <v>3.795109E7</v>
      </c>
      <c r="W145" s="32" t="str">
        <f>"－"</f>
        <v>－</v>
      </c>
      <c r="X145" s="36" t="n">
        <f>21</f>
        <v>21.0</v>
      </c>
    </row>
    <row r="146">
      <c r="A146" s="27" t="s">
        <v>42</v>
      </c>
      <c r="B146" s="27" t="s">
        <v>485</v>
      </c>
      <c r="C146" s="27" t="s">
        <v>486</v>
      </c>
      <c r="D146" s="27" t="s">
        <v>487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1.0</v>
      </c>
      <c r="K146" s="33" t="n">
        <f>5820</f>
        <v>5820.0</v>
      </c>
      <c r="L146" s="34" t="s">
        <v>48</v>
      </c>
      <c r="M146" s="33" t="n">
        <f>6030</f>
        <v>6030.0</v>
      </c>
      <c r="N146" s="34" t="s">
        <v>49</v>
      </c>
      <c r="O146" s="33" t="n">
        <f>5820</f>
        <v>5820.0</v>
      </c>
      <c r="P146" s="34" t="s">
        <v>48</v>
      </c>
      <c r="Q146" s="33" t="n">
        <f>5860</f>
        <v>5860.0</v>
      </c>
      <c r="R146" s="34" t="s">
        <v>51</v>
      </c>
      <c r="S146" s="35" t="n">
        <f>5910.48</f>
        <v>5910.48</v>
      </c>
      <c r="T146" s="32" t="n">
        <f>4407</f>
        <v>4407.0</v>
      </c>
      <c r="U146" s="32" t="str">
        <f>"－"</f>
        <v>－</v>
      </c>
      <c r="V146" s="32" t="n">
        <f>26089820</f>
        <v>2.608982E7</v>
      </c>
      <c r="W146" s="32" t="str">
        <f>"－"</f>
        <v>－</v>
      </c>
      <c r="X146" s="36" t="n">
        <f>21</f>
        <v>21.0</v>
      </c>
    </row>
    <row r="147">
      <c r="A147" s="27" t="s">
        <v>42</v>
      </c>
      <c r="B147" s="27" t="s">
        <v>488</v>
      </c>
      <c r="C147" s="27" t="s">
        <v>489</v>
      </c>
      <c r="D147" s="27" t="s">
        <v>490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1.0</v>
      </c>
      <c r="K147" s="33" t="n">
        <f>14600</f>
        <v>14600.0</v>
      </c>
      <c r="L147" s="34" t="s">
        <v>48</v>
      </c>
      <c r="M147" s="33" t="n">
        <f>15580</f>
        <v>15580.0</v>
      </c>
      <c r="N147" s="34" t="s">
        <v>93</v>
      </c>
      <c r="O147" s="33" t="n">
        <f>14450</f>
        <v>14450.0</v>
      </c>
      <c r="P147" s="34" t="s">
        <v>48</v>
      </c>
      <c r="Q147" s="33" t="n">
        <f>15320</f>
        <v>15320.0</v>
      </c>
      <c r="R147" s="34" t="s">
        <v>51</v>
      </c>
      <c r="S147" s="35" t="n">
        <f>14938.1</f>
        <v>14938.1</v>
      </c>
      <c r="T147" s="32" t="n">
        <f>22047</f>
        <v>22047.0</v>
      </c>
      <c r="U147" s="32" t="n">
        <f>3</f>
        <v>3.0</v>
      </c>
      <c r="V147" s="32" t="n">
        <f>329652750</f>
        <v>3.2965275E8</v>
      </c>
      <c r="W147" s="32" t="n">
        <f>45070</f>
        <v>45070.0</v>
      </c>
      <c r="X147" s="36" t="n">
        <f>21</f>
        <v>21.0</v>
      </c>
    </row>
    <row r="148">
      <c r="A148" s="27" t="s">
        <v>42</v>
      </c>
      <c r="B148" s="27" t="s">
        <v>491</v>
      </c>
      <c r="C148" s="27" t="s">
        <v>492</v>
      </c>
      <c r="D148" s="27" t="s">
        <v>493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38300</f>
        <v>38300.0</v>
      </c>
      <c r="L148" s="34" t="s">
        <v>48</v>
      </c>
      <c r="M148" s="33" t="n">
        <f>39550</f>
        <v>39550.0</v>
      </c>
      <c r="N148" s="34" t="s">
        <v>49</v>
      </c>
      <c r="O148" s="33" t="n">
        <f>37150</f>
        <v>37150.0</v>
      </c>
      <c r="P148" s="34" t="s">
        <v>50</v>
      </c>
      <c r="Q148" s="33" t="n">
        <f>38600</f>
        <v>38600.0</v>
      </c>
      <c r="R148" s="34" t="s">
        <v>51</v>
      </c>
      <c r="S148" s="35" t="n">
        <f>38530.95</f>
        <v>38530.95</v>
      </c>
      <c r="T148" s="32" t="n">
        <f>3884</f>
        <v>3884.0</v>
      </c>
      <c r="U148" s="32" t="n">
        <f>1</f>
        <v>1.0</v>
      </c>
      <c r="V148" s="32" t="n">
        <f>148888750</f>
        <v>1.4888875E8</v>
      </c>
      <c r="W148" s="32" t="n">
        <f>39450</f>
        <v>39450.0</v>
      </c>
      <c r="X148" s="36" t="n">
        <f>21</f>
        <v>21.0</v>
      </c>
    </row>
    <row r="149">
      <c r="A149" s="27" t="s">
        <v>42</v>
      </c>
      <c r="B149" s="27" t="s">
        <v>494</v>
      </c>
      <c r="C149" s="27" t="s">
        <v>495</v>
      </c>
      <c r="D149" s="27" t="s">
        <v>496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23040</f>
        <v>23040.0</v>
      </c>
      <c r="L149" s="34" t="s">
        <v>48</v>
      </c>
      <c r="M149" s="33" t="n">
        <f>23240</f>
        <v>23240.0</v>
      </c>
      <c r="N149" s="34" t="s">
        <v>150</v>
      </c>
      <c r="O149" s="33" t="n">
        <f>22680</f>
        <v>22680.0</v>
      </c>
      <c r="P149" s="34" t="s">
        <v>51</v>
      </c>
      <c r="Q149" s="33" t="n">
        <f>22870</f>
        <v>22870.0</v>
      </c>
      <c r="R149" s="34" t="s">
        <v>51</v>
      </c>
      <c r="S149" s="35" t="n">
        <f>22950</f>
        <v>22950.0</v>
      </c>
      <c r="T149" s="32" t="n">
        <f>149</f>
        <v>149.0</v>
      </c>
      <c r="U149" s="32" t="str">
        <f>"－"</f>
        <v>－</v>
      </c>
      <c r="V149" s="32" t="n">
        <f>3417900</f>
        <v>3417900.0</v>
      </c>
      <c r="W149" s="32" t="str">
        <f>"－"</f>
        <v>－</v>
      </c>
      <c r="X149" s="36" t="n">
        <f>14</f>
        <v>14.0</v>
      </c>
    </row>
    <row r="150">
      <c r="A150" s="27" t="s">
        <v>42</v>
      </c>
      <c r="B150" s="27" t="s">
        <v>497</v>
      </c>
      <c r="C150" s="27" t="s">
        <v>498</v>
      </c>
      <c r="D150" s="27" t="s">
        <v>499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1.0</v>
      </c>
      <c r="K150" s="33" t="n">
        <f>7460</f>
        <v>7460.0</v>
      </c>
      <c r="L150" s="34" t="s">
        <v>48</v>
      </c>
      <c r="M150" s="33" t="n">
        <f>7870</f>
        <v>7870.0</v>
      </c>
      <c r="N150" s="34" t="s">
        <v>49</v>
      </c>
      <c r="O150" s="33" t="n">
        <f>7380</f>
        <v>7380.0</v>
      </c>
      <c r="P150" s="34" t="s">
        <v>97</v>
      </c>
      <c r="Q150" s="33" t="n">
        <f>7610</f>
        <v>7610.0</v>
      </c>
      <c r="R150" s="34" t="s">
        <v>51</v>
      </c>
      <c r="S150" s="35" t="n">
        <f>7574.76</f>
        <v>7574.76</v>
      </c>
      <c r="T150" s="32" t="n">
        <f>35301</f>
        <v>35301.0</v>
      </c>
      <c r="U150" s="32" t="str">
        <f>"－"</f>
        <v>－</v>
      </c>
      <c r="V150" s="32" t="n">
        <f>270804740</f>
        <v>2.7080474E8</v>
      </c>
      <c r="W150" s="32" t="str">
        <f>"－"</f>
        <v>－</v>
      </c>
      <c r="X150" s="36" t="n">
        <f>21</f>
        <v>21.0</v>
      </c>
    </row>
    <row r="151">
      <c r="A151" s="27" t="s">
        <v>42</v>
      </c>
      <c r="B151" s="27" t="s">
        <v>500</v>
      </c>
      <c r="C151" s="27" t="s">
        <v>501</v>
      </c>
      <c r="D151" s="27" t="s">
        <v>502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12600</f>
        <v>12600.0</v>
      </c>
      <c r="L151" s="34" t="s">
        <v>48</v>
      </c>
      <c r="M151" s="33" t="n">
        <f>13300</f>
        <v>13300.0</v>
      </c>
      <c r="N151" s="34" t="s">
        <v>49</v>
      </c>
      <c r="O151" s="33" t="n">
        <f>12600</f>
        <v>12600.0</v>
      </c>
      <c r="P151" s="34" t="s">
        <v>48</v>
      </c>
      <c r="Q151" s="33" t="n">
        <f>12960</f>
        <v>12960.0</v>
      </c>
      <c r="R151" s="34" t="s">
        <v>51</v>
      </c>
      <c r="S151" s="35" t="n">
        <f>12917.5</f>
        <v>12917.5</v>
      </c>
      <c r="T151" s="32" t="n">
        <f>2160</f>
        <v>2160.0</v>
      </c>
      <c r="U151" s="32" t="str">
        <f>"－"</f>
        <v>－</v>
      </c>
      <c r="V151" s="32" t="n">
        <f>27931800</f>
        <v>2.79318E7</v>
      </c>
      <c r="W151" s="32" t="str">
        <f>"－"</f>
        <v>－</v>
      </c>
      <c r="X151" s="36" t="n">
        <f>20</f>
        <v>20.0</v>
      </c>
    </row>
    <row r="152">
      <c r="A152" s="27" t="s">
        <v>42</v>
      </c>
      <c r="B152" s="27" t="s">
        <v>503</v>
      </c>
      <c r="C152" s="27" t="s">
        <v>504</v>
      </c>
      <c r="D152" s="27" t="s">
        <v>505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28700</f>
        <v>28700.0</v>
      </c>
      <c r="L152" s="34" t="s">
        <v>48</v>
      </c>
      <c r="M152" s="33" t="n">
        <f>29440</f>
        <v>29440.0</v>
      </c>
      <c r="N152" s="34" t="s">
        <v>49</v>
      </c>
      <c r="O152" s="33" t="n">
        <f>27550</f>
        <v>27550.0</v>
      </c>
      <c r="P152" s="34" t="s">
        <v>50</v>
      </c>
      <c r="Q152" s="33" t="n">
        <f>28960</f>
        <v>28960.0</v>
      </c>
      <c r="R152" s="34" t="s">
        <v>51</v>
      </c>
      <c r="S152" s="35" t="n">
        <f>28505.24</f>
        <v>28505.24</v>
      </c>
      <c r="T152" s="32" t="n">
        <f>1031</f>
        <v>1031.0</v>
      </c>
      <c r="U152" s="32" t="n">
        <f>2</f>
        <v>2.0</v>
      </c>
      <c r="V152" s="32" t="n">
        <f>29264620</f>
        <v>2.926462E7</v>
      </c>
      <c r="W152" s="32" t="n">
        <f>57250</f>
        <v>57250.0</v>
      </c>
      <c r="X152" s="36" t="n">
        <f>21</f>
        <v>21.0</v>
      </c>
    </row>
    <row r="153">
      <c r="A153" s="27" t="s">
        <v>42</v>
      </c>
      <c r="B153" s="27" t="s">
        <v>506</v>
      </c>
      <c r="C153" s="27" t="s">
        <v>507</v>
      </c>
      <c r="D153" s="27" t="s">
        <v>508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10.0</v>
      </c>
      <c r="K153" s="33" t="n">
        <f>1077</f>
        <v>1077.0</v>
      </c>
      <c r="L153" s="34" t="s">
        <v>48</v>
      </c>
      <c r="M153" s="33" t="n">
        <f>1098</f>
        <v>1098.0</v>
      </c>
      <c r="N153" s="34" t="s">
        <v>150</v>
      </c>
      <c r="O153" s="33" t="n">
        <f>1039</f>
        <v>1039.0</v>
      </c>
      <c r="P153" s="34" t="s">
        <v>50</v>
      </c>
      <c r="Q153" s="33" t="n">
        <f>1069</f>
        <v>1069.0</v>
      </c>
      <c r="R153" s="34" t="s">
        <v>51</v>
      </c>
      <c r="S153" s="35" t="n">
        <f>1067.24</f>
        <v>1067.24</v>
      </c>
      <c r="T153" s="32" t="n">
        <f>184650</f>
        <v>184650.0</v>
      </c>
      <c r="U153" s="32" t="n">
        <f>20</f>
        <v>20.0</v>
      </c>
      <c r="V153" s="32" t="n">
        <f>197401450</f>
        <v>1.9740145E8</v>
      </c>
      <c r="W153" s="32" t="n">
        <f>21310</f>
        <v>21310.0</v>
      </c>
      <c r="X153" s="36" t="n">
        <f>21</f>
        <v>21.0</v>
      </c>
    </row>
    <row r="154">
      <c r="A154" s="27" t="s">
        <v>42</v>
      </c>
      <c r="B154" s="27" t="s">
        <v>509</v>
      </c>
      <c r="C154" s="27" t="s">
        <v>510</v>
      </c>
      <c r="D154" s="27" t="s">
        <v>511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10.0</v>
      </c>
      <c r="K154" s="33" t="n">
        <f>2401</f>
        <v>2401.0</v>
      </c>
      <c r="L154" s="34" t="s">
        <v>49</v>
      </c>
      <c r="M154" s="33" t="n">
        <f>2406</f>
        <v>2406.0</v>
      </c>
      <c r="N154" s="34" t="s">
        <v>150</v>
      </c>
      <c r="O154" s="33" t="n">
        <f>2342</f>
        <v>2342.0</v>
      </c>
      <c r="P154" s="34" t="s">
        <v>50</v>
      </c>
      <c r="Q154" s="33" t="n">
        <f>2400</f>
        <v>2400.0</v>
      </c>
      <c r="R154" s="34" t="s">
        <v>93</v>
      </c>
      <c r="S154" s="35" t="n">
        <f>2380.17</f>
        <v>2380.17</v>
      </c>
      <c r="T154" s="32" t="n">
        <f>12410</f>
        <v>12410.0</v>
      </c>
      <c r="U154" s="32" t="str">
        <f>"－"</f>
        <v>－</v>
      </c>
      <c r="V154" s="32" t="n">
        <f>29419790</f>
        <v>2.941979E7</v>
      </c>
      <c r="W154" s="32" t="str">
        <f>"－"</f>
        <v>－</v>
      </c>
      <c r="X154" s="36" t="n">
        <f>6</f>
        <v>6.0</v>
      </c>
    </row>
    <row r="155">
      <c r="A155" s="27" t="s">
        <v>42</v>
      </c>
      <c r="B155" s="27" t="s">
        <v>512</v>
      </c>
      <c r="C155" s="27" t="s">
        <v>513</v>
      </c>
      <c r="D155" s="27" t="s">
        <v>514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10.0</v>
      </c>
      <c r="K155" s="33" t="n">
        <f>2440</f>
        <v>2440.0</v>
      </c>
      <c r="L155" s="34" t="s">
        <v>48</v>
      </c>
      <c r="M155" s="33" t="n">
        <f>2497</f>
        <v>2497.0</v>
      </c>
      <c r="N155" s="34" t="s">
        <v>51</v>
      </c>
      <c r="O155" s="33" t="n">
        <f>2392</f>
        <v>2392.0</v>
      </c>
      <c r="P155" s="34" t="s">
        <v>50</v>
      </c>
      <c r="Q155" s="33" t="n">
        <f>2497</f>
        <v>2497.0</v>
      </c>
      <c r="R155" s="34" t="s">
        <v>51</v>
      </c>
      <c r="S155" s="35" t="n">
        <f>2454.56</f>
        <v>2454.56</v>
      </c>
      <c r="T155" s="32" t="n">
        <f>3000</f>
        <v>3000.0</v>
      </c>
      <c r="U155" s="32" t="str">
        <f>"－"</f>
        <v>－</v>
      </c>
      <c r="V155" s="32" t="n">
        <f>7383740</f>
        <v>7383740.0</v>
      </c>
      <c r="W155" s="32" t="str">
        <f>"－"</f>
        <v>－</v>
      </c>
      <c r="X155" s="36" t="n">
        <f>16</f>
        <v>16.0</v>
      </c>
    </row>
    <row r="156">
      <c r="A156" s="27" t="s">
        <v>42</v>
      </c>
      <c r="B156" s="27" t="s">
        <v>515</v>
      </c>
      <c r="C156" s="27" t="s">
        <v>516</v>
      </c>
      <c r="D156" s="27" t="s">
        <v>517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1485</f>
        <v>1485.0</v>
      </c>
      <c r="L156" s="34" t="s">
        <v>72</v>
      </c>
      <c r="M156" s="33" t="n">
        <f>1515</f>
        <v>1515.0</v>
      </c>
      <c r="N156" s="34" t="s">
        <v>49</v>
      </c>
      <c r="O156" s="33" t="n">
        <f>1448</f>
        <v>1448.0</v>
      </c>
      <c r="P156" s="34" t="s">
        <v>50</v>
      </c>
      <c r="Q156" s="33" t="n">
        <f>1494</f>
        <v>1494.0</v>
      </c>
      <c r="R156" s="34" t="s">
        <v>51</v>
      </c>
      <c r="S156" s="35" t="n">
        <f>1484.18</f>
        <v>1484.18</v>
      </c>
      <c r="T156" s="32" t="n">
        <f>8030</f>
        <v>8030.0</v>
      </c>
      <c r="U156" s="32" t="str">
        <f>"－"</f>
        <v>－</v>
      </c>
      <c r="V156" s="32" t="n">
        <f>12050050</f>
        <v>1.205005E7</v>
      </c>
      <c r="W156" s="32" t="str">
        <f>"－"</f>
        <v>－</v>
      </c>
      <c r="X156" s="36" t="n">
        <f>17</f>
        <v>17.0</v>
      </c>
    </row>
    <row r="157">
      <c r="A157" s="27" t="s">
        <v>42</v>
      </c>
      <c r="B157" s="27" t="s">
        <v>518</v>
      </c>
      <c r="C157" s="27" t="s">
        <v>519</v>
      </c>
      <c r="D157" s="27" t="s">
        <v>520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1.0</v>
      </c>
      <c r="K157" s="33" t="n">
        <f>3475</f>
        <v>3475.0</v>
      </c>
      <c r="L157" s="34" t="s">
        <v>48</v>
      </c>
      <c r="M157" s="33" t="n">
        <f>3575</f>
        <v>3575.0</v>
      </c>
      <c r="N157" s="34" t="s">
        <v>51</v>
      </c>
      <c r="O157" s="33" t="n">
        <f>3440</f>
        <v>3440.0</v>
      </c>
      <c r="P157" s="34" t="s">
        <v>97</v>
      </c>
      <c r="Q157" s="33" t="n">
        <f>3575</f>
        <v>3575.0</v>
      </c>
      <c r="R157" s="34" t="s">
        <v>51</v>
      </c>
      <c r="S157" s="35" t="n">
        <f>3501.43</f>
        <v>3501.43</v>
      </c>
      <c r="T157" s="32" t="n">
        <f>5237528</f>
        <v>5237528.0</v>
      </c>
      <c r="U157" s="32" t="n">
        <f>302016</f>
        <v>302016.0</v>
      </c>
      <c r="V157" s="32" t="n">
        <f>18293930050</f>
        <v>1.829393005E10</v>
      </c>
      <c r="W157" s="32" t="n">
        <f>1049955360</f>
        <v>1.04995536E9</v>
      </c>
      <c r="X157" s="36" t="n">
        <f>21</f>
        <v>21.0</v>
      </c>
    </row>
    <row r="158">
      <c r="A158" s="27" t="s">
        <v>42</v>
      </c>
      <c r="B158" s="27" t="s">
        <v>521</v>
      </c>
      <c r="C158" s="27" t="s">
        <v>522</v>
      </c>
      <c r="D158" s="27" t="s">
        <v>523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1.0</v>
      </c>
      <c r="K158" s="33" t="n">
        <f>2659</f>
        <v>2659.0</v>
      </c>
      <c r="L158" s="34" t="s">
        <v>48</v>
      </c>
      <c r="M158" s="33" t="n">
        <f>2669</f>
        <v>2669.0</v>
      </c>
      <c r="N158" s="34" t="s">
        <v>172</v>
      </c>
      <c r="O158" s="33" t="n">
        <f>2645</f>
        <v>2645.0</v>
      </c>
      <c r="P158" s="34" t="s">
        <v>134</v>
      </c>
      <c r="Q158" s="33" t="n">
        <f>2659</f>
        <v>2659.0</v>
      </c>
      <c r="R158" s="34" t="s">
        <v>51</v>
      </c>
      <c r="S158" s="35" t="n">
        <f>2655.76</f>
        <v>2655.76</v>
      </c>
      <c r="T158" s="32" t="n">
        <f>392028</f>
        <v>392028.0</v>
      </c>
      <c r="U158" s="32" t="n">
        <f>140300</f>
        <v>140300.0</v>
      </c>
      <c r="V158" s="32" t="n">
        <f>1039998563</f>
        <v>1.039998563E9</v>
      </c>
      <c r="W158" s="32" t="n">
        <f>371682760</f>
        <v>3.7168276E8</v>
      </c>
      <c r="X158" s="36" t="n">
        <f>21</f>
        <v>21.0</v>
      </c>
    </row>
    <row r="159">
      <c r="A159" s="27" t="s">
        <v>42</v>
      </c>
      <c r="B159" s="27" t="s">
        <v>524</v>
      </c>
      <c r="C159" s="27" t="s">
        <v>525</v>
      </c>
      <c r="D159" s="27" t="s">
        <v>526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1.0</v>
      </c>
      <c r="K159" s="33" t="n">
        <f>3105</f>
        <v>3105.0</v>
      </c>
      <c r="L159" s="34" t="s">
        <v>48</v>
      </c>
      <c r="M159" s="33" t="n">
        <f>3170</f>
        <v>3170.0</v>
      </c>
      <c r="N159" s="34" t="s">
        <v>51</v>
      </c>
      <c r="O159" s="33" t="n">
        <f>3055</f>
        <v>3055.0</v>
      </c>
      <c r="P159" s="34" t="s">
        <v>50</v>
      </c>
      <c r="Q159" s="33" t="n">
        <f>3170</f>
        <v>3170.0</v>
      </c>
      <c r="R159" s="34" t="s">
        <v>51</v>
      </c>
      <c r="S159" s="35" t="n">
        <f>3114.29</f>
        <v>3114.29</v>
      </c>
      <c r="T159" s="32" t="n">
        <f>576994</f>
        <v>576994.0</v>
      </c>
      <c r="U159" s="32" t="n">
        <f>517616</f>
        <v>517616.0</v>
      </c>
      <c r="V159" s="32" t="n">
        <f>1768210276</f>
        <v>1.768210276E9</v>
      </c>
      <c r="W159" s="32" t="n">
        <f>1583419001</f>
        <v>1.583419001E9</v>
      </c>
      <c r="X159" s="36" t="n">
        <f>21</f>
        <v>21.0</v>
      </c>
    </row>
    <row r="160">
      <c r="A160" s="27" t="s">
        <v>42</v>
      </c>
      <c r="B160" s="27" t="s">
        <v>527</v>
      </c>
      <c r="C160" s="27" t="s">
        <v>528</v>
      </c>
      <c r="D160" s="27" t="s">
        <v>529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1.0</v>
      </c>
      <c r="K160" s="33" t="n">
        <f>2341</f>
        <v>2341.0</v>
      </c>
      <c r="L160" s="34" t="s">
        <v>48</v>
      </c>
      <c r="M160" s="33" t="n">
        <f>2374</f>
        <v>2374.0</v>
      </c>
      <c r="N160" s="34" t="s">
        <v>61</v>
      </c>
      <c r="O160" s="33" t="n">
        <f>2191</f>
        <v>2191.0</v>
      </c>
      <c r="P160" s="34" t="s">
        <v>50</v>
      </c>
      <c r="Q160" s="33" t="n">
        <f>2338</f>
        <v>2338.0</v>
      </c>
      <c r="R160" s="34" t="s">
        <v>51</v>
      </c>
      <c r="S160" s="35" t="n">
        <f>2306.67</f>
        <v>2306.67</v>
      </c>
      <c r="T160" s="32" t="n">
        <f>90197</f>
        <v>90197.0</v>
      </c>
      <c r="U160" s="32" t="n">
        <f>2</f>
        <v>2.0</v>
      </c>
      <c r="V160" s="32" t="n">
        <f>207499636</f>
        <v>2.07499636E8</v>
      </c>
      <c r="W160" s="32" t="n">
        <f>4572</f>
        <v>4572.0</v>
      </c>
      <c r="X160" s="36" t="n">
        <f>21</f>
        <v>21.0</v>
      </c>
    </row>
    <row r="161">
      <c r="A161" s="27" t="s">
        <v>42</v>
      </c>
      <c r="B161" s="27" t="s">
        <v>530</v>
      </c>
      <c r="C161" s="27" t="s">
        <v>531</v>
      </c>
      <c r="D161" s="27" t="s">
        <v>532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2520</f>
        <v>2520.0</v>
      </c>
      <c r="L161" s="34" t="s">
        <v>48</v>
      </c>
      <c r="M161" s="33" t="n">
        <f>2545</f>
        <v>2545.0</v>
      </c>
      <c r="N161" s="34" t="s">
        <v>51</v>
      </c>
      <c r="O161" s="33" t="n">
        <f>2472</f>
        <v>2472.0</v>
      </c>
      <c r="P161" s="34" t="s">
        <v>50</v>
      </c>
      <c r="Q161" s="33" t="n">
        <f>2541</f>
        <v>2541.0</v>
      </c>
      <c r="R161" s="34" t="s">
        <v>51</v>
      </c>
      <c r="S161" s="35" t="n">
        <f>2497.57</f>
        <v>2497.57</v>
      </c>
      <c r="T161" s="32" t="n">
        <f>671007</f>
        <v>671007.0</v>
      </c>
      <c r="U161" s="32" t="n">
        <f>420573</f>
        <v>420573.0</v>
      </c>
      <c r="V161" s="32" t="n">
        <f>1675438697</f>
        <v>1.675438697E9</v>
      </c>
      <c r="W161" s="32" t="n">
        <f>1049114472</f>
        <v>1.049114472E9</v>
      </c>
      <c r="X161" s="36" t="n">
        <f>21</f>
        <v>21.0</v>
      </c>
    </row>
    <row r="162">
      <c r="A162" s="27" t="s">
        <v>42</v>
      </c>
      <c r="B162" s="27" t="s">
        <v>533</v>
      </c>
      <c r="C162" s="27" t="s">
        <v>534</v>
      </c>
      <c r="D162" s="27" t="s">
        <v>535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12320</f>
        <v>12320.0</v>
      </c>
      <c r="L162" s="34" t="s">
        <v>48</v>
      </c>
      <c r="M162" s="33" t="n">
        <f>12330</f>
        <v>12330.0</v>
      </c>
      <c r="N162" s="34" t="s">
        <v>48</v>
      </c>
      <c r="O162" s="33" t="n">
        <f>11680</f>
        <v>11680.0</v>
      </c>
      <c r="P162" s="34" t="s">
        <v>320</v>
      </c>
      <c r="Q162" s="33" t="n">
        <f>12030</f>
        <v>12030.0</v>
      </c>
      <c r="R162" s="34" t="s">
        <v>51</v>
      </c>
      <c r="S162" s="35" t="n">
        <f>12000.48</f>
        <v>12000.48</v>
      </c>
      <c r="T162" s="32" t="n">
        <f>39679</f>
        <v>39679.0</v>
      </c>
      <c r="U162" s="32" t="n">
        <f>22000</f>
        <v>22000.0</v>
      </c>
      <c r="V162" s="32" t="n">
        <f>474662592</f>
        <v>4.74662592E8</v>
      </c>
      <c r="W162" s="32" t="n">
        <f>263410202</f>
        <v>2.63410202E8</v>
      </c>
      <c r="X162" s="36" t="n">
        <f>21</f>
        <v>21.0</v>
      </c>
    </row>
    <row r="163">
      <c r="A163" s="27" t="s">
        <v>42</v>
      </c>
      <c r="B163" s="27" t="s">
        <v>536</v>
      </c>
      <c r="C163" s="27" t="s">
        <v>537</v>
      </c>
      <c r="D163" s="27" t="s">
        <v>538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1.0</v>
      </c>
      <c r="K163" s="33" t="n">
        <f>1567</f>
        <v>1567.0</v>
      </c>
      <c r="L163" s="34" t="s">
        <v>48</v>
      </c>
      <c r="M163" s="33" t="n">
        <f>1568</f>
        <v>1568.0</v>
      </c>
      <c r="N163" s="34" t="s">
        <v>48</v>
      </c>
      <c r="O163" s="33" t="n">
        <f>1341</f>
        <v>1341.0</v>
      </c>
      <c r="P163" s="34" t="s">
        <v>68</v>
      </c>
      <c r="Q163" s="33" t="n">
        <f>1489</f>
        <v>1489.0</v>
      </c>
      <c r="R163" s="34" t="s">
        <v>51</v>
      </c>
      <c r="S163" s="35" t="n">
        <f>1456.38</f>
        <v>1456.38</v>
      </c>
      <c r="T163" s="32" t="n">
        <f>24091470</f>
        <v>2.409147E7</v>
      </c>
      <c r="U163" s="32" t="n">
        <f>22661</f>
        <v>22661.0</v>
      </c>
      <c r="V163" s="32" t="n">
        <f>35020382650</f>
        <v>3.502038265E10</v>
      </c>
      <c r="W163" s="32" t="n">
        <f>33112215</f>
        <v>3.3112215E7</v>
      </c>
      <c r="X163" s="36" t="n">
        <f>21</f>
        <v>21.0</v>
      </c>
    </row>
    <row r="164">
      <c r="A164" s="27" t="s">
        <v>42</v>
      </c>
      <c r="B164" s="27" t="s">
        <v>539</v>
      </c>
      <c r="C164" s="27" t="s">
        <v>540</v>
      </c>
      <c r="D164" s="27" t="s">
        <v>541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1.0</v>
      </c>
      <c r="K164" s="33" t="n">
        <f>18860</f>
        <v>18860.0</v>
      </c>
      <c r="L164" s="34" t="s">
        <v>48</v>
      </c>
      <c r="M164" s="33" t="n">
        <f>18910</f>
        <v>18910.0</v>
      </c>
      <c r="N164" s="34" t="s">
        <v>93</v>
      </c>
      <c r="O164" s="33" t="n">
        <f>18000</f>
        <v>18000.0</v>
      </c>
      <c r="P164" s="34" t="s">
        <v>101</v>
      </c>
      <c r="Q164" s="33" t="n">
        <f>18830</f>
        <v>18830.0</v>
      </c>
      <c r="R164" s="34" t="s">
        <v>51</v>
      </c>
      <c r="S164" s="35" t="n">
        <f>18551.43</f>
        <v>18551.43</v>
      </c>
      <c r="T164" s="32" t="n">
        <f>3102</f>
        <v>3102.0</v>
      </c>
      <c r="U164" s="32" t="str">
        <f>"－"</f>
        <v>－</v>
      </c>
      <c r="V164" s="32" t="n">
        <f>57234580</f>
        <v>5.723458E7</v>
      </c>
      <c r="W164" s="32" t="str">
        <f>"－"</f>
        <v>－</v>
      </c>
      <c r="X164" s="36" t="n">
        <f>21</f>
        <v>21.0</v>
      </c>
    </row>
    <row r="165">
      <c r="A165" s="27" t="s">
        <v>42</v>
      </c>
      <c r="B165" s="27" t="s">
        <v>542</v>
      </c>
      <c r="C165" s="27" t="s">
        <v>543</v>
      </c>
      <c r="D165" s="27" t="s">
        <v>544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2593</f>
        <v>2593.0</v>
      </c>
      <c r="L165" s="34" t="s">
        <v>48</v>
      </c>
      <c r="M165" s="33" t="n">
        <f>2606</f>
        <v>2606.0</v>
      </c>
      <c r="N165" s="34" t="s">
        <v>48</v>
      </c>
      <c r="O165" s="33" t="n">
        <f>2346</f>
        <v>2346.0</v>
      </c>
      <c r="P165" s="34" t="s">
        <v>68</v>
      </c>
      <c r="Q165" s="33" t="n">
        <f>2468</f>
        <v>2468.0</v>
      </c>
      <c r="R165" s="34" t="s">
        <v>51</v>
      </c>
      <c r="S165" s="35" t="n">
        <f>2459.14</f>
        <v>2459.14</v>
      </c>
      <c r="T165" s="32" t="n">
        <f>16180</f>
        <v>16180.0</v>
      </c>
      <c r="U165" s="32" t="n">
        <f>110</f>
        <v>110.0</v>
      </c>
      <c r="V165" s="32" t="n">
        <f>39602190</f>
        <v>3.960219E7</v>
      </c>
      <c r="W165" s="32" t="n">
        <f>264800</f>
        <v>264800.0</v>
      </c>
      <c r="X165" s="36" t="n">
        <f>21</f>
        <v>21.0</v>
      </c>
    </row>
    <row r="166">
      <c r="A166" s="27" t="s">
        <v>42</v>
      </c>
      <c r="B166" s="27" t="s">
        <v>545</v>
      </c>
      <c r="C166" s="27" t="s">
        <v>546</v>
      </c>
      <c r="D166" s="27" t="s">
        <v>547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1.0</v>
      </c>
      <c r="K166" s="33" t="n">
        <f>10740</f>
        <v>10740.0</v>
      </c>
      <c r="L166" s="34" t="s">
        <v>48</v>
      </c>
      <c r="M166" s="33" t="n">
        <f>10860</f>
        <v>10860.0</v>
      </c>
      <c r="N166" s="34" t="s">
        <v>97</v>
      </c>
      <c r="O166" s="33" t="n">
        <f>9900</f>
        <v>9900.0</v>
      </c>
      <c r="P166" s="34" t="s">
        <v>50</v>
      </c>
      <c r="Q166" s="33" t="n">
        <f>10340</f>
        <v>10340.0</v>
      </c>
      <c r="R166" s="34" t="s">
        <v>51</v>
      </c>
      <c r="S166" s="35" t="n">
        <f>10353.81</f>
        <v>10353.81</v>
      </c>
      <c r="T166" s="32" t="n">
        <f>10091</f>
        <v>10091.0</v>
      </c>
      <c r="U166" s="32" t="str">
        <f>"－"</f>
        <v>－</v>
      </c>
      <c r="V166" s="32" t="n">
        <f>104210260</f>
        <v>1.0421026E8</v>
      </c>
      <c r="W166" s="32" t="str">
        <f>"－"</f>
        <v>－</v>
      </c>
      <c r="X166" s="36" t="n">
        <f>21</f>
        <v>21.0</v>
      </c>
    </row>
    <row r="167">
      <c r="A167" s="27" t="s">
        <v>42</v>
      </c>
      <c r="B167" s="27" t="s">
        <v>548</v>
      </c>
      <c r="C167" s="27" t="s">
        <v>549</v>
      </c>
      <c r="D167" s="27" t="s">
        <v>550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1.0</v>
      </c>
      <c r="K167" s="33" t="n">
        <f>27490</f>
        <v>27490.0</v>
      </c>
      <c r="L167" s="34" t="s">
        <v>48</v>
      </c>
      <c r="M167" s="33" t="n">
        <f>27500</f>
        <v>27500.0</v>
      </c>
      <c r="N167" s="34" t="s">
        <v>97</v>
      </c>
      <c r="O167" s="33" t="n">
        <f>23410</f>
        <v>23410.0</v>
      </c>
      <c r="P167" s="34" t="s">
        <v>50</v>
      </c>
      <c r="Q167" s="33" t="n">
        <f>25460</f>
        <v>25460.0</v>
      </c>
      <c r="R167" s="34" t="s">
        <v>51</v>
      </c>
      <c r="S167" s="35" t="n">
        <f>26018.57</f>
        <v>26018.57</v>
      </c>
      <c r="T167" s="32" t="n">
        <f>724</f>
        <v>724.0</v>
      </c>
      <c r="U167" s="32" t="str">
        <f>"－"</f>
        <v>－</v>
      </c>
      <c r="V167" s="32" t="n">
        <f>18611610</f>
        <v>1.861161E7</v>
      </c>
      <c r="W167" s="32" t="str">
        <f>"－"</f>
        <v>－</v>
      </c>
      <c r="X167" s="36" t="n">
        <f>21</f>
        <v>21.0</v>
      </c>
    </row>
    <row r="168">
      <c r="A168" s="27" t="s">
        <v>42</v>
      </c>
      <c r="B168" s="27" t="s">
        <v>551</v>
      </c>
      <c r="C168" s="27" t="s">
        <v>552</v>
      </c>
      <c r="D168" s="27" t="s">
        <v>553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1.0</v>
      </c>
      <c r="K168" s="33" t="n">
        <f>17000</f>
        <v>17000.0</v>
      </c>
      <c r="L168" s="34" t="s">
        <v>101</v>
      </c>
      <c r="M168" s="33" t="n">
        <f>17000</f>
        <v>17000.0</v>
      </c>
      <c r="N168" s="34" t="s">
        <v>101</v>
      </c>
      <c r="O168" s="33" t="n">
        <f>15660</f>
        <v>15660.0</v>
      </c>
      <c r="P168" s="34" t="s">
        <v>172</v>
      </c>
      <c r="Q168" s="33" t="n">
        <f>16500</f>
        <v>16500.0</v>
      </c>
      <c r="R168" s="34" t="s">
        <v>180</v>
      </c>
      <c r="S168" s="35" t="n">
        <f>16448</f>
        <v>16448.0</v>
      </c>
      <c r="T168" s="32" t="n">
        <f>10</f>
        <v>10.0</v>
      </c>
      <c r="U168" s="32" t="n">
        <f>1</f>
        <v>1.0</v>
      </c>
      <c r="V168" s="32" t="n">
        <f>162140</f>
        <v>162140.0</v>
      </c>
      <c r="W168" s="32" t="n">
        <f>16470</f>
        <v>16470.0</v>
      </c>
      <c r="X168" s="36" t="n">
        <f>5</f>
        <v>5.0</v>
      </c>
    </row>
    <row r="169">
      <c r="A169" s="27" t="s">
        <v>42</v>
      </c>
      <c r="B169" s="27" t="s">
        <v>554</v>
      </c>
      <c r="C169" s="27" t="s">
        <v>555</v>
      </c>
      <c r="D169" s="27" t="s">
        <v>556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52300</f>
        <v>52300.0</v>
      </c>
      <c r="L169" s="34" t="s">
        <v>48</v>
      </c>
      <c r="M169" s="33" t="n">
        <f>52400</f>
        <v>52400.0</v>
      </c>
      <c r="N169" s="34" t="s">
        <v>89</v>
      </c>
      <c r="O169" s="33" t="n">
        <f>51700</f>
        <v>51700.0</v>
      </c>
      <c r="P169" s="34" t="s">
        <v>73</v>
      </c>
      <c r="Q169" s="33" t="n">
        <f>52100</f>
        <v>52100.0</v>
      </c>
      <c r="R169" s="34" t="s">
        <v>51</v>
      </c>
      <c r="S169" s="35" t="n">
        <f>52042.86</f>
        <v>52042.86</v>
      </c>
      <c r="T169" s="32" t="n">
        <f>5860</f>
        <v>5860.0</v>
      </c>
      <c r="U169" s="32" t="str">
        <f>"－"</f>
        <v>－</v>
      </c>
      <c r="V169" s="32" t="n">
        <f>304705000</f>
        <v>3.04705E8</v>
      </c>
      <c r="W169" s="32" t="str">
        <f>"－"</f>
        <v>－</v>
      </c>
      <c r="X169" s="36" t="n">
        <f>21</f>
        <v>21.0</v>
      </c>
    </row>
    <row r="170">
      <c r="A170" s="27" t="s">
        <v>42</v>
      </c>
      <c r="B170" s="27" t="s">
        <v>557</v>
      </c>
      <c r="C170" s="27" t="s">
        <v>558</v>
      </c>
      <c r="D170" s="27" t="s">
        <v>559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100.0</v>
      </c>
      <c r="K170" s="33" t="n">
        <f>208</f>
        <v>208.0</v>
      </c>
      <c r="L170" s="34" t="s">
        <v>48</v>
      </c>
      <c r="M170" s="33" t="n">
        <f>229</f>
        <v>229.0</v>
      </c>
      <c r="N170" s="34" t="s">
        <v>51</v>
      </c>
      <c r="O170" s="33" t="n">
        <f>206</f>
        <v>206.0</v>
      </c>
      <c r="P170" s="34" t="s">
        <v>97</v>
      </c>
      <c r="Q170" s="33" t="n">
        <f>229</f>
        <v>229.0</v>
      </c>
      <c r="R170" s="34" t="s">
        <v>51</v>
      </c>
      <c r="S170" s="35" t="n">
        <f>215.52</f>
        <v>215.52</v>
      </c>
      <c r="T170" s="32" t="n">
        <f>11761500</f>
        <v>1.17615E7</v>
      </c>
      <c r="U170" s="32" t="n">
        <f>1500</f>
        <v>1500.0</v>
      </c>
      <c r="V170" s="32" t="n">
        <f>2555870910</f>
        <v>2.55587091E9</v>
      </c>
      <c r="W170" s="32" t="n">
        <f>317810</f>
        <v>317810.0</v>
      </c>
      <c r="X170" s="36" t="n">
        <f>21</f>
        <v>21.0</v>
      </c>
    </row>
    <row r="171">
      <c r="A171" s="27" t="s">
        <v>42</v>
      </c>
      <c r="B171" s="27" t="s">
        <v>560</v>
      </c>
      <c r="C171" s="27" t="s">
        <v>561</v>
      </c>
      <c r="D171" s="27" t="s">
        <v>562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33750</f>
        <v>33750.0</v>
      </c>
      <c r="L171" s="34" t="s">
        <v>48</v>
      </c>
      <c r="M171" s="33" t="n">
        <f>34450</f>
        <v>34450.0</v>
      </c>
      <c r="N171" s="34" t="s">
        <v>49</v>
      </c>
      <c r="O171" s="33" t="n">
        <f>33450</f>
        <v>33450.0</v>
      </c>
      <c r="P171" s="34" t="s">
        <v>97</v>
      </c>
      <c r="Q171" s="33" t="n">
        <f>34250</f>
        <v>34250.0</v>
      </c>
      <c r="R171" s="34" t="s">
        <v>51</v>
      </c>
      <c r="S171" s="35" t="n">
        <f>33980.95</f>
        <v>33980.95</v>
      </c>
      <c r="T171" s="32" t="n">
        <f>10070</f>
        <v>10070.0</v>
      </c>
      <c r="U171" s="32" t="n">
        <f>20</f>
        <v>20.0</v>
      </c>
      <c r="V171" s="32" t="n">
        <f>341952500</f>
        <v>3.419525E8</v>
      </c>
      <c r="W171" s="32" t="n">
        <f>673500</f>
        <v>673500.0</v>
      </c>
      <c r="X171" s="36" t="n">
        <f>21</f>
        <v>21.0</v>
      </c>
    </row>
    <row r="172">
      <c r="A172" s="27" t="s">
        <v>42</v>
      </c>
      <c r="B172" s="27" t="s">
        <v>563</v>
      </c>
      <c r="C172" s="27" t="s">
        <v>564</v>
      </c>
      <c r="D172" s="27" t="s">
        <v>565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3575</f>
        <v>3575.0</v>
      </c>
      <c r="L172" s="34" t="s">
        <v>48</v>
      </c>
      <c r="M172" s="33" t="n">
        <f>3675</f>
        <v>3675.0</v>
      </c>
      <c r="N172" s="34" t="s">
        <v>51</v>
      </c>
      <c r="O172" s="33" t="n">
        <f>3545</f>
        <v>3545.0</v>
      </c>
      <c r="P172" s="34" t="s">
        <v>97</v>
      </c>
      <c r="Q172" s="33" t="n">
        <f>3675</f>
        <v>3675.0</v>
      </c>
      <c r="R172" s="34" t="s">
        <v>51</v>
      </c>
      <c r="S172" s="35" t="n">
        <f>3605.24</f>
        <v>3605.24</v>
      </c>
      <c r="T172" s="32" t="n">
        <f>239990</f>
        <v>239990.0</v>
      </c>
      <c r="U172" s="32" t="n">
        <f>5600</f>
        <v>5600.0</v>
      </c>
      <c r="V172" s="32" t="n">
        <f>863629360</f>
        <v>8.6362936E8</v>
      </c>
      <c r="W172" s="32" t="n">
        <f>20118560</f>
        <v>2.011856E7</v>
      </c>
      <c r="X172" s="36" t="n">
        <f>21</f>
        <v>21.0</v>
      </c>
    </row>
    <row r="173">
      <c r="A173" s="27" t="s">
        <v>42</v>
      </c>
      <c r="B173" s="27" t="s">
        <v>566</v>
      </c>
      <c r="C173" s="27" t="s">
        <v>567</v>
      </c>
      <c r="D173" s="27" t="s">
        <v>568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10.0</v>
      </c>
      <c r="K173" s="33" t="n">
        <f>1779</f>
        <v>1779.0</v>
      </c>
      <c r="L173" s="34" t="s">
        <v>48</v>
      </c>
      <c r="M173" s="33" t="n">
        <f>1820</f>
        <v>1820.0</v>
      </c>
      <c r="N173" s="34" t="s">
        <v>61</v>
      </c>
      <c r="O173" s="33" t="n">
        <f>1676</f>
        <v>1676.0</v>
      </c>
      <c r="P173" s="34" t="s">
        <v>50</v>
      </c>
      <c r="Q173" s="33" t="n">
        <f>1787</f>
        <v>1787.0</v>
      </c>
      <c r="R173" s="34" t="s">
        <v>51</v>
      </c>
      <c r="S173" s="35" t="n">
        <f>1768.52</f>
        <v>1768.52</v>
      </c>
      <c r="T173" s="32" t="n">
        <f>402260</f>
        <v>402260.0</v>
      </c>
      <c r="U173" s="32" t="str">
        <f>"－"</f>
        <v>－</v>
      </c>
      <c r="V173" s="32" t="n">
        <f>700394550</f>
        <v>7.0039455E8</v>
      </c>
      <c r="W173" s="32" t="str">
        <f>"－"</f>
        <v>－</v>
      </c>
      <c r="X173" s="36" t="n">
        <f>21</f>
        <v>21.0</v>
      </c>
    </row>
    <row r="174">
      <c r="A174" s="27" t="s">
        <v>42</v>
      </c>
      <c r="B174" s="27" t="s">
        <v>569</v>
      </c>
      <c r="C174" s="27" t="s">
        <v>570</v>
      </c>
      <c r="D174" s="27" t="s">
        <v>571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100.0</v>
      </c>
      <c r="K174" s="33" t="n">
        <f>202</f>
        <v>202.0</v>
      </c>
      <c r="L174" s="34" t="s">
        <v>48</v>
      </c>
      <c r="M174" s="33" t="n">
        <f>204</f>
        <v>204.0</v>
      </c>
      <c r="N174" s="34" t="s">
        <v>48</v>
      </c>
      <c r="O174" s="33" t="n">
        <f>182</f>
        <v>182.0</v>
      </c>
      <c r="P174" s="34" t="s">
        <v>50</v>
      </c>
      <c r="Q174" s="33" t="n">
        <f>192</f>
        <v>192.0</v>
      </c>
      <c r="R174" s="34" t="s">
        <v>51</v>
      </c>
      <c r="S174" s="35" t="n">
        <f>191</f>
        <v>191.0</v>
      </c>
      <c r="T174" s="32" t="n">
        <f>425700</f>
        <v>425700.0</v>
      </c>
      <c r="U174" s="32" t="str">
        <f>"－"</f>
        <v>－</v>
      </c>
      <c r="V174" s="32" t="n">
        <f>81254000</f>
        <v>8.1254E7</v>
      </c>
      <c r="W174" s="32" t="str">
        <f>"－"</f>
        <v>－</v>
      </c>
      <c r="X174" s="36" t="n">
        <f>21</f>
        <v>21.0</v>
      </c>
    </row>
    <row r="175">
      <c r="A175" s="27" t="s">
        <v>42</v>
      </c>
      <c r="B175" s="27" t="s">
        <v>572</v>
      </c>
      <c r="C175" s="27" t="s">
        <v>573</v>
      </c>
      <c r="D175" s="27" t="s">
        <v>574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1080</f>
        <v>1080.0</v>
      </c>
      <c r="L175" s="34" t="s">
        <v>150</v>
      </c>
      <c r="M175" s="33" t="n">
        <f>1098</f>
        <v>1098.0</v>
      </c>
      <c r="N175" s="34" t="s">
        <v>179</v>
      </c>
      <c r="O175" s="33" t="n">
        <f>1045</f>
        <v>1045.0</v>
      </c>
      <c r="P175" s="34" t="s">
        <v>172</v>
      </c>
      <c r="Q175" s="33" t="n">
        <f>1045</f>
        <v>1045.0</v>
      </c>
      <c r="R175" s="34" t="s">
        <v>172</v>
      </c>
      <c r="S175" s="35" t="n">
        <f>1070</f>
        <v>1070.0</v>
      </c>
      <c r="T175" s="32" t="n">
        <f>80</f>
        <v>80.0</v>
      </c>
      <c r="U175" s="32" t="n">
        <f>10</f>
        <v>10.0</v>
      </c>
      <c r="V175" s="32" t="n">
        <f>86280</f>
        <v>86280.0</v>
      </c>
      <c r="W175" s="32" t="n">
        <f>10980</f>
        <v>10980.0</v>
      </c>
      <c r="X175" s="36" t="n">
        <f>3</f>
        <v>3.0</v>
      </c>
    </row>
    <row r="176">
      <c r="A176" s="27" t="s">
        <v>42</v>
      </c>
      <c r="B176" s="27" t="s">
        <v>575</v>
      </c>
      <c r="C176" s="27" t="s">
        <v>576</v>
      </c>
      <c r="D176" s="27" t="s">
        <v>577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350</f>
        <v>350.0</v>
      </c>
      <c r="L176" s="34" t="s">
        <v>48</v>
      </c>
      <c r="M176" s="33" t="n">
        <f>360</f>
        <v>360.0</v>
      </c>
      <c r="N176" s="34" t="s">
        <v>51</v>
      </c>
      <c r="O176" s="33" t="n">
        <f>319</f>
        <v>319.0</v>
      </c>
      <c r="P176" s="34" t="s">
        <v>68</v>
      </c>
      <c r="Q176" s="33" t="n">
        <f>355</f>
        <v>355.0</v>
      </c>
      <c r="R176" s="34" t="s">
        <v>51</v>
      </c>
      <c r="S176" s="35" t="n">
        <f>338.81</f>
        <v>338.81</v>
      </c>
      <c r="T176" s="32" t="n">
        <f>16290</f>
        <v>16290.0</v>
      </c>
      <c r="U176" s="32" t="str">
        <f>"－"</f>
        <v>－</v>
      </c>
      <c r="V176" s="32" t="n">
        <f>5632440</f>
        <v>5632440.0</v>
      </c>
      <c r="W176" s="32" t="str">
        <f>"－"</f>
        <v>－</v>
      </c>
      <c r="X176" s="36" t="n">
        <f>21</f>
        <v>21.0</v>
      </c>
    </row>
    <row r="177">
      <c r="A177" s="27" t="s">
        <v>42</v>
      </c>
      <c r="B177" s="27" t="s">
        <v>578</v>
      </c>
      <c r="C177" s="27" t="s">
        <v>579</v>
      </c>
      <c r="D177" s="27" t="s">
        <v>580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1749</f>
        <v>1749.0</v>
      </c>
      <c r="L177" s="34" t="s">
        <v>48</v>
      </c>
      <c r="M177" s="33" t="n">
        <f>1784</f>
        <v>1784.0</v>
      </c>
      <c r="N177" s="34" t="s">
        <v>150</v>
      </c>
      <c r="O177" s="33" t="n">
        <f>1643</f>
        <v>1643.0</v>
      </c>
      <c r="P177" s="34" t="s">
        <v>68</v>
      </c>
      <c r="Q177" s="33" t="n">
        <f>1732</f>
        <v>1732.0</v>
      </c>
      <c r="R177" s="34" t="s">
        <v>51</v>
      </c>
      <c r="S177" s="35" t="n">
        <f>1715.61</f>
        <v>1715.61</v>
      </c>
      <c r="T177" s="32" t="n">
        <f>5050</f>
        <v>5050.0</v>
      </c>
      <c r="U177" s="32" t="str">
        <f>"－"</f>
        <v>－</v>
      </c>
      <c r="V177" s="32" t="n">
        <f>8703480</f>
        <v>8703480.0</v>
      </c>
      <c r="W177" s="32" t="str">
        <f>"－"</f>
        <v>－</v>
      </c>
      <c r="X177" s="36" t="n">
        <f>18</f>
        <v>18.0</v>
      </c>
    </row>
    <row r="178">
      <c r="A178" s="27" t="s">
        <v>42</v>
      </c>
      <c r="B178" s="27" t="s">
        <v>581</v>
      </c>
      <c r="C178" s="27" t="s">
        <v>582</v>
      </c>
      <c r="D178" s="27" t="s">
        <v>583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619</f>
        <v>619.0</v>
      </c>
      <c r="L178" s="34" t="s">
        <v>48</v>
      </c>
      <c r="M178" s="33" t="n">
        <f>640</f>
        <v>640.0</v>
      </c>
      <c r="N178" s="34" t="s">
        <v>179</v>
      </c>
      <c r="O178" s="33" t="n">
        <f>602</f>
        <v>602.0</v>
      </c>
      <c r="P178" s="34" t="s">
        <v>89</v>
      </c>
      <c r="Q178" s="33" t="n">
        <f>622</f>
        <v>622.0</v>
      </c>
      <c r="R178" s="34" t="s">
        <v>51</v>
      </c>
      <c r="S178" s="35" t="n">
        <f>620.29</f>
        <v>620.29</v>
      </c>
      <c r="T178" s="32" t="n">
        <f>40720</f>
        <v>40720.0</v>
      </c>
      <c r="U178" s="32" t="str">
        <f>"－"</f>
        <v>－</v>
      </c>
      <c r="V178" s="32" t="n">
        <f>25391160</f>
        <v>2.539116E7</v>
      </c>
      <c r="W178" s="32" t="str">
        <f>"－"</f>
        <v>－</v>
      </c>
      <c r="X178" s="36" t="n">
        <f>21</f>
        <v>21.0</v>
      </c>
    </row>
    <row r="179">
      <c r="A179" s="27" t="s">
        <v>42</v>
      </c>
      <c r="B179" s="27" t="s">
        <v>584</v>
      </c>
      <c r="C179" s="27" t="s">
        <v>585</v>
      </c>
      <c r="D179" s="27" t="s">
        <v>586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10.0</v>
      </c>
      <c r="K179" s="33" t="n">
        <f>448</f>
        <v>448.0</v>
      </c>
      <c r="L179" s="34" t="s">
        <v>48</v>
      </c>
      <c r="M179" s="33" t="n">
        <f>472</f>
        <v>472.0</v>
      </c>
      <c r="N179" s="34" t="s">
        <v>179</v>
      </c>
      <c r="O179" s="33" t="n">
        <f>437</f>
        <v>437.0</v>
      </c>
      <c r="P179" s="34" t="s">
        <v>320</v>
      </c>
      <c r="Q179" s="33" t="n">
        <f>441</f>
        <v>441.0</v>
      </c>
      <c r="R179" s="34" t="s">
        <v>51</v>
      </c>
      <c r="S179" s="35" t="n">
        <f>449.9</f>
        <v>449.9</v>
      </c>
      <c r="T179" s="32" t="n">
        <f>187530</f>
        <v>187530.0</v>
      </c>
      <c r="U179" s="32" t="str">
        <f>"－"</f>
        <v>－</v>
      </c>
      <c r="V179" s="32" t="n">
        <f>84528670</f>
        <v>8.452867E7</v>
      </c>
      <c r="W179" s="32" t="str">
        <f>"－"</f>
        <v>－</v>
      </c>
      <c r="X179" s="36" t="n">
        <f>21</f>
        <v>21.0</v>
      </c>
    </row>
    <row r="180">
      <c r="A180" s="27" t="s">
        <v>42</v>
      </c>
      <c r="B180" s="27" t="s">
        <v>587</v>
      </c>
      <c r="C180" s="27" t="s">
        <v>588</v>
      </c>
      <c r="D180" s="27" t="s">
        <v>589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100.0</v>
      </c>
      <c r="K180" s="33" t="n">
        <f>2</f>
        <v>2.0</v>
      </c>
      <c r="L180" s="34" t="s">
        <v>48</v>
      </c>
      <c r="M180" s="33" t="n">
        <f>3</f>
        <v>3.0</v>
      </c>
      <c r="N180" s="34" t="s">
        <v>73</v>
      </c>
      <c r="O180" s="33" t="n">
        <f>1</f>
        <v>1.0</v>
      </c>
      <c r="P180" s="34" t="s">
        <v>48</v>
      </c>
      <c r="Q180" s="33" t="n">
        <f>3</f>
        <v>3.0</v>
      </c>
      <c r="R180" s="34" t="s">
        <v>51</v>
      </c>
      <c r="S180" s="35" t="n">
        <f>1.95</f>
        <v>1.95</v>
      </c>
      <c r="T180" s="32" t="n">
        <f>312201200</f>
        <v>3.122012E8</v>
      </c>
      <c r="U180" s="32" t="n">
        <f>3000</f>
        <v>3000.0</v>
      </c>
      <c r="V180" s="32" t="n">
        <f>597305600</f>
        <v>5.973056E8</v>
      </c>
      <c r="W180" s="32" t="n">
        <f>6000</f>
        <v>6000.0</v>
      </c>
      <c r="X180" s="36" t="n">
        <f>21</f>
        <v>21.0</v>
      </c>
    </row>
    <row r="181">
      <c r="A181" s="27" t="s">
        <v>42</v>
      </c>
      <c r="B181" s="27" t="s">
        <v>590</v>
      </c>
      <c r="C181" s="27" t="s">
        <v>591</v>
      </c>
      <c r="D181" s="27" t="s">
        <v>592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10.0</v>
      </c>
      <c r="K181" s="33" t="n">
        <f>734</f>
        <v>734.0</v>
      </c>
      <c r="L181" s="34" t="s">
        <v>48</v>
      </c>
      <c r="M181" s="33" t="n">
        <f>734</f>
        <v>734.0</v>
      </c>
      <c r="N181" s="34" t="s">
        <v>48</v>
      </c>
      <c r="O181" s="33" t="n">
        <f>631</f>
        <v>631.0</v>
      </c>
      <c r="P181" s="34" t="s">
        <v>68</v>
      </c>
      <c r="Q181" s="33" t="n">
        <f>702</f>
        <v>702.0</v>
      </c>
      <c r="R181" s="34" t="s">
        <v>51</v>
      </c>
      <c r="S181" s="35" t="n">
        <f>685.05</f>
        <v>685.05</v>
      </c>
      <c r="T181" s="32" t="n">
        <f>308390</f>
        <v>308390.0</v>
      </c>
      <c r="U181" s="32" t="str">
        <f>"－"</f>
        <v>－</v>
      </c>
      <c r="V181" s="32" t="n">
        <f>209978720</f>
        <v>2.0997872E8</v>
      </c>
      <c r="W181" s="32" t="str">
        <f>"－"</f>
        <v>－</v>
      </c>
      <c r="X181" s="36" t="n">
        <f>21</f>
        <v>21.0</v>
      </c>
    </row>
    <row r="182">
      <c r="A182" s="27" t="s">
        <v>42</v>
      </c>
      <c r="B182" s="27" t="s">
        <v>593</v>
      </c>
      <c r="C182" s="27" t="s">
        <v>594</v>
      </c>
      <c r="D182" s="27" t="s">
        <v>595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1.0</v>
      </c>
      <c r="K182" s="33" t="n">
        <f>3250</f>
        <v>3250.0</v>
      </c>
      <c r="L182" s="34" t="s">
        <v>48</v>
      </c>
      <c r="M182" s="33" t="n">
        <f>3250</f>
        <v>3250.0</v>
      </c>
      <c r="N182" s="34" t="s">
        <v>48</v>
      </c>
      <c r="O182" s="33" t="n">
        <f>2861</f>
        <v>2861.0</v>
      </c>
      <c r="P182" s="34" t="s">
        <v>50</v>
      </c>
      <c r="Q182" s="33" t="n">
        <f>3200</f>
        <v>3200.0</v>
      </c>
      <c r="R182" s="34" t="s">
        <v>51</v>
      </c>
      <c r="S182" s="35" t="n">
        <f>3095.89</f>
        <v>3095.89</v>
      </c>
      <c r="T182" s="32" t="n">
        <f>1181</f>
        <v>1181.0</v>
      </c>
      <c r="U182" s="32" t="str">
        <f>"－"</f>
        <v>－</v>
      </c>
      <c r="V182" s="32" t="n">
        <f>3695212</f>
        <v>3695212.0</v>
      </c>
      <c r="W182" s="32" t="str">
        <f>"－"</f>
        <v>－</v>
      </c>
      <c r="X182" s="36" t="n">
        <f>18</f>
        <v>18.0</v>
      </c>
    </row>
    <row r="183">
      <c r="A183" s="27" t="s">
        <v>42</v>
      </c>
      <c r="B183" s="27" t="s">
        <v>596</v>
      </c>
      <c r="C183" s="27" t="s">
        <v>597</v>
      </c>
      <c r="D183" s="27" t="s">
        <v>598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100.0</v>
      </c>
      <c r="K183" s="33" t="n">
        <f>401</f>
        <v>401.0</v>
      </c>
      <c r="L183" s="34" t="s">
        <v>48</v>
      </c>
      <c r="M183" s="33" t="n">
        <f>418</f>
        <v>418.0</v>
      </c>
      <c r="N183" s="34" t="s">
        <v>51</v>
      </c>
      <c r="O183" s="33" t="n">
        <f>390</f>
        <v>390.0</v>
      </c>
      <c r="P183" s="34" t="s">
        <v>50</v>
      </c>
      <c r="Q183" s="33" t="n">
        <f>417</f>
        <v>417.0</v>
      </c>
      <c r="R183" s="34" t="s">
        <v>51</v>
      </c>
      <c r="S183" s="35" t="n">
        <f>400.45</f>
        <v>400.45</v>
      </c>
      <c r="T183" s="32" t="n">
        <f>49200</f>
        <v>49200.0</v>
      </c>
      <c r="U183" s="32" t="n">
        <f>100</f>
        <v>100.0</v>
      </c>
      <c r="V183" s="32" t="n">
        <f>19768500</f>
        <v>1.97685E7</v>
      </c>
      <c r="W183" s="32" t="n">
        <f>39800</f>
        <v>39800.0</v>
      </c>
      <c r="X183" s="36" t="n">
        <f>20</f>
        <v>20.0</v>
      </c>
    </row>
    <row r="184">
      <c r="A184" s="27" t="s">
        <v>42</v>
      </c>
      <c r="B184" s="27" t="s">
        <v>599</v>
      </c>
      <c r="C184" s="27" t="s">
        <v>600</v>
      </c>
      <c r="D184" s="27" t="s">
        <v>601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10.0</v>
      </c>
      <c r="K184" s="33" t="n">
        <f>4345</f>
        <v>4345.0</v>
      </c>
      <c r="L184" s="34" t="s">
        <v>48</v>
      </c>
      <c r="M184" s="33" t="n">
        <f>4365</f>
        <v>4365.0</v>
      </c>
      <c r="N184" s="34" t="s">
        <v>48</v>
      </c>
      <c r="O184" s="33" t="n">
        <f>3965</f>
        <v>3965.0</v>
      </c>
      <c r="P184" s="34" t="s">
        <v>50</v>
      </c>
      <c r="Q184" s="33" t="n">
        <f>4235</f>
        <v>4235.0</v>
      </c>
      <c r="R184" s="34" t="s">
        <v>51</v>
      </c>
      <c r="S184" s="35" t="n">
        <f>4190</f>
        <v>4190.0</v>
      </c>
      <c r="T184" s="32" t="n">
        <f>31080</f>
        <v>31080.0</v>
      </c>
      <c r="U184" s="32" t="str">
        <f>"－"</f>
        <v>－</v>
      </c>
      <c r="V184" s="32" t="n">
        <f>130125600</f>
        <v>1.301256E8</v>
      </c>
      <c r="W184" s="32" t="str">
        <f>"－"</f>
        <v>－</v>
      </c>
      <c r="X184" s="36" t="n">
        <f>21</f>
        <v>21.0</v>
      </c>
    </row>
    <row r="185">
      <c r="A185" s="27" t="s">
        <v>42</v>
      </c>
      <c r="B185" s="27" t="s">
        <v>602</v>
      </c>
      <c r="C185" s="27" t="s">
        <v>603</v>
      </c>
      <c r="D185" s="27" t="s">
        <v>604</v>
      </c>
      <c r="E185" s="28" t="s">
        <v>46</v>
      </c>
      <c r="F185" s="29" t="s">
        <v>46</v>
      </c>
      <c r="G185" s="30" t="s">
        <v>46</v>
      </c>
      <c r="H185" s="31"/>
      <c r="I185" s="31" t="s">
        <v>47</v>
      </c>
      <c r="J185" s="32" t="n">
        <v>10.0</v>
      </c>
      <c r="K185" s="33" t="n">
        <f>2024</f>
        <v>2024.0</v>
      </c>
      <c r="L185" s="34" t="s">
        <v>48</v>
      </c>
      <c r="M185" s="33" t="n">
        <f>2035</f>
        <v>2035.0</v>
      </c>
      <c r="N185" s="34" t="s">
        <v>49</v>
      </c>
      <c r="O185" s="33" t="n">
        <f>1878</f>
        <v>1878.0</v>
      </c>
      <c r="P185" s="34" t="s">
        <v>68</v>
      </c>
      <c r="Q185" s="33" t="n">
        <f>1995</f>
        <v>1995.0</v>
      </c>
      <c r="R185" s="34" t="s">
        <v>51</v>
      </c>
      <c r="S185" s="35" t="n">
        <f>1963.9</f>
        <v>1963.9</v>
      </c>
      <c r="T185" s="32" t="n">
        <f>62430</f>
        <v>62430.0</v>
      </c>
      <c r="U185" s="32" t="str">
        <f>"－"</f>
        <v>－</v>
      </c>
      <c r="V185" s="32" t="n">
        <f>122188170</f>
        <v>1.2218817E8</v>
      </c>
      <c r="W185" s="32" t="str">
        <f>"－"</f>
        <v>－</v>
      </c>
      <c r="X185" s="36" t="n">
        <f>21</f>
        <v>21.0</v>
      </c>
    </row>
    <row r="186">
      <c r="A186" s="27" t="s">
        <v>42</v>
      </c>
      <c r="B186" s="27" t="s">
        <v>605</v>
      </c>
      <c r="C186" s="27" t="s">
        <v>606</v>
      </c>
      <c r="D186" s="27" t="s">
        <v>607</v>
      </c>
      <c r="E186" s="28" t="s">
        <v>46</v>
      </c>
      <c r="F186" s="29" t="s">
        <v>46</v>
      </c>
      <c r="G186" s="30" t="s">
        <v>46</v>
      </c>
      <c r="H186" s="31"/>
      <c r="I186" s="31" t="s">
        <v>47</v>
      </c>
      <c r="J186" s="32" t="n">
        <v>100.0</v>
      </c>
      <c r="K186" s="33" t="n">
        <f>84</f>
        <v>84.0</v>
      </c>
      <c r="L186" s="34" t="s">
        <v>48</v>
      </c>
      <c r="M186" s="33" t="n">
        <f>92</f>
        <v>92.0</v>
      </c>
      <c r="N186" s="34" t="s">
        <v>179</v>
      </c>
      <c r="O186" s="33" t="n">
        <f>84</f>
        <v>84.0</v>
      </c>
      <c r="P186" s="34" t="s">
        <v>48</v>
      </c>
      <c r="Q186" s="33" t="n">
        <f>86</f>
        <v>86.0</v>
      </c>
      <c r="R186" s="34" t="s">
        <v>51</v>
      </c>
      <c r="S186" s="35" t="n">
        <f>87.38</f>
        <v>87.38</v>
      </c>
      <c r="T186" s="32" t="n">
        <f>2904300</f>
        <v>2904300.0</v>
      </c>
      <c r="U186" s="32" t="str">
        <f>"－"</f>
        <v>－</v>
      </c>
      <c r="V186" s="32" t="n">
        <f>255338200</f>
        <v>2.553382E8</v>
      </c>
      <c r="W186" s="32" t="str">
        <f>"－"</f>
        <v>－</v>
      </c>
      <c r="X186" s="36" t="n">
        <f>21</f>
        <v>21.0</v>
      </c>
    </row>
    <row r="187">
      <c r="A187" s="27" t="s">
        <v>42</v>
      </c>
      <c r="B187" s="27" t="s">
        <v>608</v>
      </c>
      <c r="C187" s="27" t="s">
        <v>609</v>
      </c>
      <c r="D187" s="27" t="s">
        <v>610</v>
      </c>
      <c r="E187" s="28" t="s">
        <v>46</v>
      </c>
      <c r="F187" s="29" t="s">
        <v>46</v>
      </c>
      <c r="G187" s="30" t="s">
        <v>46</v>
      </c>
      <c r="H187" s="31"/>
      <c r="I187" s="31" t="s">
        <v>47</v>
      </c>
      <c r="J187" s="32" t="n">
        <v>100.0</v>
      </c>
      <c r="K187" s="33" t="n">
        <f>117</f>
        <v>117.0</v>
      </c>
      <c r="L187" s="34" t="s">
        <v>48</v>
      </c>
      <c r="M187" s="33" t="n">
        <f>121</f>
        <v>121.0</v>
      </c>
      <c r="N187" s="34" t="s">
        <v>150</v>
      </c>
      <c r="O187" s="33" t="n">
        <f>112</f>
        <v>112.0</v>
      </c>
      <c r="P187" s="34" t="s">
        <v>68</v>
      </c>
      <c r="Q187" s="33" t="n">
        <f>115</f>
        <v>115.0</v>
      </c>
      <c r="R187" s="34" t="s">
        <v>51</v>
      </c>
      <c r="S187" s="35" t="n">
        <f>116.29</f>
        <v>116.29</v>
      </c>
      <c r="T187" s="32" t="n">
        <f>1438000</f>
        <v>1438000.0</v>
      </c>
      <c r="U187" s="32" t="str">
        <f>"－"</f>
        <v>－</v>
      </c>
      <c r="V187" s="32" t="n">
        <f>168466000</f>
        <v>1.68466E8</v>
      </c>
      <c r="W187" s="32" t="str">
        <f>"－"</f>
        <v>－</v>
      </c>
      <c r="X187" s="36" t="n">
        <f>21</f>
        <v>21.0</v>
      </c>
    </row>
    <row r="188">
      <c r="A188" s="27" t="s">
        <v>42</v>
      </c>
      <c r="B188" s="27" t="s">
        <v>611</v>
      </c>
      <c r="C188" s="27" t="s">
        <v>612</v>
      </c>
      <c r="D188" s="27" t="s">
        <v>613</v>
      </c>
      <c r="E188" s="28" t="s">
        <v>46</v>
      </c>
      <c r="F188" s="29" t="s">
        <v>46</v>
      </c>
      <c r="G188" s="30" t="s">
        <v>46</v>
      </c>
      <c r="H188" s="31"/>
      <c r="I188" s="31" t="s">
        <v>47</v>
      </c>
      <c r="J188" s="32" t="n">
        <v>10.0</v>
      </c>
      <c r="K188" s="33" t="n">
        <f>2735</f>
        <v>2735.0</v>
      </c>
      <c r="L188" s="34" t="s">
        <v>48</v>
      </c>
      <c r="M188" s="33" t="n">
        <f>2801</f>
        <v>2801.0</v>
      </c>
      <c r="N188" s="34" t="s">
        <v>134</v>
      </c>
      <c r="O188" s="33" t="n">
        <f>2622</f>
        <v>2622.0</v>
      </c>
      <c r="P188" s="34" t="s">
        <v>68</v>
      </c>
      <c r="Q188" s="33" t="n">
        <f>2674</f>
        <v>2674.0</v>
      </c>
      <c r="R188" s="34" t="s">
        <v>51</v>
      </c>
      <c r="S188" s="35" t="n">
        <f>2716.81</f>
        <v>2716.81</v>
      </c>
      <c r="T188" s="32" t="n">
        <f>14690</f>
        <v>14690.0</v>
      </c>
      <c r="U188" s="32" t="str">
        <f>"－"</f>
        <v>－</v>
      </c>
      <c r="V188" s="32" t="n">
        <f>39920350</f>
        <v>3.992035E7</v>
      </c>
      <c r="W188" s="32" t="str">
        <f>"－"</f>
        <v>－</v>
      </c>
      <c r="X188" s="36" t="n">
        <f>21</f>
        <v>21.0</v>
      </c>
    </row>
    <row r="189">
      <c r="A189" s="27" t="s">
        <v>42</v>
      </c>
      <c r="B189" s="27" t="s">
        <v>614</v>
      </c>
      <c r="C189" s="27" t="s">
        <v>615</v>
      </c>
      <c r="D189" s="27" t="s">
        <v>616</v>
      </c>
      <c r="E189" s="28" t="s">
        <v>46</v>
      </c>
      <c r="F189" s="29" t="s">
        <v>46</v>
      </c>
      <c r="G189" s="30" t="s">
        <v>46</v>
      </c>
      <c r="H189" s="31"/>
      <c r="I189" s="31" t="s">
        <v>47</v>
      </c>
      <c r="J189" s="32" t="n">
        <v>10.0</v>
      </c>
      <c r="K189" s="33" t="n">
        <f>1821</f>
        <v>1821.0</v>
      </c>
      <c r="L189" s="34" t="s">
        <v>48</v>
      </c>
      <c r="M189" s="33" t="n">
        <f>1870</f>
        <v>1870.0</v>
      </c>
      <c r="N189" s="34" t="s">
        <v>49</v>
      </c>
      <c r="O189" s="33" t="n">
        <f>1785</f>
        <v>1785.0</v>
      </c>
      <c r="P189" s="34" t="s">
        <v>50</v>
      </c>
      <c r="Q189" s="33" t="n">
        <f>1837</f>
        <v>1837.0</v>
      </c>
      <c r="R189" s="34" t="s">
        <v>51</v>
      </c>
      <c r="S189" s="35" t="n">
        <f>1824.81</f>
        <v>1824.81</v>
      </c>
      <c r="T189" s="32" t="n">
        <f>19060</f>
        <v>19060.0</v>
      </c>
      <c r="U189" s="32" t="n">
        <f>40</f>
        <v>40.0</v>
      </c>
      <c r="V189" s="32" t="n">
        <f>34957630</f>
        <v>3.495763E7</v>
      </c>
      <c r="W189" s="32" t="n">
        <f>73490</f>
        <v>73490.0</v>
      </c>
      <c r="X189" s="36" t="n">
        <f>21</f>
        <v>21.0</v>
      </c>
    </row>
    <row r="190">
      <c r="A190" s="27" t="s">
        <v>42</v>
      </c>
      <c r="B190" s="27" t="s">
        <v>617</v>
      </c>
      <c r="C190" s="27" t="s">
        <v>618</v>
      </c>
      <c r="D190" s="27" t="s">
        <v>619</v>
      </c>
      <c r="E190" s="28" t="s">
        <v>46</v>
      </c>
      <c r="F190" s="29" t="s">
        <v>46</v>
      </c>
      <c r="G190" s="30" t="s">
        <v>46</v>
      </c>
      <c r="H190" s="31"/>
      <c r="I190" s="31" t="s">
        <v>47</v>
      </c>
      <c r="J190" s="32" t="n">
        <v>10.0</v>
      </c>
      <c r="K190" s="33" t="n">
        <f>193</f>
        <v>193.0</v>
      </c>
      <c r="L190" s="34" t="s">
        <v>48</v>
      </c>
      <c r="M190" s="33" t="n">
        <f>194</f>
        <v>194.0</v>
      </c>
      <c r="N190" s="34" t="s">
        <v>48</v>
      </c>
      <c r="O190" s="33" t="n">
        <f>167</f>
        <v>167.0</v>
      </c>
      <c r="P190" s="34" t="s">
        <v>68</v>
      </c>
      <c r="Q190" s="33" t="n">
        <f>187</f>
        <v>187.0</v>
      </c>
      <c r="R190" s="34" t="s">
        <v>51</v>
      </c>
      <c r="S190" s="35" t="n">
        <f>181.81</f>
        <v>181.81</v>
      </c>
      <c r="T190" s="32" t="n">
        <f>84081880</f>
        <v>8.408188E7</v>
      </c>
      <c r="U190" s="32" t="n">
        <f>107120</f>
        <v>107120.0</v>
      </c>
      <c r="V190" s="32" t="n">
        <f>15222370219</f>
        <v>1.5222370219E10</v>
      </c>
      <c r="W190" s="32" t="n">
        <f>19172099</f>
        <v>1.9172099E7</v>
      </c>
      <c r="X190" s="36" t="n">
        <f>21</f>
        <v>21.0</v>
      </c>
    </row>
    <row r="191">
      <c r="A191" s="27" t="s">
        <v>42</v>
      </c>
      <c r="B191" s="27" t="s">
        <v>620</v>
      </c>
      <c r="C191" s="27" t="s">
        <v>621</v>
      </c>
      <c r="D191" s="27" t="s">
        <v>622</v>
      </c>
      <c r="E191" s="28" t="s">
        <v>46</v>
      </c>
      <c r="F191" s="29" t="s">
        <v>46</v>
      </c>
      <c r="G191" s="30" t="s">
        <v>46</v>
      </c>
      <c r="H191" s="31"/>
      <c r="I191" s="31" t="s">
        <v>623</v>
      </c>
      <c r="J191" s="32" t="n">
        <v>1.0</v>
      </c>
      <c r="K191" s="33" t="n">
        <f>9390</f>
        <v>9390.0</v>
      </c>
      <c r="L191" s="34" t="s">
        <v>48</v>
      </c>
      <c r="M191" s="33" t="n">
        <f>10240</f>
        <v>10240.0</v>
      </c>
      <c r="N191" s="34" t="s">
        <v>49</v>
      </c>
      <c r="O191" s="33" t="n">
        <f>8650</f>
        <v>8650.0</v>
      </c>
      <c r="P191" s="34" t="s">
        <v>50</v>
      </c>
      <c r="Q191" s="33" t="n">
        <f>9170</f>
        <v>9170.0</v>
      </c>
      <c r="R191" s="34" t="s">
        <v>51</v>
      </c>
      <c r="S191" s="35" t="n">
        <f>9489.52</f>
        <v>9489.52</v>
      </c>
      <c r="T191" s="32" t="n">
        <f>12030</f>
        <v>12030.0</v>
      </c>
      <c r="U191" s="32" t="str">
        <f>"－"</f>
        <v>－</v>
      </c>
      <c r="V191" s="32" t="n">
        <f>114330750</f>
        <v>1.1433075E8</v>
      </c>
      <c r="W191" s="32" t="str">
        <f>"－"</f>
        <v>－</v>
      </c>
      <c r="X191" s="36" t="n">
        <f>21</f>
        <v>21.0</v>
      </c>
    </row>
    <row r="192">
      <c r="A192" s="27" t="s">
        <v>42</v>
      </c>
      <c r="B192" s="27" t="s">
        <v>624</v>
      </c>
      <c r="C192" s="27" t="s">
        <v>625</v>
      </c>
      <c r="D192" s="27" t="s">
        <v>626</v>
      </c>
      <c r="E192" s="28" t="s">
        <v>46</v>
      </c>
      <c r="F192" s="29" t="s">
        <v>46</v>
      </c>
      <c r="G192" s="30" t="s">
        <v>46</v>
      </c>
      <c r="H192" s="31"/>
      <c r="I192" s="31" t="s">
        <v>623</v>
      </c>
      <c r="J192" s="32" t="n">
        <v>1.0</v>
      </c>
      <c r="K192" s="33" t="n">
        <f>5780</f>
        <v>5780.0</v>
      </c>
      <c r="L192" s="34" t="s">
        <v>48</v>
      </c>
      <c r="M192" s="33" t="n">
        <f>5990</f>
        <v>5990.0</v>
      </c>
      <c r="N192" s="34" t="s">
        <v>50</v>
      </c>
      <c r="O192" s="33" t="n">
        <f>5490</f>
        <v>5490.0</v>
      </c>
      <c r="P192" s="34" t="s">
        <v>187</v>
      </c>
      <c r="Q192" s="33" t="n">
        <f>5790</f>
        <v>5790.0</v>
      </c>
      <c r="R192" s="34" t="s">
        <v>51</v>
      </c>
      <c r="S192" s="35" t="n">
        <f>5689.52</f>
        <v>5689.52</v>
      </c>
      <c r="T192" s="32" t="n">
        <f>4194</f>
        <v>4194.0</v>
      </c>
      <c r="U192" s="32" t="str">
        <f>"－"</f>
        <v>－</v>
      </c>
      <c r="V192" s="32" t="n">
        <f>24025040</f>
        <v>2.402504E7</v>
      </c>
      <c r="W192" s="32" t="str">
        <f>"－"</f>
        <v>－</v>
      </c>
      <c r="X192" s="36" t="n">
        <f>21</f>
        <v>21.0</v>
      </c>
    </row>
    <row r="193">
      <c r="A193" s="27" t="s">
        <v>42</v>
      </c>
      <c r="B193" s="27" t="s">
        <v>627</v>
      </c>
      <c r="C193" s="27" t="s">
        <v>628</v>
      </c>
      <c r="D193" s="27" t="s">
        <v>629</v>
      </c>
      <c r="E193" s="28" t="s">
        <v>46</v>
      </c>
      <c r="F193" s="29" t="s">
        <v>46</v>
      </c>
      <c r="G193" s="30" t="s">
        <v>46</v>
      </c>
      <c r="H193" s="31"/>
      <c r="I193" s="31" t="s">
        <v>623</v>
      </c>
      <c r="J193" s="32" t="n">
        <v>1.0</v>
      </c>
      <c r="K193" s="33" t="n">
        <f>19010</f>
        <v>19010.0</v>
      </c>
      <c r="L193" s="34" t="s">
        <v>48</v>
      </c>
      <c r="M193" s="33" t="n">
        <f>20340</f>
        <v>20340.0</v>
      </c>
      <c r="N193" s="34" t="s">
        <v>72</v>
      </c>
      <c r="O193" s="33" t="n">
        <f>16400</f>
        <v>16400.0</v>
      </c>
      <c r="P193" s="34" t="s">
        <v>50</v>
      </c>
      <c r="Q193" s="33" t="n">
        <f>17760</f>
        <v>17760.0</v>
      </c>
      <c r="R193" s="34" t="s">
        <v>51</v>
      </c>
      <c r="S193" s="35" t="n">
        <f>18415.5</f>
        <v>18415.5</v>
      </c>
      <c r="T193" s="32" t="n">
        <f>1246</f>
        <v>1246.0</v>
      </c>
      <c r="U193" s="32" t="n">
        <f>1</f>
        <v>1.0</v>
      </c>
      <c r="V193" s="32" t="n">
        <f>22231510</f>
        <v>2.223151E7</v>
      </c>
      <c r="W193" s="32" t="n">
        <f>17590</f>
        <v>17590.0</v>
      </c>
      <c r="X193" s="36" t="n">
        <f>20</f>
        <v>20.0</v>
      </c>
    </row>
    <row r="194">
      <c r="A194" s="27" t="s">
        <v>42</v>
      </c>
      <c r="B194" s="27" t="s">
        <v>630</v>
      </c>
      <c r="C194" s="27" t="s">
        <v>631</v>
      </c>
      <c r="D194" s="27" t="s">
        <v>632</v>
      </c>
      <c r="E194" s="28" t="s">
        <v>46</v>
      </c>
      <c r="F194" s="29" t="s">
        <v>46</v>
      </c>
      <c r="G194" s="30" t="s">
        <v>46</v>
      </c>
      <c r="H194" s="31"/>
      <c r="I194" s="31" t="s">
        <v>623</v>
      </c>
      <c r="J194" s="32" t="n">
        <v>1.0</v>
      </c>
      <c r="K194" s="33" t="n">
        <f>5820</f>
        <v>5820.0</v>
      </c>
      <c r="L194" s="34" t="s">
        <v>48</v>
      </c>
      <c r="M194" s="33" t="n">
        <f>6090</f>
        <v>6090.0</v>
      </c>
      <c r="N194" s="34" t="s">
        <v>68</v>
      </c>
      <c r="O194" s="33" t="n">
        <f>5650</f>
        <v>5650.0</v>
      </c>
      <c r="P194" s="34" t="s">
        <v>187</v>
      </c>
      <c r="Q194" s="33" t="n">
        <f>5860</f>
        <v>5860.0</v>
      </c>
      <c r="R194" s="34" t="s">
        <v>51</v>
      </c>
      <c r="S194" s="35" t="n">
        <f>5830</f>
        <v>5830.0</v>
      </c>
      <c r="T194" s="32" t="n">
        <f>11139</f>
        <v>11139.0</v>
      </c>
      <c r="U194" s="32" t="str">
        <f>"－"</f>
        <v>－</v>
      </c>
      <c r="V194" s="32" t="n">
        <f>65393430</f>
        <v>6.539343E7</v>
      </c>
      <c r="W194" s="32" t="str">
        <f>"－"</f>
        <v>－</v>
      </c>
      <c r="X194" s="36" t="n">
        <f>21</f>
        <v>21.0</v>
      </c>
    </row>
    <row r="195">
      <c r="A195" s="27" t="s">
        <v>42</v>
      </c>
      <c r="B195" s="27" t="s">
        <v>633</v>
      </c>
      <c r="C195" s="27" t="s">
        <v>634</v>
      </c>
      <c r="D195" s="27" t="s">
        <v>635</v>
      </c>
      <c r="E195" s="28" t="s">
        <v>46</v>
      </c>
      <c r="F195" s="29" t="s">
        <v>46</v>
      </c>
      <c r="G195" s="30" t="s">
        <v>46</v>
      </c>
      <c r="H195" s="31"/>
      <c r="I195" s="31" t="s">
        <v>623</v>
      </c>
      <c r="J195" s="32" t="n">
        <v>1.0</v>
      </c>
      <c r="K195" s="33" t="n">
        <f>183</f>
        <v>183.0</v>
      </c>
      <c r="L195" s="34" t="s">
        <v>48</v>
      </c>
      <c r="M195" s="33" t="n">
        <f>187</f>
        <v>187.0</v>
      </c>
      <c r="N195" s="34" t="s">
        <v>97</v>
      </c>
      <c r="O195" s="33" t="n">
        <f>160</f>
        <v>160.0</v>
      </c>
      <c r="P195" s="34" t="s">
        <v>51</v>
      </c>
      <c r="Q195" s="33" t="n">
        <f>161</f>
        <v>161.0</v>
      </c>
      <c r="R195" s="34" t="s">
        <v>51</v>
      </c>
      <c r="S195" s="35" t="n">
        <f>171.14</f>
        <v>171.14</v>
      </c>
      <c r="T195" s="32" t="n">
        <f>10869457</f>
        <v>1.0869457E7</v>
      </c>
      <c r="U195" s="32" t="n">
        <f>22</f>
        <v>22.0</v>
      </c>
      <c r="V195" s="32" t="n">
        <f>1851155556</f>
        <v>1.851155556E9</v>
      </c>
      <c r="W195" s="32" t="n">
        <f>3688</f>
        <v>3688.0</v>
      </c>
      <c r="X195" s="36" t="n">
        <f>21</f>
        <v>21.0</v>
      </c>
    </row>
    <row r="196">
      <c r="A196" s="27" t="s">
        <v>42</v>
      </c>
      <c r="B196" s="27" t="s">
        <v>636</v>
      </c>
      <c r="C196" s="27" t="s">
        <v>637</v>
      </c>
      <c r="D196" s="27" t="s">
        <v>638</v>
      </c>
      <c r="E196" s="28" t="s">
        <v>46</v>
      </c>
      <c r="F196" s="29" t="s">
        <v>46</v>
      </c>
      <c r="G196" s="30" t="s">
        <v>46</v>
      </c>
      <c r="H196" s="31"/>
      <c r="I196" s="31" t="s">
        <v>623</v>
      </c>
      <c r="J196" s="32" t="n">
        <v>1.0</v>
      </c>
      <c r="K196" s="33" t="n">
        <f>17870</f>
        <v>17870.0</v>
      </c>
      <c r="L196" s="34" t="s">
        <v>48</v>
      </c>
      <c r="M196" s="33" t="n">
        <f>17960</f>
        <v>17960.0</v>
      </c>
      <c r="N196" s="34" t="s">
        <v>51</v>
      </c>
      <c r="O196" s="33" t="n">
        <f>16400</f>
        <v>16400.0</v>
      </c>
      <c r="P196" s="34" t="s">
        <v>101</v>
      </c>
      <c r="Q196" s="33" t="n">
        <f>17840</f>
        <v>17840.0</v>
      </c>
      <c r="R196" s="34" t="s">
        <v>51</v>
      </c>
      <c r="S196" s="35" t="n">
        <f>17320</f>
        <v>17320.0</v>
      </c>
      <c r="T196" s="32" t="n">
        <f>40097</f>
        <v>40097.0</v>
      </c>
      <c r="U196" s="32" t="str">
        <f>"－"</f>
        <v>－</v>
      </c>
      <c r="V196" s="32" t="n">
        <f>690137180</f>
        <v>6.9013718E8</v>
      </c>
      <c r="W196" s="32" t="str">
        <f>"－"</f>
        <v>－</v>
      </c>
      <c r="X196" s="36" t="n">
        <f>21</f>
        <v>21.0</v>
      </c>
    </row>
    <row r="197">
      <c r="A197" s="27" t="s">
        <v>42</v>
      </c>
      <c r="B197" s="27" t="s">
        <v>639</v>
      </c>
      <c r="C197" s="27" t="s">
        <v>640</v>
      </c>
      <c r="D197" s="27" t="s">
        <v>641</v>
      </c>
      <c r="E197" s="28" t="s">
        <v>46</v>
      </c>
      <c r="F197" s="29" t="s">
        <v>46</v>
      </c>
      <c r="G197" s="30" t="s">
        <v>46</v>
      </c>
      <c r="H197" s="31"/>
      <c r="I197" s="31" t="s">
        <v>623</v>
      </c>
      <c r="J197" s="32" t="n">
        <v>1.0</v>
      </c>
      <c r="K197" s="33" t="n">
        <f>5460</f>
        <v>5460.0</v>
      </c>
      <c r="L197" s="34" t="s">
        <v>48</v>
      </c>
      <c r="M197" s="33" t="n">
        <f>5780</f>
        <v>5780.0</v>
      </c>
      <c r="N197" s="34" t="s">
        <v>61</v>
      </c>
      <c r="O197" s="33" t="n">
        <f>5430</f>
        <v>5430.0</v>
      </c>
      <c r="P197" s="34" t="s">
        <v>93</v>
      </c>
      <c r="Q197" s="33" t="n">
        <f>5450</f>
        <v>5450.0</v>
      </c>
      <c r="R197" s="34" t="s">
        <v>51</v>
      </c>
      <c r="S197" s="35" t="n">
        <f>5559.52</f>
        <v>5559.52</v>
      </c>
      <c r="T197" s="32" t="n">
        <f>15263</f>
        <v>15263.0</v>
      </c>
      <c r="U197" s="32" t="str">
        <f>"－"</f>
        <v>－</v>
      </c>
      <c r="V197" s="32" t="n">
        <f>85495430</f>
        <v>8.549543E7</v>
      </c>
      <c r="W197" s="32" t="str">
        <f>"－"</f>
        <v>－</v>
      </c>
      <c r="X197" s="36" t="n">
        <f>21</f>
        <v>21.0</v>
      </c>
    </row>
    <row r="198">
      <c r="A198" s="27" t="s">
        <v>42</v>
      </c>
      <c r="B198" s="27" t="s">
        <v>642</v>
      </c>
      <c r="C198" s="27" t="s">
        <v>643</v>
      </c>
      <c r="D198" s="27" t="s">
        <v>644</v>
      </c>
      <c r="E198" s="28" t="s">
        <v>46</v>
      </c>
      <c r="F198" s="29" t="s">
        <v>46</v>
      </c>
      <c r="G198" s="30" t="s">
        <v>46</v>
      </c>
      <c r="H198" s="31"/>
      <c r="I198" s="31" t="s">
        <v>623</v>
      </c>
      <c r="J198" s="32" t="n">
        <v>1.0</v>
      </c>
      <c r="K198" s="33" t="n">
        <f>625</f>
        <v>625.0</v>
      </c>
      <c r="L198" s="34" t="s">
        <v>48</v>
      </c>
      <c r="M198" s="33" t="n">
        <f>625</f>
        <v>625.0</v>
      </c>
      <c r="N198" s="34" t="s">
        <v>48</v>
      </c>
      <c r="O198" s="33" t="n">
        <f>486</f>
        <v>486.0</v>
      </c>
      <c r="P198" s="34" t="s">
        <v>68</v>
      </c>
      <c r="Q198" s="33" t="n">
        <f>591</f>
        <v>591.0</v>
      </c>
      <c r="R198" s="34" t="s">
        <v>51</v>
      </c>
      <c r="S198" s="35" t="n">
        <f>563.86</f>
        <v>563.86</v>
      </c>
      <c r="T198" s="32" t="n">
        <f>106809004</f>
        <v>1.06809004E8</v>
      </c>
      <c r="U198" s="32" t="n">
        <f>100006</f>
        <v>100006.0</v>
      </c>
      <c r="V198" s="32" t="n">
        <f>59943988291</f>
        <v>5.9943988291E10</v>
      </c>
      <c r="W198" s="32" t="n">
        <f>55503114</f>
        <v>5.5503114E7</v>
      </c>
      <c r="X198" s="36" t="n">
        <f>21</f>
        <v>21.0</v>
      </c>
    </row>
    <row r="199">
      <c r="A199" s="27" t="s">
        <v>42</v>
      </c>
      <c r="B199" s="27" t="s">
        <v>645</v>
      </c>
      <c r="C199" s="27" t="s">
        <v>646</v>
      </c>
      <c r="D199" s="27" t="s">
        <v>647</v>
      </c>
      <c r="E199" s="28" t="s">
        <v>46</v>
      </c>
      <c r="F199" s="29" t="s">
        <v>46</v>
      </c>
      <c r="G199" s="30" t="s">
        <v>46</v>
      </c>
      <c r="H199" s="31"/>
      <c r="I199" s="31" t="s">
        <v>623</v>
      </c>
      <c r="J199" s="32" t="n">
        <v>1.0</v>
      </c>
      <c r="K199" s="33" t="n">
        <f>3200</f>
        <v>3200.0</v>
      </c>
      <c r="L199" s="34" t="s">
        <v>48</v>
      </c>
      <c r="M199" s="33" t="n">
        <f>3600</f>
        <v>3600.0</v>
      </c>
      <c r="N199" s="34" t="s">
        <v>68</v>
      </c>
      <c r="O199" s="33" t="n">
        <f>3195</f>
        <v>3195.0</v>
      </c>
      <c r="P199" s="34" t="s">
        <v>48</v>
      </c>
      <c r="Q199" s="33" t="n">
        <f>3255</f>
        <v>3255.0</v>
      </c>
      <c r="R199" s="34" t="s">
        <v>51</v>
      </c>
      <c r="S199" s="35" t="n">
        <f>3359.76</f>
        <v>3359.76</v>
      </c>
      <c r="T199" s="32" t="n">
        <f>461616</f>
        <v>461616.0</v>
      </c>
      <c r="U199" s="32" t="str">
        <f>"－"</f>
        <v>－</v>
      </c>
      <c r="V199" s="32" t="n">
        <f>1563145050</f>
        <v>1.56314505E9</v>
      </c>
      <c r="W199" s="32" t="str">
        <f>"－"</f>
        <v>－</v>
      </c>
      <c r="X199" s="36" t="n">
        <f>21</f>
        <v>21.0</v>
      </c>
    </row>
    <row r="200">
      <c r="A200" s="27" t="s">
        <v>42</v>
      </c>
      <c r="B200" s="27" t="s">
        <v>648</v>
      </c>
      <c r="C200" s="27" t="s">
        <v>649</v>
      </c>
      <c r="D200" s="27" t="s">
        <v>650</v>
      </c>
      <c r="E200" s="28" t="s">
        <v>46</v>
      </c>
      <c r="F200" s="29" t="s">
        <v>46</v>
      </c>
      <c r="G200" s="30" t="s">
        <v>46</v>
      </c>
      <c r="H200" s="31"/>
      <c r="I200" s="31" t="s">
        <v>623</v>
      </c>
      <c r="J200" s="32" t="n">
        <v>1.0</v>
      </c>
      <c r="K200" s="33" t="n">
        <f>31650</f>
        <v>31650.0</v>
      </c>
      <c r="L200" s="34" t="s">
        <v>48</v>
      </c>
      <c r="M200" s="33" t="n">
        <f>32500</f>
        <v>32500.0</v>
      </c>
      <c r="N200" s="34" t="s">
        <v>134</v>
      </c>
      <c r="O200" s="33" t="n">
        <f>31200</f>
        <v>31200.0</v>
      </c>
      <c r="P200" s="34" t="s">
        <v>89</v>
      </c>
      <c r="Q200" s="33" t="n">
        <f>32350</f>
        <v>32350.0</v>
      </c>
      <c r="R200" s="34" t="s">
        <v>51</v>
      </c>
      <c r="S200" s="35" t="n">
        <f>31926.19</f>
        <v>31926.19</v>
      </c>
      <c r="T200" s="32" t="n">
        <f>81270</f>
        <v>81270.0</v>
      </c>
      <c r="U200" s="32" t="n">
        <f>2</f>
        <v>2.0</v>
      </c>
      <c r="V200" s="32" t="n">
        <f>2589736400</f>
        <v>2.5897364E9</v>
      </c>
      <c r="W200" s="32" t="n">
        <f>63700</f>
        <v>63700.0</v>
      </c>
      <c r="X200" s="36" t="n">
        <f>21</f>
        <v>21.0</v>
      </c>
    </row>
    <row r="201">
      <c r="A201" s="27" t="s">
        <v>42</v>
      </c>
      <c r="B201" s="27" t="s">
        <v>651</v>
      </c>
      <c r="C201" s="27" t="s">
        <v>652</v>
      </c>
      <c r="D201" s="27" t="s">
        <v>653</v>
      </c>
      <c r="E201" s="28" t="s">
        <v>46</v>
      </c>
      <c r="F201" s="29" t="s">
        <v>46</v>
      </c>
      <c r="G201" s="30" t="s">
        <v>46</v>
      </c>
      <c r="H201" s="31"/>
      <c r="I201" s="31" t="s">
        <v>623</v>
      </c>
      <c r="J201" s="32" t="n">
        <v>1.0</v>
      </c>
      <c r="K201" s="33" t="n">
        <f>2954</f>
        <v>2954.0</v>
      </c>
      <c r="L201" s="34" t="s">
        <v>48</v>
      </c>
      <c r="M201" s="33" t="n">
        <f>2975</f>
        <v>2975.0</v>
      </c>
      <c r="N201" s="34" t="s">
        <v>89</v>
      </c>
      <c r="O201" s="33" t="n">
        <f>2896</f>
        <v>2896.0</v>
      </c>
      <c r="P201" s="34" t="s">
        <v>180</v>
      </c>
      <c r="Q201" s="33" t="n">
        <f>2903</f>
        <v>2903.0</v>
      </c>
      <c r="R201" s="34" t="s">
        <v>51</v>
      </c>
      <c r="S201" s="35" t="n">
        <f>2929.48</f>
        <v>2929.48</v>
      </c>
      <c r="T201" s="32" t="n">
        <f>420179</f>
        <v>420179.0</v>
      </c>
      <c r="U201" s="32" t="str">
        <f>"－"</f>
        <v>－</v>
      </c>
      <c r="V201" s="32" t="n">
        <f>1231106966</f>
        <v>1.231106966E9</v>
      </c>
      <c r="W201" s="32" t="str">
        <f>"－"</f>
        <v>－</v>
      </c>
      <c r="X201" s="36" t="n">
        <f>21</f>
        <v>21.0</v>
      </c>
    </row>
    <row r="202">
      <c r="A202" s="27" t="s">
        <v>42</v>
      </c>
      <c r="B202" s="27" t="s">
        <v>654</v>
      </c>
      <c r="C202" s="27" t="s">
        <v>655</v>
      </c>
      <c r="D202" s="27" t="s">
        <v>656</v>
      </c>
      <c r="E202" s="28" t="s">
        <v>46</v>
      </c>
      <c r="F202" s="29" t="s">
        <v>46</v>
      </c>
      <c r="G202" s="30" t="s">
        <v>46</v>
      </c>
      <c r="H202" s="31"/>
      <c r="I202" s="31" t="s">
        <v>623</v>
      </c>
      <c r="J202" s="32" t="n">
        <v>1.0</v>
      </c>
      <c r="K202" s="33" t="n">
        <f>11790</f>
        <v>11790.0</v>
      </c>
      <c r="L202" s="34" t="s">
        <v>48</v>
      </c>
      <c r="M202" s="33" t="n">
        <f>12300</f>
        <v>12300.0</v>
      </c>
      <c r="N202" s="34" t="s">
        <v>51</v>
      </c>
      <c r="O202" s="33" t="n">
        <f>10700</f>
        <v>10700.0</v>
      </c>
      <c r="P202" s="34" t="s">
        <v>375</v>
      </c>
      <c r="Q202" s="33" t="n">
        <f>12300</f>
        <v>12300.0</v>
      </c>
      <c r="R202" s="34" t="s">
        <v>51</v>
      </c>
      <c r="S202" s="35" t="n">
        <f>11538.57</f>
        <v>11538.57</v>
      </c>
      <c r="T202" s="32" t="n">
        <f>69199</f>
        <v>69199.0</v>
      </c>
      <c r="U202" s="32" t="n">
        <f>12900</f>
        <v>12900.0</v>
      </c>
      <c r="V202" s="32" t="n">
        <f>806728940</f>
        <v>8.0672894E8</v>
      </c>
      <c r="W202" s="32" t="n">
        <f>153642100</f>
        <v>1.536421E8</v>
      </c>
      <c r="X202" s="36" t="n">
        <f>21</f>
        <v>21.0</v>
      </c>
    </row>
    <row r="203">
      <c r="A203" s="27" t="s">
        <v>42</v>
      </c>
      <c r="B203" s="27" t="s">
        <v>657</v>
      </c>
      <c r="C203" s="27" t="s">
        <v>658</v>
      </c>
      <c r="D203" s="27" t="s">
        <v>659</v>
      </c>
      <c r="E203" s="28" t="s">
        <v>46</v>
      </c>
      <c r="F203" s="29" t="s">
        <v>46</v>
      </c>
      <c r="G203" s="30" t="s">
        <v>46</v>
      </c>
      <c r="H203" s="31"/>
      <c r="I203" s="31" t="s">
        <v>623</v>
      </c>
      <c r="J203" s="32" t="n">
        <v>1.0</v>
      </c>
      <c r="K203" s="33" t="n">
        <f>12670</f>
        <v>12670.0</v>
      </c>
      <c r="L203" s="34" t="s">
        <v>61</v>
      </c>
      <c r="M203" s="33" t="n">
        <f>12980</f>
        <v>12980.0</v>
      </c>
      <c r="N203" s="34" t="s">
        <v>179</v>
      </c>
      <c r="O203" s="33" t="n">
        <f>12500</f>
        <v>12500.0</v>
      </c>
      <c r="P203" s="34" t="s">
        <v>50</v>
      </c>
      <c r="Q203" s="33" t="n">
        <f>12890</f>
        <v>12890.0</v>
      </c>
      <c r="R203" s="34" t="s">
        <v>93</v>
      </c>
      <c r="S203" s="35" t="n">
        <f>12767.27</f>
        <v>12767.27</v>
      </c>
      <c r="T203" s="32" t="n">
        <f>460</f>
        <v>460.0</v>
      </c>
      <c r="U203" s="32" t="str">
        <f>"－"</f>
        <v>－</v>
      </c>
      <c r="V203" s="32" t="n">
        <f>5784580</f>
        <v>5784580.0</v>
      </c>
      <c r="W203" s="32" t="str">
        <f>"－"</f>
        <v>－</v>
      </c>
      <c r="X203" s="36" t="n">
        <f>11</f>
        <v>11.0</v>
      </c>
    </row>
    <row r="204">
      <c r="A204" s="27" t="s">
        <v>42</v>
      </c>
      <c r="B204" s="27" t="s">
        <v>660</v>
      </c>
      <c r="C204" s="27" t="s">
        <v>661</v>
      </c>
      <c r="D204" s="27" t="s">
        <v>662</v>
      </c>
      <c r="E204" s="28" t="s">
        <v>46</v>
      </c>
      <c r="F204" s="29" t="s">
        <v>46</v>
      </c>
      <c r="G204" s="30" t="s">
        <v>46</v>
      </c>
      <c r="H204" s="31"/>
      <c r="I204" s="31" t="s">
        <v>623</v>
      </c>
      <c r="J204" s="32" t="n">
        <v>1.0</v>
      </c>
      <c r="K204" s="33" t="n">
        <f>18950</f>
        <v>18950.0</v>
      </c>
      <c r="L204" s="34" t="s">
        <v>48</v>
      </c>
      <c r="M204" s="33" t="n">
        <f>19430</f>
        <v>19430.0</v>
      </c>
      <c r="N204" s="34" t="s">
        <v>150</v>
      </c>
      <c r="O204" s="33" t="n">
        <f>18770</f>
        <v>18770.0</v>
      </c>
      <c r="P204" s="34" t="s">
        <v>97</v>
      </c>
      <c r="Q204" s="33" t="n">
        <f>19280</f>
        <v>19280.0</v>
      </c>
      <c r="R204" s="34" t="s">
        <v>51</v>
      </c>
      <c r="S204" s="35" t="n">
        <f>19098.57</f>
        <v>19098.57</v>
      </c>
      <c r="T204" s="32" t="n">
        <f>20856</f>
        <v>20856.0</v>
      </c>
      <c r="U204" s="32" t="n">
        <f>2</f>
        <v>2.0</v>
      </c>
      <c r="V204" s="32" t="n">
        <f>398743920</f>
        <v>3.9874392E8</v>
      </c>
      <c r="W204" s="32" t="n">
        <f>39610</f>
        <v>39610.0</v>
      </c>
      <c r="X204" s="36" t="n">
        <f>21</f>
        <v>21.0</v>
      </c>
    </row>
    <row r="205">
      <c r="A205" s="27" t="s">
        <v>42</v>
      </c>
      <c r="B205" s="27" t="s">
        <v>663</v>
      </c>
      <c r="C205" s="27" t="s">
        <v>664</v>
      </c>
      <c r="D205" s="27" t="s">
        <v>665</v>
      </c>
      <c r="E205" s="28" t="s">
        <v>46</v>
      </c>
      <c r="F205" s="29" t="s">
        <v>46</v>
      </c>
      <c r="G205" s="30" t="s">
        <v>46</v>
      </c>
      <c r="H205" s="31"/>
      <c r="I205" s="31" t="s">
        <v>623</v>
      </c>
      <c r="J205" s="32" t="n">
        <v>1.0</v>
      </c>
      <c r="K205" s="33" t="n">
        <f>13750</f>
        <v>13750.0</v>
      </c>
      <c r="L205" s="34" t="s">
        <v>48</v>
      </c>
      <c r="M205" s="33" t="n">
        <f>13990</f>
        <v>13990.0</v>
      </c>
      <c r="N205" s="34" t="s">
        <v>93</v>
      </c>
      <c r="O205" s="33" t="n">
        <f>13580</f>
        <v>13580.0</v>
      </c>
      <c r="P205" s="34" t="s">
        <v>93</v>
      </c>
      <c r="Q205" s="33" t="n">
        <f>13750</f>
        <v>13750.0</v>
      </c>
      <c r="R205" s="34" t="s">
        <v>51</v>
      </c>
      <c r="S205" s="35" t="n">
        <f>13810.67</f>
        <v>13810.67</v>
      </c>
      <c r="T205" s="32" t="n">
        <f>276</f>
        <v>276.0</v>
      </c>
      <c r="U205" s="32" t="n">
        <f>1</f>
        <v>1.0</v>
      </c>
      <c r="V205" s="32" t="n">
        <f>3798540</f>
        <v>3798540.0</v>
      </c>
      <c r="W205" s="32" t="n">
        <f>13930</f>
        <v>13930.0</v>
      </c>
      <c r="X205" s="36" t="n">
        <f>15</f>
        <v>15.0</v>
      </c>
    </row>
    <row r="206">
      <c r="A206" s="27" t="s">
        <v>42</v>
      </c>
      <c r="B206" s="27" t="s">
        <v>666</v>
      </c>
      <c r="C206" s="27" t="s">
        <v>667</v>
      </c>
      <c r="D206" s="27" t="s">
        <v>668</v>
      </c>
      <c r="E206" s="28" t="s">
        <v>46</v>
      </c>
      <c r="F206" s="29" t="s">
        <v>46</v>
      </c>
      <c r="G206" s="30" t="s">
        <v>46</v>
      </c>
      <c r="H206" s="31"/>
      <c r="I206" s="31" t="s">
        <v>623</v>
      </c>
      <c r="J206" s="32" t="n">
        <v>1.0</v>
      </c>
      <c r="K206" s="33" t="n">
        <f>14370</f>
        <v>14370.0</v>
      </c>
      <c r="L206" s="34" t="s">
        <v>48</v>
      </c>
      <c r="M206" s="33" t="n">
        <f>17080</f>
        <v>17080.0</v>
      </c>
      <c r="N206" s="34" t="s">
        <v>51</v>
      </c>
      <c r="O206" s="33" t="n">
        <f>14340</f>
        <v>14340.0</v>
      </c>
      <c r="P206" s="34" t="s">
        <v>48</v>
      </c>
      <c r="Q206" s="33" t="n">
        <f>16870</f>
        <v>16870.0</v>
      </c>
      <c r="R206" s="34" t="s">
        <v>51</v>
      </c>
      <c r="S206" s="35" t="n">
        <f>15630</f>
        <v>15630.0</v>
      </c>
      <c r="T206" s="32" t="n">
        <f>41214</f>
        <v>41214.0</v>
      </c>
      <c r="U206" s="32" t="n">
        <f>3</f>
        <v>3.0</v>
      </c>
      <c r="V206" s="32" t="n">
        <f>644231200</f>
        <v>6.442312E8</v>
      </c>
      <c r="W206" s="32" t="n">
        <f>46950</f>
        <v>46950.0</v>
      </c>
      <c r="X206" s="36" t="n">
        <f>21</f>
        <v>21.0</v>
      </c>
    </row>
    <row r="207">
      <c r="A207" s="27" t="s">
        <v>42</v>
      </c>
      <c r="B207" s="27" t="s">
        <v>669</v>
      </c>
      <c r="C207" s="27" t="s">
        <v>670</v>
      </c>
      <c r="D207" s="27" t="s">
        <v>671</v>
      </c>
      <c r="E207" s="28" t="s">
        <v>46</v>
      </c>
      <c r="F207" s="29" t="s">
        <v>46</v>
      </c>
      <c r="G207" s="30" t="s">
        <v>46</v>
      </c>
      <c r="H207" s="31"/>
      <c r="I207" s="31" t="s">
        <v>623</v>
      </c>
      <c r="J207" s="32" t="n">
        <v>1.0</v>
      </c>
      <c r="K207" s="33" t="n">
        <f>4275</f>
        <v>4275.0</v>
      </c>
      <c r="L207" s="34" t="s">
        <v>48</v>
      </c>
      <c r="M207" s="33" t="n">
        <f>4310</f>
        <v>4310.0</v>
      </c>
      <c r="N207" s="34" t="s">
        <v>48</v>
      </c>
      <c r="O207" s="33" t="n">
        <f>4035</f>
        <v>4035.0</v>
      </c>
      <c r="P207" s="34" t="s">
        <v>93</v>
      </c>
      <c r="Q207" s="33" t="n">
        <f>4040</f>
        <v>4040.0</v>
      </c>
      <c r="R207" s="34" t="s">
        <v>51</v>
      </c>
      <c r="S207" s="35" t="n">
        <f>4146.58</f>
        <v>4146.58</v>
      </c>
      <c r="T207" s="32" t="n">
        <f>9193</f>
        <v>9193.0</v>
      </c>
      <c r="U207" s="32" t="str">
        <f>"－"</f>
        <v>－</v>
      </c>
      <c r="V207" s="32" t="n">
        <f>38727180</f>
        <v>3.872718E7</v>
      </c>
      <c r="W207" s="32" t="str">
        <f>"－"</f>
        <v>－</v>
      </c>
      <c r="X207" s="36" t="n">
        <f>19</f>
        <v>19.0</v>
      </c>
    </row>
    <row r="208">
      <c r="A208" s="27" t="s">
        <v>42</v>
      </c>
      <c r="B208" s="27" t="s">
        <v>672</v>
      </c>
      <c r="C208" s="27" t="s">
        <v>673</v>
      </c>
      <c r="D208" s="27" t="s">
        <v>674</v>
      </c>
      <c r="E208" s="28" t="s">
        <v>46</v>
      </c>
      <c r="F208" s="29" t="s">
        <v>46</v>
      </c>
      <c r="G208" s="30" t="s">
        <v>46</v>
      </c>
      <c r="H208" s="31"/>
      <c r="I208" s="31" t="s">
        <v>623</v>
      </c>
      <c r="J208" s="32" t="n">
        <v>1.0</v>
      </c>
      <c r="K208" s="33" t="n">
        <f>10770</f>
        <v>10770.0</v>
      </c>
      <c r="L208" s="34" t="s">
        <v>48</v>
      </c>
      <c r="M208" s="33" t="n">
        <f>11200</f>
        <v>11200.0</v>
      </c>
      <c r="N208" s="34" t="s">
        <v>150</v>
      </c>
      <c r="O208" s="33" t="n">
        <f>10770</f>
        <v>10770.0</v>
      </c>
      <c r="P208" s="34" t="s">
        <v>48</v>
      </c>
      <c r="Q208" s="33" t="n">
        <f>11010</f>
        <v>11010.0</v>
      </c>
      <c r="R208" s="34" t="s">
        <v>51</v>
      </c>
      <c r="S208" s="35" t="n">
        <f>10998.89</f>
        <v>10998.89</v>
      </c>
      <c r="T208" s="32" t="n">
        <f>2032</f>
        <v>2032.0</v>
      </c>
      <c r="U208" s="32" t="str">
        <f>"－"</f>
        <v>－</v>
      </c>
      <c r="V208" s="32" t="n">
        <f>22266700</f>
        <v>2.22667E7</v>
      </c>
      <c r="W208" s="32" t="str">
        <f>"－"</f>
        <v>－</v>
      </c>
      <c r="X208" s="36" t="n">
        <f>9</f>
        <v>9.0</v>
      </c>
    </row>
    <row r="209">
      <c r="A209" s="27" t="s">
        <v>42</v>
      </c>
      <c r="B209" s="27" t="s">
        <v>675</v>
      </c>
      <c r="C209" s="27" t="s">
        <v>676</v>
      </c>
      <c r="D209" s="27" t="s">
        <v>677</v>
      </c>
      <c r="E209" s="28" t="s">
        <v>46</v>
      </c>
      <c r="F209" s="29" t="s">
        <v>46</v>
      </c>
      <c r="G209" s="30" t="s">
        <v>46</v>
      </c>
      <c r="H209" s="31"/>
      <c r="I209" s="31" t="s">
        <v>623</v>
      </c>
      <c r="J209" s="32" t="n">
        <v>1.0</v>
      </c>
      <c r="K209" s="33" t="n">
        <f>12730</f>
        <v>12730.0</v>
      </c>
      <c r="L209" s="34" t="s">
        <v>48</v>
      </c>
      <c r="M209" s="33" t="n">
        <f>12740</f>
        <v>12740.0</v>
      </c>
      <c r="N209" s="34" t="s">
        <v>51</v>
      </c>
      <c r="O209" s="33" t="n">
        <f>12200</f>
        <v>12200.0</v>
      </c>
      <c r="P209" s="34" t="s">
        <v>50</v>
      </c>
      <c r="Q209" s="33" t="n">
        <f>12740</f>
        <v>12740.0</v>
      </c>
      <c r="R209" s="34" t="s">
        <v>51</v>
      </c>
      <c r="S209" s="35" t="n">
        <f>12564.55</f>
        <v>12564.55</v>
      </c>
      <c r="T209" s="32" t="n">
        <f>164</f>
        <v>164.0</v>
      </c>
      <c r="U209" s="32" t="n">
        <f>1</f>
        <v>1.0</v>
      </c>
      <c r="V209" s="32" t="n">
        <f>2060980</f>
        <v>2060980.0</v>
      </c>
      <c r="W209" s="32" t="n">
        <f>12640</f>
        <v>12640.0</v>
      </c>
      <c r="X209" s="36" t="n">
        <f>11</f>
        <v>11.0</v>
      </c>
    </row>
    <row r="210">
      <c r="A210" s="27" t="s">
        <v>42</v>
      </c>
      <c r="B210" s="27" t="s">
        <v>678</v>
      </c>
      <c r="C210" s="27" t="s">
        <v>679</v>
      </c>
      <c r="D210" s="27" t="s">
        <v>680</v>
      </c>
      <c r="E210" s="28" t="s">
        <v>46</v>
      </c>
      <c r="F210" s="29" t="s">
        <v>46</v>
      </c>
      <c r="G210" s="30" t="s">
        <v>46</v>
      </c>
      <c r="H210" s="31"/>
      <c r="I210" s="31" t="s">
        <v>623</v>
      </c>
      <c r="J210" s="32" t="n">
        <v>1.0</v>
      </c>
      <c r="K210" s="33" t="n">
        <f>12910</f>
        <v>12910.0</v>
      </c>
      <c r="L210" s="34" t="s">
        <v>49</v>
      </c>
      <c r="M210" s="33" t="n">
        <f>12910</f>
        <v>12910.0</v>
      </c>
      <c r="N210" s="34" t="s">
        <v>49</v>
      </c>
      <c r="O210" s="33" t="n">
        <f>12670</f>
        <v>12670.0</v>
      </c>
      <c r="P210" s="34" t="s">
        <v>172</v>
      </c>
      <c r="Q210" s="33" t="n">
        <f>12670</f>
        <v>12670.0</v>
      </c>
      <c r="R210" s="34" t="s">
        <v>172</v>
      </c>
      <c r="S210" s="35" t="n">
        <f>12806.67</f>
        <v>12806.67</v>
      </c>
      <c r="T210" s="32" t="n">
        <f>25</f>
        <v>25.0</v>
      </c>
      <c r="U210" s="32" t="str">
        <f>"－"</f>
        <v>－</v>
      </c>
      <c r="V210" s="32" t="n">
        <f>321670</f>
        <v>321670.0</v>
      </c>
      <c r="W210" s="32" t="str">
        <f>"－"</f>
        <v>－</v>
      </c>
      <c r="X210" s="36" t="n">
        <f>3</f>
        <v>3.0</v>
      </c>
    </row>
    <row r="211">
      <c r="A211" s="27" t="s">
        <v>42</v>
      </c>
      <c r="B211" s="27" t="s">
        <v>681</v>
      </c>
      <c r="C211" s="27" t="s">
        <v>682</v>
      </c>
      <c r="D211" s="27" t="s">
        <v>683</v>
      </c>
      <c r="E211" s="28" t="s">
        <v>46</v>
      </c>
      <c r="F211" s="29" t="s">
        <v>46</v>
      </c>
      <c r="G211" s="30" t="s">
        <v>46</v>
      </c>
      <c r="H211" s="31"/>
      <c r="I211" s="31" t="s">
        <v>623</v>
      </c>
      <c r="J211" s="32" t="n">
        <v>1.0</v>
      </c>
      <c r="K211" s="33" t="n">
        <f>14060</f>
        <v>14060.0</v>
      </c>
      <c r="L211" s="34" t="s">
        <v>187</v>
      </c>
      <c r="M211" s="33" t="n">
        <f>14340</f>
        <v>14340.0</v>
      </c>
      <c r="N211" s="34" t="s">
        <v>172</v>
      </c>
      <c r="O211" s="33" t="n">
        <f>13890</f>
        <v>13890.0</v>
      </c>
      <c r="P211" s="34" t="s">
        <v>180</v>
      </c>
      <c r="Q211" s="33" t="n">
        <f>14200</f>
        <v>14200.0</v>
      </c>
      <c r="R211" s="34" t="s">
        <v>73</v>
      </c>
      <c r="S211" s="35" t="n">
        <f>14058.75</f>
        <v>14058.75</v>
      </c>
      <c r="T211" s="32" t="n">
        <f>1061</f>
        <v>1061.0</v>
      </c>
      <c r="U211" s="32" t="str">
        <f>"－"</f>
        <v>－</v>
      </c>
      <c r="V211" s="32" t="n">
        <f>14925720</f>
        <v>1.492572E7</v>
      </c>
      <c r="W211" s="32" t="str">
        <f>"－"</f>
        <v>－</v>
      </c>
      <c r="X211" s="36" t="n">
        <f>8</f>
        <v>8.0</v>
      </c>
    </row>
    <row r="212">
      <c r="A212" s="27" t="s">
        <v>42</v>
      </c>
      <c r="B212" s="27" t="s">
        <v>684</v>
      </c>
      <c r="C212" s="27" t="s">
        <v>685</v>
      </c>
      <c r="D212" s="27" t="s">
        <v>686</v>
      </c>
      <c r="E212" s="28" t="s">
        <v>46</v>
      </c>
      <c r="F212" s="29" t="s">
        <v>46</v>
      </c>
      <c r="G212" s="30" t="s">
        <v>46</v>
      </c>
      <c r="H212" s="31"/>
      <c r="I212" s="31" t="s">
        <v>623</v>
      </c>
      <c r="J212" s="32" t="n">
        <v>1.0</v>
      </c>
      <c r="K212" s="33" t="n">
        <f>12630</f>
        <v>12630.0</v>
      </c>
      <c r="L212" s="34" t="s">
        <v>48</v>
      </c>
      <c r="M212" s="33" t="n">
        <f>12830</f>
        <v>12830.0</v>
      </c>
      <c r="N212" s="34" t="s">
        <v>49</v>
      </c>
      <c r="O212" s="33" t="n">
        <f>12100</f>
        <v>12100.0</v>
      </c>
      <c r="P212" s="34" t="s">
        <v>50</v>
      </c>
      <c r="Q212" s="33" t="n">
        <f>12610</f>
        <v>12610.0</v>
      </c>
      <c r="R212" s="34" t="s">
        <v>51</v>
      </c>
      <c r="S212" s="35" t="n">
        <f>12511.25</f>
        <v>12511.25</v>
      </c>
      <c r="T212" s="32" t="n">
        <f>2337</f>
        <v>2337.0</v>
      </c>
      <c r="U212" s="32" t="str">
        <f>"－"</f>
        <v>－</v>
      </c>
      <c r="V212" s="32" t="n">
        <f>29226910</f>
        <v>2.922691E7</v>
      </c>
      <c r="W212" s="32" t="str">
        <f>"－"</f>
        <v>－</v>
      </c>
      <c r="X212" s="36" t="n">
        <f>16</f>
        <v>16.0</v>
      </c>
    </row>
    <row r="213">
      <c r="A213" s="27" t="s">
        <v>42</v>
      </c>
      <c r="B213" s="27" t="s">
        <v>687</v>
      </c>
      <c r="C213" s="27" t="s">
        <v>688</v>
      </c>
      <c r="D213" s="27" t="s">
        <v>689</v>
      </c>
      <c r="E213" s="28" t="s">
        <v>46</v>
      </c>
      <c r="F213" s="29" t="s">
        <v>46</v>
      </c>
      <c r="G213" s="30" t="s">
        <v>46</v>
      </c>
      <c r="H213" s="31"/>
      <c r="I213" s="31" t="s">
        <v>623</v>
      </c>
      <c r="J213" s="32" t="n">
        <v>1.0</v>
      </c>
      <c r="K213" s="33" t="n">
        <f>13650</f>
        <v>13650.0</v>
      </c>
      <c r="L213" s="34" t="s">
        <v>61</v>
      </c>
      <c r="M213" s="33" t="n">
        <f>13840</f>
        <v>13840.0</v>
      </c>
      <c r="N213" s="34" t="s">
        <v>61</v>
      </c>
      <c r="O213" s="33" t="n">
        <f>12590</f>
        <v>12590.0</v>
      </c>
      <c r="P213" s="34" t="s">
        <v>50</v>
      </c>
      <c r="Q213" s="33" t="n">
        <f>13380</f>
        <v>13380.0</v>
      </c>
      <c r="R213" s="34" t="s">
        <v>93</v>
      </c>
      <c r="S213" s="35" t="n">
        <f>13268.33</f>
        <v>13268.33</v>
      </c>
      <c r="T213" s="32" t="n">
        <f>1032</f>
        <v>1032.0</v>
      </c>
      <c r="U213" s="32" t="str">
        <f>"－"</f>
        <v>－</v>
      </c>
      <c r="V213" s="32" t="n">
        <f>14110190</f>
        <v>1.411019E7</v>
      </c>
      <c r="W213" s="32" t="str">
        <f>"－"</f>
        <v>－</v>
      </c>
      <c r="X213" s="36" t="n">
        <f>6</f>
        <v>6.0</v>
      </c>
    </row>
    <row r="214">
      <c r="A214" s="27" t="s">
        <v>42</v>
      </c>
      <c r="B214" s="27" t="s">
        <v>690</v>
      </c>
      <c r="C214" s="27" t="s">
        <v>691</v>
      </c>
      <c r="D214" s="27" t="s">
        <v>692</v>
      </c>
      <c r="E214" s="28" t="s">
        <v>46</v>
      </c>
      <c r="F214" s="29" t="s">
        <v>46</v>
      </c>
      <c r="G214" s="30" t="s">
        <v>46</v>
      </c>
      <c r="H214" s="31"/>
      <c r="I214" s="31" t="s">
        <v>623</v>
      </c>
      <c r="J214" s="32" t="n">
        <v>1.0</v>
      </c>
      <c r="K214" s="33" t="n">
        <f>12700</f>
        <v>12700.0</v>
      </c>
      <c r="L214" s="34" t="s">
        <v>172</v>
      </c>
      <c r="M214" s="33" t="n">
        <f>12920</f>
        <v>12920.0</v>
      </c>
      <c r="N214" s="34" t="s">
        <v>320</v>
      </c>
      <c r="O214" s="33" t="n">
        <f>12700</f>
        <v>12700.0</v>
      </c>
      <c r="P214" s="34" t="s">
        <v>172</v>
      </c>
      <c r="Q214" s="33" t="n">
        <f>12800</f>
        <v>12800.0</v>
      </c>
      <c r="R214" s="34" t="s">
        <v>117</v>
      </c>
      <c r="S214" s="35" t="n">
        <f>12806.67</f>
        <v>12806.67</v>
      </c>
      <c r="T214" s="32" t="n">
        <f>19</f>
        <v>19.0</v>
      </c>
      <c r="U214" s="32" t="str">
        <f>"－"</f>
        <v>－</v>
      </c>
      <c r="V214" s="32" t="n">
        <f>243410</f>
        <v>243410.0</v>
      </c>
      <c r="W214" s="32" t="str">
        <f>"－"</f>
        <v>－</v>
      </c>
      <c r="X214" s="36" t="n">
        <f>3</f>
        <v>3.0</v>
      </c>
    </row>
    <row r="215">
      <c r="A215" s="27" t="s">
        <v>42</v>
      </c>
      <c r="B215" s="27" t="s">
        <v>693</v>
      </c>
      <c r="C215" s="27" t="s">
        <v>694</v>
      </c>
      <c r="D215" s="27" t="s">
        <v>695</v>
      </c>
      <c r="E215" s="28" t="s">
        <v>46</v>
      </c>
      <c r="F215" s="29" t="s">
        <v>46</v>
      </c>
      <c r="G215" s="30" t="s">
        <v>46</v>
      </c>
      <c r="H215" s="31"/>
      <c r="I215" s="31" t="s">
        <v>623</v>
      </c>
      <c r="J215" s="32" t="n">
        <v>1.0</v>
      </c>
      <c r="K215" s="33" t="n">
        <f>10140</f>
        <v>10140.0</v>
      </c>
      <c r="L215" s="34" t="s">
        <v>48</v>
      </c>
      <c r="M215" s="33" t="n">
        <f>10520</f>
        <v>10520.0</v>
      </c>
      <c r="N215" s="34" t="s">
        <v>51</v>
      </c>
      <c r="O215" s="33" t="n">
        <f>10060</f>
        <v>10060.0</v>
      </c>
      <c r="P215" s="34" t="s">
        <v>89</v>
      </c>
      <c r="Q215" s="33" t="n">
        <f>10470</f>
        <v>10470.0</v>
      </c>
      <c r="R215" s="34" t="s">
        <v>51</v>
      </c>
      <c r="S215" s="35" t="n">
        <f>10258.13</f>
        <v>10258.13</v>
      </c>
      <c r="T215" s="32" t="n">
        <f>6955</f>
        <v>6955.0</v>
      </c>
      <c r="U215" s="32" t="str">
        <f>"－"</f>
        <v>－</v>
      </c>
      <c r="V215" s="32" t="n">
        <f>71871120</f>
        <v>7.187112E7</v>
      </c>
      <c r="W215" s="32" t="str">
        <f>"－"</f>
        <v>－</v>
      </c>
      <c r="X215" s="36" t="n">
        <f>16</f>
        <v>16.0</v>
      </c>
    </row>
    <row r="216">
      <c r="A216" s="27" t="s">
        <v>42</v>
      </c>
      <c r="B216" s="27" t="s">
        <v>696</v>
      </c>
      <c r="C216" s="27" t="s">
        <v>697</v>
      </c>
      <c r="D216" s="27" t="s">
        <v>698</v>
      </c>
      <c r="E216" s="28" t="s">
        <v>46</v>
      </c>
      <c r="F216" s="29" t="s">
        <v>46</v>
      </c>
      <c r="G216" s="30" t="s">
        <v>46</v>
      </c>
      <c r="H216" s="31"/>
      <c r="I216" s="31" t="s">
        <v>623</v>
      </c>
      <c r="J216" s="32" t="n">
        <v>1.0</v>
      </c>
      <c r="K216" s="33" t="n">
        <f>10870</f>
        <v>10870.0</v>
      </c>
      <c r="L216" s="34" t="s">
        <v>48</v>
      </c>
      <c r="M216" s="33" t="n">
        <f>11540</f>
        <v>11540.0</v>
      </c>
      <c r="N216" s="34" t="s">
        <v>51</v>
      </c>
      <c r="O216" s="33" t="n">
        <f>10840</f>
        <v>10840.0</v>
      </c>
      <c r="P216" s="34" t="s">
        <v>187</v>
      </c>
      <c r="Q216" s="33" t="n">
        <f>11520</f>
        <v>11520.0</v>
      </c>
      <c r="R216" s="34" t="s">
        <v>51</v>
      </c>
      <c r="S216" s="35" t="n">
        <f>11066.19</f>
        <v>11066.19</v>
      </c>
      <c r="T216" s="32" t="n">
        <f>39635</f>
        <v>39635.0</v>
      </c>
      <c r="U216" s="32" t="str">
        <f>"－"</f>
        <v>－</v>
      </c>
      <c r="V216" s="32" t="n">
        <f>441681950</f>
        <v>4.4168195E8</v>
      </c>
      <c r="W216" s="32" t="str">
        <f>"－"</f>
        <v>－</v>
      </c>
      <c r="X216" s="36" t="n">
        <f>21</f>
        <v>21.0</v>
      </c>
    </row>
    <row r="217">
      <c r="A217" s="27" t="s">
        <v>42</v>
      </c>
      <c r="B217" s="27" t="s">
        <v>699</v>
      </c>
      <c r="C217" s="27" t="s">
        <v>700</v>
      </c>
      <c r="D217" s="27" t="s">
        <v>701</v>
      </c>
      <c r="E217" s="28" t="s">
        <v>46</v>
      </c>
      <c r="F217" s="29" t="s">
        <v>46</v>
      </c>
      <c r="G217" s="30" t="s">
        <v>46</v>
      </c>
      <c r="H217" s="31"/>
      <c r="I217" s="31" t="s">
        <v>623</v>
      </c>
      <c r="J217" s="32" t="n">
        <v>1.0</v>
      </c>
      <c r="K217" s="33" t="n">
        <f>10270</f>
        <v>10270.0</v>
      </c>
      <c r="L217" s="34" t="s">
        <v>48</v>
      </c>
      <c r="M217" s="33" t="n">
        <f>10430</f>
        <v>10430.0</v>
      </c>
      <c r="N217" s="34" t="s">
        <v>51</v>
      </c>
      <c r="O217" s="33" t="n">
        <f>10140</f>
        <v>10140.0</v>
      </c>
      <c r="P217" s="34" t="s">
        <v>172</v>
      </c>
      <c r="Q217" s="33" t="n">
        <f>10430</f>
        <v>10430.0</v>
      </c>
      <c r="R217" s="34" t="s">
        <v>51</v>
      </c>
      <c r="S217" s="35" t="n">
        <f>10259.44</f>
        <v>10259.44</v>
      </c>
      <c r="T217" s="32" t="n">
        <f>10920</f>
        <v>10920.0</v>
      </c>
      <c r="U217" s="32" t="str">
        <f>"－"</f>
        <v>－</v>
      </c>
      <c r="V217" s="32" t="n">
        <f>111935490</f>
        <v>1.1193549E8</v>
      </c>
      <c r="W217" s="32" t="str">
        <f>"－"</f>
        <v>－</v>
      </c>
      <c r="X217" s="36" t="n">
        <f>18</f>
        <v>18.0</v>
      </c>
    </row>
    <row r="218">
      <c r="A218" s="27" t="s">
        <v>42</v>
      </c>
      <c r="B218" s="27" t="s">
        <v>702</v>
      </c>
      <c r="C218" s="27" t="s">
        <v>703</v>
      </c>
      <c r="D218" s="27" t="s">
        <v>704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10.0</v>
      </c>
      <c r="K218" s="33" t="n">
        <f>1001</f>
        <v>1001.0</v>
      </c>
      <c r="L218" s="34" t="s">
        <v>48</v>
      </c>
      <c r="M218" s="33" t="n">
        <f>1002</f>
        <v>1002.0</v>
      </c>
      <c r="N218" s="34" t="s">
        <v>187</v>
      </c>
      <c r="O218" s="33" t="n">
        <f>997</f>
        <v>997.0</v>
      </c>
      <c r="P218" s="34" t="s">
        <v>61</v>
      </c>
      <c r="Q218" s="33" t="n">
        <f>1000</f>
        <v>1000.0</v>
      </c>
      <c r="R218" s="34" t="s">
        <v>51</v>
      </c>
      <c r="S218" s="35" t="n">
        <f>999.52</f>
        <v>999.52</v>
      </c>
      <c r="T218" s="32" t="n">
        <f>4600440</f>
        <v>4600440.0</v>
      </c>
      <c r="U218" s="32" t="n">
        <f>3836680</f>
        <v>3836680.0</v>
      </c>
      <c r="V218" s="32" t="n">
        <f>4602519614</f>
        <v>4.602519614E9</v>
      </c>
      <c r="W218" s="32" t="n">
        <f>3838098484</f>
        <v>3.838098484E9</v>
      </c>
      <c r="X218" s="36" t="n">
        <f>21</f>
        <v>21.0</v>
      </c>
    </row>
    <row r="219">
      <c r="A219" s="27" t="s">
        <v>42</v>
      </c>
      <c r="B219" s="27" t="s">
        <v>705</v>
      </c>
      <c r="C219" s="27" t="s">
        <v>706</v>
      </c>
      <c r="D219" s="27" t="s">
        <v>707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10.0</v>
      </c>
      <c r="K219" s="33" t="n">
        <f>1030</f>
        <v>1030.0</v>
      </c>
      <c r="L219" s="34" t="s">
        <v>48</v>
      </c>
      <c r="M219" s="33" t="n">
        <f>1036</f>
        <v>1036.0</v>
      </c>
      <c r="N219" s="34" t="s">
        <v>72</v>
      </c>
      <c r="O219" s="33" t="n">
        <f>1020</f>
        <v>1020.0</v>
      </c>
      <c r="P219" s="34" t="s">
        <v>68</v>
      </c>
      <c r="Q219" s="33" t="n">
        <f>1029</f>
        <v>1029.0</v>
      </c>
      <c r="R219" s="34" t="s">
        <v>51</v>
      </c>
      <c r="S219" s="35" t="n">
        <f>1027</f>
        <v>1027.0</v>
      </c>
      <c r="T219" s="32" t="n">
        <f>3463730</f>
        <v>3463730.0</v>
      </c>
      <c r="U219" s="32" t="n">
        <f>2300760</f>
        <v>2300760.0</v>
      </c>
      <c r="V219" s="32" t="n">
        <f>3547352287</f>
        <v>3.547352287E9</v>
      </c>
      <c r="W219" s="32" t="n">
        <f>2353642807</f>
        <v>2.353642807E9</v>
      </c>
      <c r="X219" s="36" t="n">
        <f>21</f>
        <v>21.0</v>
      </c>
    </row>
    <row r="220">
      <c r="A220" s="27" t="s">
        <v>42</v>
      </c>
      <c r="B220" s="27" t="s">
        <v>708</v>
      </c>
      <c r="C220" s="27" t="s">
        <v>709</v>
      </c>
      <c r="D220" s="27" t="s">
        <v>710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1038</f>
        <v>1038.0</v>
      </c>
      <c r="L220" s="34" t="s">
        <v>48</v>
      </c>
      <c r="M220" s="33" t="n">
        <f>1041</f>
        <v>1041.0</v>
      </c>
      <c r="N220" s="34" t="s">
        <v>97</v>
      </c>
      <c r="O220" s="33" t="n">
        <f>1032</f>
        <v>1032.0</v>
      </c>
      <c r="P220" s="34" t="s">
        <v>117</v>
      </c>
      <c r="Q220" s="33" t="n">
        <f>1037</f>
        <v>1037.0</v>
      </c>
      <c r="R220" s="34" t="s">
        <v>51</v>
      </c>
      <c r="S220" s="35" t="n">
        <f>1037.52</f>
        <v>1037.52</v>
      </c>
      <c r="T220" s="32" t="n">
        <f>13019360</f>
        <v>1.301936E7</v>
      </c>
      <c r="U220" s="32" t="n">
        <f>11766260</f>
        <v>1.176626E7</v>
      </c>
      <c r="V220" s="32" t="n">
        <f>13519920327</f>
        <v>1.3519920327E10</v>
      </c>
      <c r="W220" s="32" t="n">
        <f>12220490907</f>
        <v>1.2220490907E10</v>
      </c>
      <c r="X220" s="36" t="n">
        <f>21</f>
        <v>21.0</v>
      </c>
    </row>
    <row r="221">
      <c r="A221" s="27" t="s">
        <v>42</v>
      </c>
      <c r="B221" s="27" t="s">
        <v>711</v>
      </c>
      <c r="C221" s="27" t="s">
        <v>712</v>
      </c>
      <c r="D221" s="27" t="s">
        <v>713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1534</f>
        <v>1534.0</v>
      </c>
      <c r="L221" s="34" t="s">
        <v>48</v>
      </c>
      <c r="M221" s="33" t="n">
        <f>1573</f>
        <v>1573.0</v>
      </c>
      <c r="N221" s="34" t="s">
        <v>51</v>
      </c>
      <c r="O221" s="33" t="n">
        <f>1518</f>
        <v>1518.0</v>
      </c>
      <c r="P221" s="34" t="s">
        <v>97</v>
      </c>
      <c r="Q221" s="33" t="n">
        <f>1572</f>
        <v>1572.0</v>
      </c>
      <c r="R221" s="34" t="s">
        <v>51</v>
      </c>
      <c r="S221" s="35" t="n">
        <f>1544.86</f>
        <v>1544.86</v>
      </c>
      <c r="T221" s="32" t="n">
        <f>3153640</f>
        <v>3153640.0</v>
      </c>
      <c r="U221" s="32" t="n">
        <f>1853840</f>
        <v>1853840.0</v>
      </c>
      <c r="V221" s="32" t="n">
        <f>4854444830</f>
        <v>4.85444483E9</v>
      </c>
      <c r="W221" s="32" t="n">
        <f>2854789710</f>
        <v>2.85478971E9</v>
      </c>
      <c r="X221" s="36" t="n">
        <f>21</f>
        <v>21.0</v>
      </c>
    </row>
    <row r="222">
      <c r="A222" s="27" t="s">
        <v>42</v>
      </c>
      <c r="B222" s="27" t="s">
        <v>714</v>
      </c>
      <c r="C222" s="27" t="s">
        <v>715</v>
      </c>
      <c r="D222" s="27" t="s">
        <v>716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1511</f>
        <v>1511.0</v>
      </c>
      <c r="L222" s="34" t="s">
        <v>48</v>
      </c>
      <c r="M222" s="33" t="n">
        <f>1556</f>
        <v>1556.0</v>
      </c>
      <c r="N222" s="34" t="s">
        <v>51</v>
      </c>
      <c r="O222" s="33" t="n">
        <f>1508</f>
        <v>1508.0</v>
      </c>
      <c r="P222" s="34" t="s">
        <v>97</v>
      </c>
      <c r="Q222" s="33" t="n">
        <f>1556</f>
        <v>1556.0</v>
      </c>
      <c r="R222" s="34" t="s">
        <v>51</v>
      </c>
      <c r="S222" s="35" t="n">
        <f>1530.19</f>
        <v>1530.19</v>
      </c>
      <c r="T222" s="32" t="n">
        <f>404760</f>
        <v>404760.0</v>
      </c>
      <c r="U222" s="32" t="n">
        <f>30</f>
        <v>30.0</v>
      </c>
      <c r="V222" s="32" t="n">
        <f>620221630</f>
        <v>6.2022163E8</v>
      </c>
      <c r="W222" s="32" t="n">
        <f>45650</f>
        <v>45650.0</v>
      </c>
      <c r="X222" s="36" t="n">
        <f>21</f>
        <v>21.0</v>
      </c>
    </row>
    <row r="223">
      <c r="A223" s="27" t="s">
        <v>42</v>
      </c>
      <c r="B223" s="27" t="s">
        <v>717</v>
      </c>
      <c r="C223" s="27" t="s">
        <v>718</v>
      </c>
      <c r="D223" s="27" t="s">
        <v>719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1175</f>
        <v>1175.0</v>
      </c>
      <c r="L223" s="34" t="s">
        <v>48</v>
      </c>
      <c r="M223" s="33" t="n">
        <f>1195</f>
        <v>1195.0</v>
      </c>
      <c r="N223" s="34" t="s">
        <v>51</v>
      </c>
      <c r="O223" s="33" t="n">
        <f>1159</f>
        <v>1159.0</v>
      </c>
      <c r="P223" s="34" t="s">
        <v>187</v>
      </c>
      <c r="Q223" s="33" t="n">
        <f>1193</f>
        <v>1193.0</v>
      </c>
      <c r="R223" s="34" t="s">
        <v>51</v>
      </c>
      <c r="S223" s="35" t="n">
        <f>1173.05</f>
        <v>1173.05</v>
      </c>
      <c r="T223" s="32" t="n">
        <f>871690</f>
        <v>871690.0</v>
      </c>
      <c r="U223" s="32" t="n">
        <f>619820</f>
        <v>619820.0</v>
      </c>
      <c r="V223" s="32" t="n">
        <f>1021132777</f>
        <v>1.021132777E9</v>
      </c>
      <c r="W223" s="32" t="n">
        <f>725997867</f>
        <v>7.25997867E8</v>
      </c>
      <c r="X223" s="36" t="n">
        <f>21</f>
        <v>21.0</v>
      </c>
    </row>
    <row r="224">
      <c r="A224" s="27" t="s">
        <v>42</v>
      </c>
      <c r="B224" s="27" t="s">
        <v>720</v>
      </c>
      <c r="C224" s="27" t="s">
        <v>721</v>
      </c>
      <c r="D224" s="27" t="s">
        <v>722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846</f>
        <v>846.0</v>
      </c>
      <c r="L224" s="34" t="s">
        <v>48</v>
      </c>
      <c r="M224" s="33" t="n">
        <f>866</f>
        <v>866.0</v>
      </c>
      <c r="N224" s="34" t="s">
        <v>51</v>
      </c>
      <c r="O224" s="33" t="n">
        <f>771</f>
        <v>771.0</v>
      </c>
      <c r="P224" s="34" t="s">
        <v>375</v>
      </c>
      <c r="Q224" s="33" t="n">
        <f>860</f>
        <v>860.0</v>
      </c>
      <c r="R224" s="34" t="s">
        <v>51</v>
      </c>
      <c r="S224" s="35" t="n">
        <f>825.24</f>
        <v>825.24</v>
      </c>
      <c r="T224" s="32" t="n">
        <f>22059950</f>
        <v>2.205995E7</v>
      </c>
      <c r="U224" s="32" t="n">
        <f>99460</f>
        <v>99460.0</v>
      </c>
      <c r="V224" s="32" t="n">
        <f>18109993103</f>
        <v>1.8109993103E10</v>
      </c>
      <c r="W224" s="32" t="n">
        <f>81502093</f>
        <v>8.1502093E7</v>
      </c>
      <c r="X224" s="36" t="n">
        <f>21</f>
        <v>21.0</v>
      </c>
    </row>
    <row r="225">
      <c r="A225" s="27" t="s">
        <v>42</v>
      </c>
      <c r="B225" s="27" t="s">
        <v>723</v>
      </c>
      <c r="C225" s="27" t="s">
        <v>724</v>
      </c>
      <c r="D225" s="27" t="s">
        <v>725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1280</f>
        <v>1280.0</v>
      </c>
      <c r="L225" s="34" t="s">
        <v>48</v>
      </c>
      <c r="M225" s="33" t="n">
        <f>1283</f>
        <v>1283.0</v>
      </c>
      <c r="N225" s="34" t="s">
        <v>89</v>
      </c>
      <c r="O225" s="33" t="n">
        <f>1208</f>
        <v>1208.0</v>
      </c>
      <c r="P225" s="34" t="s">
        <v>117</v>
      </c>
      <c r="Q225" s="33" t="n">
        <f>1256</f>
        <v>1256.0</v>
      </c>
      <c r="R225" s="34" t="s">
        <v>51</v>
      </c>
      <c r="S225" s="35" t="n">
        <f>1246.1</f>
        <v>1246.1</v>
      </c>
      <c r="T225" s="32" t="n">
        <f>763570</f>
        <v>763570.0</v>
      </c>
      <c r="U225" s="32" t="n">
        <f>389920</f>
        <v>389920.0</v>
      </c>
      <c r="V225" s="32" t="n">
        <f>949333882</f>
        <v>9.49333882E8</v>
      </c>
      <c r="W225" s="32" t="n">
        <f>484989042</f>
        <v>4.84989042E8</v>
      </c>
      <c r="X225" s="36" t="n">
        <f>21</f>
        <v>21.0</v>
      </c>
    </row>
    <row r="226">
      <c r="A226" s="27" t="s">
        <v>42</v>
      </c>
      <c r="B226" s="27" t="s">
        <v>726</v>
      </c>
      <c r="C226" s="27" t="s">
        <v>727</v>
      </c>
      <c r="D226" s="27" t="s">
        <v>728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1103</f>
        <v>1103.0</v>
      </c>
      <c r="L226" s="34" t="s">
        <v>48</v>
      </c>
      <c r="M226" s="33" t="n">
        <f>1140</f>
        <v>1140.0</v>
      </c>
      <c r="N226" s="34" t="s">
        <v>51</v>
      </c>
      <c r="O226" s="33" t="n">
        <f>1092</f>
        <v>1092.0</v>
      </c>
      <c r="P226" s="34" t="s">
        <v>50</v>
      </c>
      <c r="Q226" s="33" t="n">
        <f>1140</f>
        <v>1140.0</v>
      </c>
      <c r="R226" s="34" t="s">
        <v>51</v>
      </c>
      <c r="S226" s="35" t="n">
        <f>1113.52</f>
        <v>1113.52</v>
      </c>
      <c r="T226" s="32" t="n">
        <f>3059</f>
        <v>3059.0</v>
      </c>
      <c r="U226" s="32" t="n">
        <f>1</f>
        <v>1.0</v>
      </c>
      <c r="V226" s="32" t="n">
        <f>3408973</f>
        <v>3408973.0</v>
      </c>
      <c r="W226" s="32" t="n">
        <f>1110</f>
        <v>1110.0</v>
      </c>
      <c r="X226" s="36" t="n">
        <f>21</f>
        <v>21.0</v>
      </c>
    </row>
    <row r="227">
      <c r="A227" s="27" t="s">
        <v>42</v>
      </c>
      <c r="B227" s="27" t="s">
        <v>729</v>
      </c>
      <c r="C227" s="27" t="s">
        <v>730</v>
      </c>
      <c r="D227" s="27" t="s">
        <v>731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10.0</v>
      </c>
      <c r="K227" s="33" t="n">
        <f>1050</f>
        <v>1050.0</v>
      </c>
      <c r="L227" s="34" t="s">
        <v>48</v>
      </c>
      <c r="M227" s="33" t="n">
        <f>1070</f>
        <v>1070.0</v>
      </c>
      <c r="N227" s="34" t="s">
        <v>51</v>
      </c>
      <c r="O227" s="33" t="n">
        <f>1050</f>
        <v>1050.0</v>
      </c>
      <c r="P227" s="34" t="s">
        <v>48</v>
      </c>
      <c r="Q227" s="33" t="n">
        <f>1066</f>
        <v>1066.0</v>
      </c>
      <c r="R227" s="34" t="s">
        <v>51</v>
      </c>
      <c r="S227" s="35" t="n">
        <f>1060.05</f>
        <v>1060.05</v>
      </c>
      <c r="T227" s="32" t="n">
        <f>250620</f>
        <v>250620.0</v>
      </c>
      <c r="U227" s="32" t="n">
        <f>157110</f>
        <v>157110.0</v>
      </c>
      <c r="V227" s="32" t="n">
        <f>265283266</f>
        <v>2.65283266E8</v>
      </c>
      <c r="W227" s="32" t="n">
        <f>166245766</f>
        <v>1.66245766E8</v>
      </c>
      <c r="X227" s="36" t="n">
        <f>21</f>
        <v>21.0</v>
      </c>
    </row>
    <row r="228">
      <c r="A228" s="27" t="s">
        <v>42</v>
      </c>
      <c r="B228" s="27" t="s">
        <v>732</v>
      </c>
      <c r="C228" s="27" t="s">
        <v>733</v>
      </c>
      <c r="D228" s="27" t="s">
        <v>734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10.0</v>
      </c>
      <c r="K228" s="33" t="n">
        <f>1228</f>
        <v>1228.0</v>
      </c>
      <c r="L228" s="34" t="s">
        <v>48</v>
      </c>
      <c r="M228" s="33" t="n">
        <f>1252</f>
        <v>1252.0</v>
      </c>
      <c r="N228" s="34" t="s">
        <v>61</v>
      </c>
      <c r="O228" s="33" t="n">
        <f>1157</f>
        <v>1157.0</v>
      </c>
      <c r="P228" s="34" t="s">
        <v>50</v>
      </c>
      <c r="Q228" s="33" t="n">
        <f>1235</f>
        <v>1235.0</v>
      </c>
      <c r="R228" s="34" t="s">
        <v>51</v>
      </c>
      <c r="S228" s="35" t="n">
        <f>1217.95</f>
        <v>1217.95</v>
      </c>
      <c r="T228" s="32" t="n">
        <f>198450</f>
        <v>198450.0</v>
      </c>
      <c r="U228" s="32" t="n">
        <f>110940</f>
        <v>110940.0</v>
      </c>
      <c r="V228" s="32" t="n">
        <f>240810697</f>
        <v>2.40810697E8</v>
      </c>
      <c r="W228" s="32" t="n">
        <f>134621297</f>
        <v>1.34621297E8</v>
      </c>
      <c r="X228" s="36" t="n">
        <f>21</f>
        <v>21.0</v>
      </c>
    </row>
    <row r="229">
      <c r="A229" s="27" t="s">
        <v>42</v>
      </c>
      <c r="B229" s="27" t="s">
        <v>735</v>
      </c>
      <c r="C229" s="27" t="s">
        <v>736</v>
      </c>
      <c r="D229" s="27" t="s">
        <v>737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10.0</v>
      </c>
      <c r="K229" s="33" t="n">
        <f>1541</f>
        <v>1541.0</v>
      </c>
      <c r="L229" s="34" t="s">
        <v>48</v>
      </c>
      <c r="M229" s="33" t="n">
        <f>1587</f>
        <v>1587.0</v>
      </c>
      <c r="N229" s="34" t="s">
        <v>51</v>
      </c>
      <c r="O229" s="33" t="n">
        <f>1531</f>
        <v>1531.0</v>
      </c>
      <c r="P229" s="34" t="s">
        <v>97</v>
      </c>
      <c r="Q229" s="33" t="n">
        <f>1587</f>
        <v>1587.0</v>
      </c>
      <c r="R229" s="34" t="s">
        <v>51</v>
      </c>
      <c r="S229" s="35" t="n">
        <f>1553.33</f>
        <v>1553.33</v>
      </c>
      <c r="T229" s="32" t="n">
        <f>9869500</f>
        <v>9869500.0</v>
      </c>
      <c r="U229" s="32" t="n">
        <f>2828500</f>
        <v>2828500.0</v>
      </c>
      <c r="V229" s="32" t="n">
        <f>15313729694</f>
        <v>1.5313729694E10</v>
      </c>
      <c r="W229" s="32" t="n">
        <f>4389337974</f>
        <v>4.389337974E9</v>
      </c>
      <c r="X229" s="36" t="n">
        <f>21</f>
        <v>21.0</v>
      </c>
    </row>
    <row r="230">
      <c r="A230" s="27" t="s">
        <v>42</v>
      </c>
      <c r="B230" s="27" t="s">
        <v>738</v>
      </c>
      <c r="C230" s="27" t="s">
        <v>739</v>
      </c>
      <c r="D230" s="27" t="s">
        <v>740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3870</f>
        <v>3870.0</v>
      </c>
      <c r="L230" s="34" t="s">
        <v>48</v>
      </c>
      <c r="M230" s="33" t="n">
        <f>4040</f>
        <v>4040.0</v>
      </c>
      <c r="N230" s="34" t="s">
        <v>51</v>
      </c>
      <c r="O230" s="33" t="n">
        <f>3790</f>
        <v>3790.0</v>
      </c>
      <c r="P230" s="34" t="s">
        <v>50</v>
      </c>
      <c r="Q230" s="33" t="n">
        <f>4035</f>
        <v>4035.0</v>
      </c>
      <c r="R230" s="34" t="s">
        <v>51</v>
      </c>
      <c r="S230" s="35" t="n">
        <f>3922.14</f>
        <v>3922.14</v>
      </c>
      <c r="T230" s="32" t="n">
        <f>34391</f>
        <v>34391.0</v>
      </c>
      <c r="U230" s="32" t="str">
        <f>"－"</f>
        <v>－</v>
      </c>
      <c r="V230" s="32" t="n">
        <f>135389705</f>
        <v>1.35389705E8</v>
      </c>
      <c r="W230" s="32" t="str">
        <f>"－"</f>
        <v>－</v>
      </c>
      <c r="X230" s="36" t="n">
        <f>21</f>
        <v>21.0</v>
      </c>
    </row>
    <row r="231">
      <c r="A231" s="27" t="s">
        <v>42</v>
      </c>
      <c r="B231" s="27" t="s">
        <v>741</v>
      </c>
      <c r="C231" s="27" t="s">
        <v>742</v>
      </c>
      <c r="D231" s="27" t="s">
        <v>743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10.0</v>
      </c>
      <c r="K231" s="33" t="n">
        <f>1645</f>
        <v>1645.0</v>
      </c>
      <c r="L231" s="34" t="s">
        <v>97</v>
      </c>
      <c r="M231" s="33" t="n">
        <f>1657</f>
        <v>1657.0</v>
      </c>
      <c r="N231" s="34" t="s">
        <v>93</v>
      </c>
      <c r="O231" s="33" t="n">
        <f>1564</f>
        <v>1564.0</v>
      </c>
      <c r="P231" s="34" t="s">
        <v>89</v>
      </c>
      <c r="Q231" s="33" t="n">
        <f>1629</f>
        <v>1629.0</v>
      </c>
      <c r="R231" s="34" t="s">
        <v>51</v>
      </c>
      <c r="S231" s="35" t="n">
        <f>1625.26</f>
        <v>1625.26</v>
      </c>
      <c r="T231" s="32" t="n">
        <f>17750</f>
        <v>17750.0</v>
      </c>
      <c r="U231" s="32" t="n">
        <f>20</f>
        <v>20.0</v>
      </c>
      <c r="V231" s="32" t="n">
        <f>28594900</f>
        <v>2.85949E7</v>
      </c>
      <c r="W231" s="32" t="n">
        <f>32350</f>
        <v>32350.0</v>
      </c>
      <c r="X231" s="36" t="n">
        <f>19</f>
        <v>19.0</v>
      </c>
    </row>
    <row r="232">
      <c r="A232" s="27" t="s">
        <v>42</v>
      </c>
      <c r="B232" s="27" t="s">
        <v>744</v>
      </c>
      <c r="C232" s="27" t="s">
        <v>745</v>
      </c>
      <c r="D232" s="27" t="s">
        <v>746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10.0</v>
      </c>
      <c r="K232" s="33" t="n">
        <f>1965</f>
        <v>1965.0</v>
      </c>
      <c r="L232" s="34" t="s">
        <v>48</v>
      </c>
      <c r="M232" s="33" t="n">
        <f>2001</f>
        <v>2001.0</v>
      </c>
      <c r="N232" s="34" t="s">
        <v>61</v>
      </c>
      <c r="O232" s="33" t="n">
        <f>1922</f>
        <v>1922.0</v>
      </c>
      <c r="P232" s="34" t="s">
        <v>68</v>
      </c>
      <c r="Q232" s="33" t="n">
        <f>1965</f>
        <v>1965.0</v>
      </c>
      <c r="R232" s="34" t="s">
        <v>51</v>
      </c>
      <c r="S232" s="35" t="n">
        <f>1965.4</f>
        <v>1965.4</v>
      </c>
      <c r="T232" s="32" t="n">
        <f>3420</f>
        <v>3420.0</v>
      </c>
      <c r="U232" s="32" t="str">
        <f>"－"</f>
        <v>－</v>
      </c>
      <c r="V232" s="32" t="n">
        <f>6802480</f>
        <v>6802480.0</v>
      </c>
      <c r="W232" s="32" t="str">
        <f>"－"</f>
        <v>－</v>
      </c>
      <c r="X232" s="36" t="n">
        <f>15</f>
        <v>15.0</v>
      </c>
    </row>
    <row r="233">
      <c r="A233" s="27" t="s">
        <v>42</v>
      </c>
      <c r="B233" s="27" t="s">
        <v>747</v>
      </c>
      <c r="C233" s="27" t="s">
        <v>748</v>
      </c>
      <c r="D233" s="27" t="s">
        <v>749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1.0</v>
      </c>
      <c r="K233" s="33" t="n">
        <f>27990</f>
        <v>27990.0</v>
      </c>
      <c r="L233" s="34" t="s">
        <v>48</v>
      </c>
      <c r="M233" s="33" t="n">
        <f>28460</f>
        <v>28460.0</v>
      </c>
      <c r="N233" s="34" t="s">
        <v>61</v>
      </c>
      <c r="O233" s="33" t="n">
        <f>27140</f>
        <v>27140.0</v>
      </c>
      <c r="P233" s="34" t="s">
        <v>50</v>
      </c>
      <c r="Q233" s="33" t="n">
        <f>27850</f>
        <v>27850.0</v>
      </c>
      <c r="R233" s="34" t="s">
        <v>51</v>
      </c>
      <c r="S233" s="35" t="n">
        <f>27943.33</f>
        <v>27943.33</v>
      </c>
      <c r="T233" s="32" t="n">
        <f>127751</f>
        <v>127751.0</v>
      </c>
      <c r="U233" s="32" t="n">
        <f>108000</f>
        <v>108000.0</v>
      </c>
      <c r="V233" s="32" t="n">
        <f>3518882920</f>
        <v>3.51888292E9</v>
      </c>
      <c r="W233" s="32" t="n">
        <f>2967036000</f>
        <v>2.967036E9</v>
      </c>
      <c r="X233" s="36" t="n">
        <f>18</f>
        <v>18.0</v>
      </c>
    </row>
    <row r="234">
      <c r="A234" s="27" t="s">
        <v>42</v>
      </c>
      <c r="B234" s="27" t="s">
        <v>750</v>
      </c>
      <c r="C234" s="27" t="s">
        <v>751</v>
      </c>
      <c r="D234" s="27" t="s">
        <v>752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1.0</v>
      </c>
      <c r="K234" s="33" t="n">
        <f>17540</f>
        <v>17540.0</v>
      </c>
      <c r="L234" s="34" t="s">
        <v>48</v>
      </c>
      <c r="M234" s="33" t="n">
        <f>17900</f>
        <v>17900.0</v>
      </c>
      <c r="N234" s="34" t="s">
        <v>61</v>
      </c>
      <c r="O234" s="33" t="n">
        <f>17330</f>
        <v>17330.0</v>
      </c>
      <c r="P234" s="34" t="s">
        <v>172</v>
      </c>
      <c r="Q234" s="33" t="n">
        <f>17590</f>
        <v>17590.0</v>
      </c>
      <c r="R234" s="34" t="s">
        <v>51</v>
      </c>
      <c r="S234" s="35" t="n">
        <f>17611.33</f>
        <v>17611.33</v>
      </c>
      <c r="T234" s="32" t="n">
        <f>29160</f>
        <v>29160.0</v>
      </c>
      <c r="U234" s="32" t="str">
        <f>"－"</f>
        <v>－</v>
      </c>
      <c r="V234" s="32" t="n">
        <f>513489150</f>
        <v>5.1348915E8</v>
      </c>
      <c r="W234" s="32" t="str">
        <f>"－"</f>
        <v>－</v>
      </c>
      <c r="X234" s="36" t="n">
        <f>15</f>
        <v>15.0</v>
      </c>
    </row>
    <row r="235">
      <c r="A235" s="27" t="s">
        <v>42</v>
      </c>
      <c r="B235" s="27" t="s">
        <v>753</v>
      </c>
      <c r="C235" s="27" t="s">
        <v>754</v>
      </c>
      <c r="D235" s="27" t="s">
        <v>755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10.0</v>
      </c>
      <c r="K235" s="33" t="n">
        <f>1271</f>
        <v>1271.0</v>
      </c>
      <c r="L235" s="34" t="s">
        <v>48</v>
      </c>
      <c r="M235" s="33" t="n">
        <f>1271</f>
        <v>1271.0</v>
      </c>
      <c r="N235" s="34" t="s">
        <v>48</v>
      </c>
      <c r="O235" s="33" t="n">
        <f>1248</f>
        <v>1248.0</v>
      </c>
      <c r="P235" s="34" t="s">
        <v>375</v>
      </c>
      <c r="Q235" s="33" t="n">
        <f>1256</f>
        <v>1256.0</v>
      </c>
      <c r="R235" s="34" t="s">
        <v>73</v>
      </c>
      <c r="S235" s="35" t="n">
        <f>1256.63</f>
        <v>1256.63</v>
      </c>
      <c r="T235" s="32" t="n">
        <f>56950</f>
        <v>56950.0</v>
      </c>
      <c r="U235" s="32" t="n">
        <f>10</f>
        <v>10.0</v>
      </c>
      <c r="V235" s="32" t="n">
        <f>71588630</f>
        <v>7.158863E7</v>
      </c>
      <c r="W235" s="32" t="n">
        <f>12560</f>
        <v>12560.0</v>
      </c>
      <c r="X235" s="36" t="n">
        <f>8</f>
        <v>8.0</v>
      </c>
    </row>
    <row r="236">
      <c r="A236" s="27" t="s">
        <v>42</v>
      </c>
      <c r="B236" s="27" t="s">
        <v>756</v>
      </c>
      <c r="C236" s="27" t="s">
        <v>757</v>
      </c>
      <c r="D236" s="27" t="s">
        <v>758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10.0</v>
      </c>
      <c r="K236" s="33" t="n">
        <f>1271</f>
        <v>1271.0</v>
      </c>
      <c r="L236" s="34" t="s">
        <v>48</v>
      </c>
      <c r="M236" s="33" t="n">
        <f>1279</f>
        <v>1279.0</v>
      </c>
      <c r="N236" s="34" t="s">
        <v>89</v>
      </c>
      <c r="O236" s="33" t="n">
        <f>1221</f>
        <v>1221.0</v>
      </c>
      <c r="P236" s="34" t="s">
        <v>320</v>
      </c>
      <c r="Q236" s="33" t="n">
        <f>1262</f>
        <v>1262.0</v>
      </c>
      <c r="R236" s="34" t="s">
        <v>51</v>
      </c>
      <c r="S236" s="35" t="n">
        <f>1251.62</f>
        <v>1251.62</v>
      </c>
      <c r="T236" s="32" t="n">
        <f>69230</f>
        <v>69230.0</v>
      </c>
      <c r="U236" s="32" t="str">
        <f>"－"</f>
        <v>－</v>
      </c>
      <c r="V236" s="32" t="n">
        <f>86451930</f>
        <v>8.645193E7</v>
      </c>
      <c r="W236" s="32" t="str">
        <f>"－"</f>
        <v>－</v>
      </c>
      <c r="X236" s="36" t="n">
        <f>21</f>
        <v>21.0</v>
      </c>
    </row>
    <row r="237">
      <c r="A237" s="27" t="s">
        <v>42</v>
      </c>
      <c r="B237" s="27" t="s">
        <v>759</v>
      </c>
      <c r="C237" s="27" t="s">
        <v>760</v>
      </c>
      <c r="D237" s="27" t="s">
        <v>761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1.0</v>
      </c>
      <c r="K237" s="33" t="n">
        <f>1087</f>
        <v>1087.0</v>
      </c>
      <c r="L237" s="34" t="s">
        <v>48</v>
      </c>
      <c r="M237" s="33" t="n">
        <f>1125</f>
        <v>1125.0</v>
      </c>
      <c r="N237" s="34" t="s">
        <v>150</v>
      </c>
      <c r="O237" s="33" t="n">
        <f>1063</f>
        <v>1063.0</v>
      </c>
      <c r="P237" s="34" t="s">
        <v>50</v>
      </c>
      <c r="Q237" s="33" t="n">
        <f>1101</f>
        <v>1101.0</v>
      </c>
      <c r="R237" s="34" t="s">
        <v>51</v>
      </c>
      <c r="S237" s="35" t="n">
        <f>1094.67</f>
        <v>1094.67</v>
      </c>
      <c r="T237" s="32" t="n">
        <f>33613</f>
        <v>33613.0</v>
      </c>
      <c r="U237" s="32" t="str">
        <f>"－"</f>
        <v>－</v>
      </c>
      <c r="V237" s="32" t="n">
        <f>36745120</f>
        <v>3.674512E7</v>
      </c>
      <c r="W237" s="32" t="str">
        <f>"－"</f>
        <v>－</v>
      </c>
      <c r="X237" s="36" t="n">
        <f>21</f>
        <v>21.0</v>
      </c>
    </row>
    <row r="238">
      <c r="A238" s="27" t="s">
        <v>42</v>
      </c>
      <c r="B238" s="27" t="s">
        <v>762</v>
      </c>
      <c r="C238" s="27" t="s">
        <v>763</v>
      </c>
      <c r="D238" s="27" t="s">
        <v>764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1.0</v>
      </c>
      <c r="K238" s="33" t="n">
        <f>12970</f>
        <v>12970.0</v>
      </c>
      <c r="L238" s="34" t="s">
        <v>48</v>
      </c>
      <c r="M238" s="33" t="n">
        <f>13480</f>
        <v>13480.0</v>
      </c>
      <c r="N238" s="34" t="s">
        <v>101</v>
      </c>
      <c r="O238" s="33" t="n">
        <f>12700</f>
        <v>12700.0</v>
      </c>
      <c r="P238" s="34" t="s">
        <v>48</v>
      </c>
      <c r="Q238" s="33" t="n">
        <f>13120</f>
        <v>13120.0</v>
      </c>
      <c r="R238" s="34" t="s">
        <v>51</v>
      </c>
      <c r="S238" s="35" t="n">
        <f>13089.05</f>
        <v>13089.05</v>
      </c>
      <c r="T238" s="32" t="n">
        <f>1746</f>
        <v>1746.0</v>
      </c>
      <c r="U238" s="32" t="n">
        <f>12</f>
        <v>12.0</v>
      </c>
      <c r="V238" s="32" t="n">
        <f>22828930</f>
        <v>2.282893E7</v>
      </c>
      <c r="W238" s="32" t="n">
        <f>158470</f>
        <v>158470.0</v>
      </c>
      <c r="X238" s="36" t="n">
        <f>21</f>
        <v>21.0</v>
      </c>
    </row>
    <row r="239">
      <c r="A239" s="27" t="s">
        <v>42</v>
      </c>
      <c r="B239" s="27" t="s">
        <v>765</v>
      </c>
      <c r="C239" s="27" t="s">
        <v>766</v>
      </c>
      <c r="D239" s="27" t="s">
        <v>767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2316</f>
        <v>2316.0</v>
      </c>
      <c r="L239" s="34" t="s">
        <v>48</v>
      </c>
      <c r="M239" s="33" t="n">
        <f>2330</f>
        <v>2330.0</v>
      </c>
      <c r="N239" s="34" t="s">
        <v>72</v>
      </c>
      <c r="O239" s="33" t="n">
        <f>2217</f>
        <v>2217.0</v>
      </c>
      <c r="P239" s="34" t="s">
        <v>320</v>
      </c>
      <c r="Q239" s="33" t="n">
        <f>2298</f>
        <v>2298.0</v>
      </c>
      <c r="R239" s="34" t="s">
        <v>51</v>
      </c>
      <c r="S239" s="35" t="n">
        <f>2280.81</f>
        <v>2280.81</v>
      </c>
      <c r="T239" s="32" t="n">
        <f>11461</f>
        <v>11461.0</v>
      </c>
      <c r="U239" s="32" t="n">
        <f>8</f>
        <v>8.0</v>
      </c>
      <c r="V239" s="32" t="n">
        <f>26071998</f>
        <v>2.6071998E7</v>
      </c>
      <c r="W239" s="32" t="n">
        <f>18207</f>
        <v>18207.0</v>
      </c>
      <c r="X239" s="36" t="n">
        <f>21</f>
        <v>21.0</v>
      </c>
    </row>
    <row r="240">
      <c r="A240" s="27" t="s">
        <v>42</v>
      </c>
      <c r="B240" s="27" t="s">
        <v>768</v>
      </c>
      <c r="C240" s="27" t="s">
        <v>769</v>
      </c>
      <c r="D240" s="27" t="s">
        <v>770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10.0</v>
      </c>
      <c r="K240" s="33" t="n">
        <f>1469</f>
        <v>1469.0</v>
      </c>
      <c r="L240" s="34" t="s">
        <v>97</v>
      </c>
      <c r="M240" s="33" t="n">
        <f>1715</f>
        <v>1715.0</v>
      </c>
      <c r="N240" s="34" t="s">
        <v>49</v>
      </c>
      <c r="O240" s="33" t="n">
        <f>1469</f>
        <v>1469.0</v>
      </c>
      <c r="P240" s="34" t="s">
        <v>97</v>
      </c>
      <c r="Q240" s="33" t="n">
        <f>1610</f>
        <v>1610.0</v>
      </c>
      <c r="R240" s="34" t="s">
        <v>51</v>
      </c>
      <c r="S240" s="35" t="n">
        <f>1588</f>
        <v>1588.0</v>
      </c>
      <c r="T240" s="32" t="n">
        <f>2710</f>
        <v>2710.0</v>
      </c>
      <c r="U240" s="32" t="str">
        <f>"－"</f>
        <v>－</v>
      </c>
      <c r="V240" s="32" t="n">
        <f>4369300</f>
        <v>4369300.0</v>
      </c>
      <c r="W240" s="32" t="str">
        <f>"－"</f>
        <v>－</v>
      </c>
      <c r="X240" s="36" t="n">
        <f>20</f>
        <v>20.0</v>
      </c>
    </row>
    <row r="241">
      <c r="A241" s="27" t="s">
        <v>42</v>
      </c>
      <c r="B241" s="27" t="s">
        <v>771</v>
      </c>
      <c r="C241" s="27" t="s">
        <v>772</v>
      </c>
      <c r="D241" s="27" t="s">
        <v>773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10.0</v>
      </c>
      <c r="K241" s="33" t="n">
        <f>1024</f>
        <v>1024.0</v>
      </c>
      <c r="L241" s="34" t="s">
        <v>48</v>
      </c>
      <c r="M241" s="33" t="n">
        <f>1024</f>
        <v>1024.0</v>
      </c>
      <c r="N241" s="34" t="s">
        <v>48</v>
      </c>
      <c r="O241" s="33" t="n">
        <f>1012</f>
        <v>1012.0</v>
      </c>
      <c r="P241" s="34" t="s">
        <v>150</v>
      </c>
      <c r="Q241" s="33" t="n">
        <f>1018</f>
        <v>1018.0</v>
      </c>
      <c r="R241" s="34" t="s">
        <v>51</v>
      </c>
      <c r="S241" s="35" t="n">
        <f>1016.7</f>
        <v>1016.7</v>
      </c>
      <c r="T241" s="32" t="n">
        <f>1558520</f>
        <v>1558520.0</v>
      </c>
      <c r="U241" s="32" t="n">
        <f>1459740</f>
        <v>1459740.0</v>
      </c>
      <c r="V241" s="32" t="n">
        <f>1583934760</f>
        <v>1.58393476E9</v>
      </c>
      <c r="W241" s="32" t="n">
        <f>1483505460</f>
        <v>1.48350546E9</v>
      </c>
      <c r="X241" s="36" t="n">
        <f>20</f>
        <v>20.0</v>
      </c>
    </row>
    <row r="242">
      <c r="A242" s="27" t="s">
        <v>42</v>
      </c>
      <c r="B242" s="27" t="s">
        <v>774</v>
      </c>
      <c r="C242" s="27" t="s">
        <v>775</v>
      </c>
      <c r="D242" s="27" t="s">
        <v>776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2207</f>
        <v>2207.0</v>
      </c>
      <c r="L242" s="34" t="s">
        <v>48</v>
      </c>
      <c r="M242" s="33" t="n">
        <f>2229</f>
        <v>2229.0</v>
      </c>
      <c r="N242" s="34" t="s">
        <v>89</v>
      </c>
      <c r="O242" s="33" t="n">
        <f>2120</f>
        <v>2120.0</v>
      </c>
      <c r="P242" s="34" t="s">
        <v>117</v>
      </c>
      <c r="Q242" s="33" t="n">
        <f>2203</f>
        <v>2203.0</v>
      </c>
      <c r="R242" s="34" t="s">
        <v>51</v>
      </c>
      <c r="S242" s="35" t="n">
        <f>2179.57</f>
        <v>2179.57</v>
      </c>
      <c r="T242" s="32" t="n">
        <f>26310</f>
        <v>26310.0</v>
      </c>
      <c r="U242" s="32" t="n">
        <f>10</f>
        <v>10.0</v>
      </c>
      <c r="V242" s="32" t="n">
        <f>57296530</f>
        <v>5.729653E7</v>
      </c>
      <c r="W242" s="32" t="n">
        <f>21790</f>
        <v>21790.0</v>
      </c>
      <c r="X242" s="36" t="n">
        <f>21</f>
        <v>21.0</v>
      </c>
    </row>
    <row r="243">
      <c r="A243" s="27" t="s">
        <v>42</v>
      </c>
      <c r="B243" s="27" t="s">
        <v>777</v>
      </c>
      <c r="C243" s="27" t="s">
        <v>778</v>
      </c>
      <c r="D243" s="27" t="s">
        <v>779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10.0</v>
      </c>
      <c r="K243" s="33" t="n">
        <f>2202</f>
        <v>2202.0</v>
      </c>
      <c r="L243" s="34" t="s">
        <v>48</v>
      </c>
      <c r="M243" s="33" t="n">
        <f>2228</f>
        <v>2228.0</v>
      </c>
      <c r="N243" s="34" t="s">
        <v>89</v>
      </c>
      <c r="O243" s="33" t="n">
        <f>2117</f>
        <v>2117.0</v>
      </c>
      <c r="P243" s="34" t="s">
        <v>117</v>
      </c>
      <c r="Q243" s="33" t="n">
        <f>2194</f>
        <v>2194.0</v>
      </c>
      <c r="R243" s="34" t="s">
        <v>51</v>
      </c>
      <c r="S243" s="35" t="n">
        <f>2178.81</f>
        <v>2178.81</v>
      </c>
      <c r="T243" s="32" t="n">
        <f>831990</f>
        <v>831990.0</v>
      </c>
      <c r="U243" s="32" t="n">
        <f>295000</f>
        <v>295000.0</v>
      </c>
      <c r="V243" s="32" t="n">
        <f>1809719610</f>
        <v>1.80971961E9</v>
      </c>
      <c r="W243" s="32" t="n">
        <f>641398400</f>
        <v>6.413984E8</v>
      </c>
      <c r="X243" s="36" t="n">
        <f>21</f>
        <v>21.0</v>
      </c>
    </row>
    <row r="244">
      <c r="A244" s="27" t="s">
        <v>42</v>
      </c>
      <c r="B244" s="27" t="s">
        <v>780</v>
      </c>
      <c r="C244" s="27" t="s">
        <v>781</v>
      </c>
      <c r="D244" s="27" t="s">
        <v>782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10.0</v>
      </c>
      <c r="K244" s="33" t="n">
        <f>1947</f>
        <v>1947.0</v>
      </c>
      <c r="L244" s="34" t="s">
        <v>101</v>
      </c>
      <c r="M244" s="33" t="n">
        <f>1955</f>
        <v>1955.0</v>
      </c>
      <c r="N244" s="34" t="s">
        <v>93</v>
      </c>
      <c r="O244" s="33" t="n">
        <f>1889</f>
        <v>1889.0</v>
      </c>
      <c r="P244" s="34" t="s">
        <v>50</v>
      </c>
      <c r="Q244" s="33" t="n">
        <f>1951</f>
        <v>1951.0</v>
      </c>
      <c r="R244" s="34" t="s">
        <v>51</v>
      </c>
      <c r="S244" s="35" t="n">
        <f>1932.17</f>
        <v>1932.17</v>
      </c>
      <c r="T244" s="32" t="n">
        <f>320</f>
        <v>320.0</v>
      </c>
      <c r="U244" s="32" t="str">
        <f>"－"</f>
        <v>－</v>
      </c>
      <c r="V244" s="32" t="n">
        <f>620130</f>
        <v>620130.0</v>
      </c>
      <c r="W244" s="32" t="str">
        <f>"－"</f>
        <v>－</v>
      </c>
      <c r="X244" s="36" t="n">
        <f>12</f>
        <v>12.0</v>
      </c>
    </row>
    <row r="245">
      <c r="A245" s="27" t="s">
        <v>42</v>
      </c>
      <c r="B245" s="27" t="s">
        <v>783</v>
      </c>
      <c r="C245" s="27" t="s">
        <v>784</v>
      </c>
      <c r="D245" s="27" t="s">
        <v>785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1.0</v>
      </c>
      <c r="K245" s="33" t="n">
        <f>13830</f>
        <v>13830.0</v>
      </c>
      <c r="L245" s="34" t="s">
        <v>48</v>
      </c>
      <c r="M245" s="33" t="n">
        <f>14310</f>
        <v>14310.0</v>
      </c>
      <c r="N245" s="34" t="s">
        <v>51</v>
      </c>
      <c r="O245" s="33" t="n">
        <f>13730</f>
        <v>13730.0</v>
      </c>
      <c r="P245" s="34" t="s">
        <v>97</v>
      </c>
      <c r="Q245" s="33" t="n">
        <f>14300</f>
        <v>14300.0</v>
      </c>
      <c r="R245" s="34" t="s">
        <v>51</v>
      </c>
      <c r="S245" s="35" t="n">
        <f>14005.71</f>
        <v>14005.71</v>
      </c>
      <c r="T245" s="32" t="n">
        <f>375012</f>
        <v>375012.0</v>
      </c>
      <c r="U245" s="32" t="str">
        <f>"－"</f>
        <v>－</v>
      </c>
      <c r="V245" s="32" t="n">
        <f>5254939220</f>
        <v>5.25493922E9</v>
      </c>
      <c r="W245" s="32" t="str">
        <f>"－"</f>
        <v>－</v>
      </c>
      <c r="X245" s="36" t="n">
        <f>21</f>
        <v>21.0</v>
      </c>
    </row>
    <row r="246">
      <c r="A246" s="27" t="s">
        <v>42</v>
      </c>
      <c r="B246" s="27" t="s">
        <v>786</v>
      </c>
      <c r="C246" s="27" t="s">
        <v>787</v>
      </c>
      <c r="D246" s="27" t="s">
        <v>788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1.0</v>
      </c>
      <c r="K246" s="33" t="n">
        <f>13080</f>
        <v>13080.0</v>
      </c>
      <c r="L246" s="34" t="s">
        <v>48</v>
      </c>
      <c r="M246" s="33" t="n">
        <f>13400</f>
        <v>13400.0</v>
      </c>
      <c r="N246" s="34" t="s">
        <v>51</v>
      </c>
      <c r="O246" s="33" t="n">
        <f>12930</f>
        <v>12930.0</v>
      </c>
      <c r="P246" s="34" t="s">
        <v>50</v>
      </c>
      <c r="Q246" s="33" t="n">
        <f>13390</f>
        <v>13390.0</v>
      </c>
      <c r="R246" s="34" t="s">
        <v>51</v>
      </c>
      <c r="S246" s="35" t="n">
        <f>13155.71</f>
        <v>13155.71</v>
      </c>
      <c r="T246" s="32" t="n">
        <f>198135</f>
        <v>198135.0</v>
      </c>
      <c r="U246" s="32" t="n">
        <f>75002</f>
        <v>75002.0</v>
      </c>
      <c r="V246" s="32" t="n">
        <f>2625701230</f>
        <v>2.62570123E9</v>
      </c>
      <c r="W246" s="32" t="n">
        <f>1003162520</f>
        <v>1.00316252E9</v>
      </c>
      <c r="X246" s="36" t="n">
        <f>21</f>
        <v>21.0</v>
      </c>
    </row>
    <row r="247">
      <c r="A247" s="27" t="s">
        <v>42</v>
      </c>
      <c r="B247" s="27" t="s">
        <v>789</v>
      </c>
      <c r="C247" s="27" t="s">
        <v>790</v>
      </c>
      <c r="D247" s="27" t="s">
        <v>791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1.0</v>
      </c>
      <c r="K247" s="33" t="n">
        <f>25400</f>
        <v>25400.0</v>
      </c>
      <c r="L247" s="34" t="s">
        <v>48</v>
      </c>
      <c r="M247" s="33" t="n">
        <f>26200</f>
        <v>26200.0</v>
      </c>
      <c r="N247" s="34" t="s">
        <v>375</v>
      </c>
      <c r="O247" s="33" t="n">
        <f>25000</f>
        <v>25000.0</v>
      </c>
      <c r="P247" s="34" t="s">
        <v>50</v>
      </c>
      <c r="Q247" s="33" t="n">
        <f>26000</f>
        <v>26000.0</v>
      </c>
      <c r="R247" s="34" t="s">
        <v>51</v>
      </c>
      <c r="S247" s="35" t="n">
        <f>25580</f>
        <v>25580.0</v>
      </c>
      <c r="T247" s="32" t="n">
        <f>122</f>
        <v>122.0</v>
      </c>
      <c r="U247" s="32" t="n">
        <f>1</f>
        <v>1.0</v>
      </c>
      <c r="V247" s="32" t="n">
        <f>3118020</f>
        <v>3118020.0</v>
      </c>
      <c r="W247" s="32" t="n">
        <f>25540</f>
        <v>25540.0</v>
      </c>
      <c r="X247" s="36" t="n">
        <f>12</f>
        <v>12.0</v>
      </c>
    </row>
    <row r="248">
      <c r="A248" s="27" t="s">
        <v>42</v>
      </c>
      <c r="B248" s="27" t="s">
        <v>792</v>
      </c>
      <c r="C248" s="27" t="s">
        <v>793</v>
      </c>
      <c r="D248" s="27" t="s">
        <v>794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2726</f>
        <v>2726.0</v>
      </c>
      <c r="L248" s="34" t="s">
        <v>48</v>
      </c>
      <c r="M248" s="33" t="n">
        <f>2732</f>
        <v>2732.0</v>
      </c>
      <c r="N248" s="34" t="s">
        <v>187</v>
      </c>
      <c r="O248" s="33" t="n">
        <f>2721</f>
        <v>2721.0</v>
      </c>
      <c r="P248" s="34" t="s">
        <v>117</v>
      </c>
      <c r="Q248" s="33" t="n">
        <f>2725</f>
        <v>2725.0</v>
      </c>
      <c r="R248" s="34" t="s">
        <v>51</v>
      </c>
      <c r="S248" s="35" t="n">
        <f>2726.48</f>
        <v>2726.48</v>
      </c>
      <c r="T248" s="32" t="n">
        <f>1163251</f>
        <v>1163251.0</v>
      </c>
      <c r="U248" s="32" t="n">
        <f>807925</f>
        <v>807925.0</v>
      </c>
      <c r="V248" s="32" t="n">
        <f>3173593175</f>
        <v>3.173593175E9</v>
      </c>
      <c r="W248" s="32" t="n">
        <f>2205014249</f>
        <v>2.205014249E9</v>
      </c>
      <c r="X248" s="36" t="n">
        <f>21</f>
        <v>21.0</v>
      </c>
    </row>
    <row r="249">
      <c r="A249" s="27" t="s">
        <v>42</v>
      </c>
      <c r="B249" s="27" t="s">
        <v>795</v>
      </c>
      <c r="C249" s="27" t="s">
        <v>796</v>
      </c>
      <c r="D249" s="27" t="s">
        <v>797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10.0</v>
      </c>
      <c r="K249" s="33" t="n">
        <f>3025</f>
        <v>3025.0</v>
      </c>
      <c r="L249" s="34" t="s">
        <v>48</v>
      </c>
      <c r="M249" s="33" t="n">
        <f>3070</f>
        <v>3070.0</v>
      </c>
      <c r="N249" s="34" t="s">
        <v>134</v>
      </c>
      <c r="O249" s="33" t="n">
        <f>3000</f>
        <v>3000.0</v>
      </c>
      <c r="P249" s="34" t="s">
        <v>50</v>
      </c>
      <c r="Q249" s="33" t="n">
        <f>3070</f>
        <v>3070.0</v>
      </c>
      <c r="R249" s="34" t="s">
        <v>51</v>
      </c>
      <c r="S249" s="35" t="n">
        <f>3039.05</f>
        <v>3039.05</v>
      </c>
      <c r="T249" s="32" t="n">
        <f>6842710</f>
        <v>6842710.0</v>
      </c>
      <c r="U249" s="32" t="n">
        <f>3417900</f>
        <v>3417900.0</v>
      </c>
      <c r="V249" s="32" t="n">
        <f>20781389414</f>
        <v>2.0781389414E10</v>
      </c>
      <c r="W249" s="32" t="n">
        <f>10380380964</f>
        <v>1.0380380964E10</v>
      </c>
      <c r="X249" s="36" t="n">
        <f>21</f>
        <v>21.0</v>
      </c>
    </row>
    <row r="250">
      <c r="A250" s="27" t="s">
        <v>42</v>
      </c>
      <c r="B250" s="27" t="s">
        <v>798</v>
      </c>
      <c r="C250" s="27" t="s">
        <v>799</v>
      </c>
      <c r="D250" s="27" t="s">
        <v>800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2871</f>
        <v>2871.0</v>
      </c>
      <c r="L250" s="34" t="s">
        <v>48</v>
      </c>
      <c r="M250" s="33" t="n">
        <f>2950</f>
        <v>2950.0</v>
      </c>
      <c r="N250" s="34" t="s">
        <v>51</v>
      </c>
      <c r="O250" s="33" t="n">
        <f>2846</f>
        <v>2846.0</v>
      </c>
      <c r="P250" s="34" t="s">
        <v>172</v>
      </c>
      <c r="Q250" s="33" t="n">
        <f>2950</f>
        <v>2950.0</v>
      </c>
      <c r="R250" s="34" t="s">
        <v>51</v>
      </c>
      <c r="S250" s="35" t="n">
        <f>2890.14</f>
        <v>2890.14</v>
      </c>
      <c r="T250" s="32" t="n">
        <f>4159161</f>
        <v>4159161.0</v>
      </c>
      <c r="U250" s="32" t="n">
        <f>934431</f>
        <v>934431.0</v>
      </c>
      <c r="V250" s="32" t="n">
        <f>11989617343</f>
        <v>1.1989617343E10</v>
      </c>
      <c r="W250" s="32" t="n">
        <f>2699787379</f>
        <v>2.699787379E9</v>
      </c>
      <c r="X250" s="36" t="n">
        <f>21</f>
        <v>21.0</v>
      </c>
    </row>
    <row r="251">
      <c r="A251" s="27" t="s">
        <v>42</v>
      </c>
      <c r="B251" s="27" t="s">
        <v>801</v>
      </c>
      <c r="C251" s="27" t="s">
        <v>802</v>
      </c>
      <c r="D251" s="27" t="s">
        <v>803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1.0</v>
      </c>
      <c r="K251" s="33" t="n">
        <f>1850</f>
        <v>1850.0</v>
      </c>
      <c r="L251" s="34" t="s">
        <v>48</v>
      </c>
      <c r="M251" s="33" t="n">
        <f>1896</f>
        <v>1896.0</v>
      </c>
      <c r="N251" s="34" t="s">
        <v>51</v>
      </c>
      <c r="O251" s="33" t="n">
        <f>1838</f>
        <v>1838.0</v>
      </c>
      <c r="P251" s="34" t="s">
        <v>89</v>
      </c>
      <c r="Q251" s="33" t="n">
        <f>1893</f>
        <v>1893.0</v>
      </c>
      <c r="R251" s="34" t="s">
        <v>51</v>
      </c>
      <c r="S251" s="35" t="n">
        <f>1863.14</f>
        <v>1863.14</v>
      </c>
      <c r="T251" s="32" t="n">
        <f>546226</f>
        <v>546226.0</v>
      </c>
      <c r="U251" s="32" t="n">
        <f>190005</f>
        <v>190005.0</v>
      </c>
      <c r="V251" s="32" t="n">
        <f>1015231119</f>
        <v>1.015231119E9</v>
      </c>
      <c r="W251" s="32" t="n">
        <f>350789193</f>
        <v>3.50789193E8</v>
      </c>
      <c r="X251" s="36" t="n">
        <f>21</f>
        <v>21.0</v>
      </c>
    </row>
    <row r="252">
      <c r="A252" s="27" t="s">
        <v>42</v>
      </c>
      <c r="B252" s="27" t="s">
        <v>804</v>
      </c>
      <c r="C252" s="27" t="s">
        <v>805</v>
      </c>
      <c r="D252" s="27" t="s">
        <v>806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1.0</v>
      </c>
      <c r="K252" s="33" t="n">
        <f>1225</f>
        <v>1225.0</v>
      </c>
      <c r="L252" s="34" t="s">
        <v>48</v>
      </c>
      <c r="M252" s="33" t="n">
        <f>1282</f>
        <v>1282.0</v>
      </c>
      <c r="N252" s="34" t="s">
        <v>51</v>
      </c>
      <c r="O252" s="33" t="n">
        <f>1203</f>
        <v>1203.0</v>
      </c>
      <c r="P252" s="34" t="s">
        <v>117</v>
      </c>
      <c r="Q252" s="33" t="n">
        <f>1271</f>
        <v>1271.0</v>
      </c>
      <c r="R252" s="34" t="s">
        <v>51</v>
      </c>
      <c r="S252" s="35" t="n">
        <f>1243.1</f>
        <v>1243.1</v>
      </c>
      <c r="T252" s="32" t="n">
        <f>359048</f>
        <v>359048.0</v>
      </c>
      <c r="U252" s="32" t="n">
        <f>200000</f>
        <v>200000.0</v>
      </c>
      <c r="V252" s="32" t="n">
        <f>445693264</f>
        <v>4.45693264E8</v>
      </c>
      <c r="W252" s="32" t="n">
        <f>247946000</f>
        <v>2.47946E8</v>
      </c>
      <c r="X252" s="36" t="n">
        <f>21</f>
        <v>21.0</v>
      </c>
    </row>
    <row r="253">
      <c r="A253" s="27" t="s">
        <v>42</v>
      </c>
      <c r="B253" s="27" t="s">
        <v>807</v>
      </c>
      <c r="C253" s="27" t="s">
        <v>808</v>
      </c>
      <c r="D253" s="27" t="s">
        <v>809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10.0</v>
      </c>
      <c r="K253" s="33" t="n">
        <f>1218</f>
        <v>1218.0</v>
      </c>
      <c r="L253" s="34" t="s">
        <v>48</v>
      </c>
      <c r="M253" s="33" t="n">
        <f>1253</f>
        <v>1253.0</v>
      </c>
      <c r="N253" s="34" t="s">
        <v>117</v>
      </c>
      <c r="O253" s="33" t="n">
        <f>1171</f>
        <v>1171.0</v>
      </c>
      <c r="P253" s="34" t="s">
        <v>117</v>
      </c>
      <c r="Q253" s="33" t="n">
        <f>1213</f>
        <v>1213.0</v>
      </c>
      <c r="R253" s="34" t="s">
        <v>51</v>
      </c>
      <c r="S253" s="35" t="n">
        <f>1203.3</f>
        <v>1203.3</v>
      </c>
      <c r="T253" s="32" t="n">
        <f>251430</f>
        <v>251430.0</v>
      </c>
      <c r="U253" s="32" t="n">
        <f>8490</f>
        <v>8490.0</v>
      </c>
      <c r="V253" s="32" t="n">
        <f>298658621</f>
        <v>2.98658621E8</v>
      </c>
      <c r="W253" s="32" t="n">
        <f>9991881</f>
        <v>9991881.0</v>
      </c>
      <c r="X253" s="36" t="n">
        <f>20</f>
        <v>20.0</v>
      </c>
    </row>
    <row r="254">
      <c r="A254" s="27" t="s">
        <v>42</v>
      </c>
      <c r="B254" s="27" t="s">
        <v>810</v>
      </c>
      <c r="C254" s="27" t="s">
        <v>811</v>
      </c>
      <c r="D254" s="27" t="s">
        <v>812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10.0</v>
      </c>
      <c r="K254" s="33" t="n">
        <f>255</f>
        <v>255.0</v>
      </c>
      <c r="L254" s="34" t="s">
        <v>48</v>
      </c>
      <c r="M254" s="33" t="n">
        <f>278</f>
        <v>278.0</v>
      </c>
      <c r="N254" s="34" t="s">
        <v>61</v>
      </c>
      <c r="O254" s="33" t="n">
        <f>239</f>
        <v>239.0</v>
      </c>
      <c r="P254" s="34" t="s">
        <v>68</v>
      </c>
      <c r="Q254" s="33" t="n">
        <f>252</f>
        <v>252.0</v>
      </c>
      <c r="R254" s="34" t="s">
        <v>51</v>
      </c>
      <c r="S254" s="35" t="n">
        <f>254.62</f>
        <v>254.62</v>
      </c>
      <c r="T254" s="32" t="n">
        <f>32440</f>
        <v>32440.0</v>
      </c>
      <c r="U254" s="32" t="str">
        <f>"－"</f>
        <v>－</v>
      </c>
      <c r="V254" s="32" t="n">
        <f>8349540</f>
        <v>8349540.0</v>
      </c>
      <c r="W254" s="32" t="str">
        <f>"－"</f>
        <v>－</v>
      </c>
      <c r="X254" s="36" t="n">
        <f>21</f>
        <v>21.0</v>
      </c>
    </row>
    <row r="255">
      <c r="A255" s="27" t="s">
        <v>42</v>
      </c>
      <c r="B255" s="27" t="s">
        <v>813</v>
      </c>
      <c r="C255" s="27" t="s">
        <v>814</v>
      </c>
      <c r="D255" s="27" t="s">
        <v>815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10.0</v>
      </c>
      <c r="K255" s="33" t="n">
        <f>2833</f>
        <v>2833.0</v>
      </c>
      <c r="L255" s="34" t="s">
        <v>48</v>
      </c>
      <c r="M255" s="33" t="n">
        <f>2963</f>
        <v>2963.0</v>
      </c>
      <c r="N255" s="34" t="s">
        <v>51</v>
      </c>
      <c r="O255" s="33" t="n">
        <f>2809</f>
        <v>2809.0</v>
      </c>
      <c r="P255" s="34" t="s">
        <v>172</v>
      </c>
      <c r="Q255" s="33" t="n">
        <f>2959</f>
        <v>2959.0</v>
      </c>
      <c r="R255" s="34" t="s">
        <v>51</v>
      </c>
      <c r="S255" s="35" t="n">
        <f>2864.86</f>
        <v>2864.86</v>
      </c>
      <c r="T255" s="32" t="n">
        <f>801050</f>
        <v>801050.0</v>
      </c>
      <c r="U255" s="32" t="str">
        <f>"－"</f>
        <v>－</v>
      </c>
      <c r="V255" s="32" t="n">
        <f>2295917130</f>
        <v>2.29591713E9</v>
      </c>
      <c r="W255" s="32" t="str">
        <f>"－"</f>
        <v>－</v>
      </c>
      <c r="X255" s="36" t="n">
        <f>21</f>
        <v>21.0</v>
      </c>
    </row>
    <row r="256">
      <c r="A256" s="27" t="s">
        <v>42</v>
      </c>
      <c r="B256" s="27" t="s">
        <v>816</v>
      </c>
      <c r="C256" s="27" t="s">
        <v>817</v>
      </c>
      <c r="D256" s="27" t="s">
        <v>818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10.0</v>
      </c>
      <c r="K256" s="33" t="n">
        <f>2697</f>
        <v>2697.0</v>
      </c>
      <c r="L256" s="34" t="s">
        <v>48</v>
      </c>
      <c r="M256" s="33" t="n">
        <f>2815</f>
        <v>2815.0</v>
      </c>
      <c r="N256" s="34" t="s">
        <v>51</v>
      </c>
      <c r="O256" s="33" t="n">
        <f>2662</f>
        <v>2662.0</v>
      </c>
      <c r="P256" s="34" t="s">
        <v>172</v>
      </c>
      <c r="Q256" s="33" t="n">
        <f>2815</f>
        <v>2815.0</v>
      </c>
      <c r="R256" s="34" t="s">
        <v>51</v>
      </c>
      <c r="S256" s="35" t="n">
        <f>2722.95</f>
        <v>2722.95</v>
      </c>
      <c r="T256" s="32" t="n">
        <f>6058320</f>
        <v>6058320.0</v>
      </c>
      <c r="U256" s="32" t="n">
        <f>2469100</f>
        <v>2469100.0</v>
      </c>
      <c r="V256" s="32" t="n">
        <f>16511102272</f>
        <v>1.6511102272E10</v>
      </c>
      <c r="W256" s="32" t="n">
        <f>6716131292</f>
        <v>6.716131292E9</v>
      </c>
      <c r="X256" s="36" t="n">
        <f>21</f>
        <v>21.0</v>
      </c>
    </row>
    <row r="257">
      <c r="A257" s="27" t="s">
        <v>42</v>
      </c>
      <c r="B257" s="27" t="s">
        <v>819</v>
      </c>
      <c r="C257" s="27" t="s">
        <v>820</v>
      </c>
      <c r="D257" s="27" t="s">
        <v>821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1.0</v>
      </c>
      <c r="K257" s="33" t="n">
        <f>2586</f>
        <v>2586.0</v>
      </c>
      <c r="L257" s="34" t="s">
        <v>48</v>
      </c>
      <c r="M257" s="33" t="n">
        <f>2608</f>
        <v>2608.0</v>
      </c>
      <c r="N257" s="34" t="s">
        <v>61</v>
      </c>
      <c r="O257" s="33" t="n">
        <f>2572</f>
        <v>2572.0</v>
      </c>
      <c r="P257" s="34" t="s">
        <v>187</v>
      </c>
      <c r="Q257" s="33" t="n">
        <f>2590</f>
        <v>2590.0</v>
      </c>
      <c r="R257" s="34" t="s">
        <v>51</v>
      </c>
      <c r="S257" s="35" t="n">
        <f>2589.14</f>
        <v>2589.14</v>
      </c>
      <c r="T257" s="32" t="n">
        <f>390079</f>
        <v>390079.0</v>
      </c>
      <c r="U257" s="32" t="n">
        <f>200000</f>
        <v>200000.0</v>
      </c>
      <c r="V257" s="32" t="n">
        <f>1008523427</f>
        <v>1.008523427E9</v>
      </c>
      <c r="W257" s="32" t="n">
        <f>515800000</f>
        <v>5.158E8</v>
      </c>
      <c r="X257" s="36" t="n">
        <f>21</f>
        <v>21.0</v>
      </c>
    </row>
    <row r="258">
      <c r="A258" s="27" t="s">
        <v>42</v>
      </c>
      <c r="B258" s="27" t="s">
        <v>822</v>
      </c>
      <c r="C258" s="27" t="s">
        <v>823</v>
      </c>
      <c r="D258" s="27" t="s">
        <v>824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1.0</v>
      </c>
      <c r="K258" s="33" t="n">
        <f>2290</f>
        <v>2290.0</v>
      </c>
      <c r="L258" s="34" t="s">
        <v>48</v>
      </c>
      <c r="M258" s="33" t="n">
        <f>2320</f>
        <v>2320.0</v>
      </c>
      <c r="N258" s="34" t="s">
        <v>97</v>
      </c>
      <c r="O258" s="33" t="n">
        <f>2239</f>
        <v>2239.0</v>
      </c>
      <c r="P258" s="34" t="s">
        <v>61</v>
      </c>
      <c r="Q258" s="33" t="n">
        <f>2293</f>
        <v>2293.0</v>
      </c>
      <c r="R258" s="34" t="s">
        <v>51</v>
      </c>
      <c r="S258" s="35" t="n">
        <f>2286.24</f>
        <v>2286.24</v>
      </c>
      <c r="T258" s="32" t="n">
        <f>235746</f>
        <v>235746.0</v>
      </c>
      <c r="U258" s="32" t="str">
        <f>"－"</f>
        <v>－</v>
      </c>
      <c r="V258" s="32" t="n">
        <f>539084507</f>
        <v>5.39084507E8</v>
      </c>
      <c r="W258" s="32" t="str">
        <f>"－"</f>
        <v>－</v>
      </c>
      <c r="X258" s="36" t="n">
        <f>21</f>
        <v>21.0</v>
      </c>
    </row>
    <row r="259">
      <c r="A259" s="27" t="s">
        <v>42</v>
      </c>
      <c r="B259" s="27" t="s">
        <v>825</v>
      </c>
      <c r="C259" s="27" t="s">
        <v>826</v>
      </c>
      <c r="D259" s="27" t="s">
        <v>827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1.0</v>
      </c>
      <c r="K259" s="33" t="n">
        <f>2525</f>
        <v>2525.0</v>
      </c>
      <c r="L259" s="34" t="s">
        <v>48</v>
      </c>
      <c r="M259" s="33" t="n">
        <f>2575</f>
        <v>2575.0</v>
      </c>
      <c r="N259" s="34" t="s">
        <v>73</v>
      </c>
      <c r="O259" s="33" t="n">
        <f>2512</f>
        <v>2512.0</v>
      </c>
      <c r="P259" s="34" t="s">
        <v>180</v>
      </c>
      <c r="Q259" s="33" t="n">
        <f>2556</f>
        <v>2556.0</v>
      </c>
      <c r="R259" s="34" t="s">
        <v>51</v>
      </c>
      <c r="S259" s="35" t="n">
        <f>2526</f>
        <v>2526.0</v>
      </c>
      <c r="T259" s="32" t="n">
        <f>42450</f>
        <v>42450.0</v>
      </c>
      <c r="U259" s="32" t="n">
        <f>39501</f>
        <v>39501.0</v>
      </c>
      <c r="V259" s="32" t="n">
        <f>107802516</f>
        <v>1.07802516E8</v>
      </c>
      <c r="W259" s="32" t="n">
        <f>100349114</f>
        <v>1.00349114E8</v>
      </c>
      <c r="X259" s="36" t="n">
        <f>21</f>
        <v>21.0</v>
      </c>
    </row>
    <row r="260">
      <c r="A260" s="27" t="s">
        <v>42</v>
      </c>
      <c r="B260" s="27" t="s">
        <v>828</v>
      </c>
      <c r="C260" s="27" t="s">
        <v>829</v>
      </c>
      <c r="D260" s="27" t="s">
        <v>830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2545</f>
        <v>2545.0</v>
      </c>
      <c r="L260" s="34" t="s">
        <v>48</v>
      </c>
      <c r="M260" s="33" t="n">
        <f>2561</f>
        <v>2561.0</v>
      </c>
      <c r="N260" s="34" t="s">
        <v>187</v>
      </c>
      <c r="O260" s="33" t="n">
        <f>2524</f>
        <v>2524.0</v>
      </c>
      <c r="P260" s="34" t="s">
        <v>50</v>
      </c>
      <c r="Q260" s="33" t="n">
        <f>2540</f>
        <v>2540.0</v>
      </c>
      <c r="R260" s="34" t="s">
        <v>51</v>
      </c>
      <c r="S260" s="35" t="n">
        <f>2540.14</f>
        <v>2540.14</v>
      </c>
      <c r="T260" s="32" t="n">
        <f>583</f>
        <v>583.0</v>
      </c>
      <c r="U260" s="32" t="str">
        <f>"－"</f>
        <v>－</v>
      </c>
      <c r="V260" s="32" t="n">
        <f>1479653</f>
        <v>1479653.0</v>
      </c>
      <c r="W260" s="32" t="str">
        <f>"－"</f>
        <v>－</v>
      </c>
      <c r="X260" s="36" t="n">
        <f>21</f>
        <v>21.0</v>
      </c>
    </row>
    <row r="261">
      <c r="A261" s="27" t="s">
        <v>42</v>
      </c>
      <c r="B261" s="27" t="s">
        <v>831</v>
      </c>
      <c r="C261" s="27" t="s">
        <v>832</v>
      </c>
      <c r="D261" s="27" t="s">
        <v>833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2757</f>
        <v>2757.0</v>
      </c>
      <c r="L261" s="34" t="s">
        <v>48</v>
      </c>
      <c r="M261" s="33" t="n">
        <f>2829</f>
        <v>2829.0</v>
      </c>
      <c r="N261" s="34" t="s">
        <v>49</v>
      </c>
      <c r="O261" s="33" t="n">
        <f>2699</f>
        <v>2699.0</v>
      </c>
      <c r="P261" s="34" t="s">
        <v>50</v>
      </c>
      <c r="Q261" s="33" t="n">
        <f>2819</f>
        <v>2819.0</v>
      </c>
      <c r="R261" s="34" t="s">
        <v>51</v>
      </c>
      <c r="S261" s="35" t="n">
        <f>2772.62</f>
        <v>2772.62</v>
      </c>
      <c r="T261" s="32" t="n">
        <f>57942</f>
        <v>57942.0</v>
      </c>
      <c r="U261" s="32" t="n">
        <f>30000</f>
        <v>30000.0</v>
      </c>
      <c r="V261" s="32" t="n">
        <f>160945551</f>
        <v>1.60945551E8</v>
      </c>
      <c r="W261" s="32" t="n">
        <f>83574000</f>
        <v>8.3574E7</v>
      </c>
      <c r="X261" s="36" t="n">
        <f>21</f>
        <v>21.0</v>
      </c>
    </row>
    <row r="262">
      <c r="A262" s="27" t="s">
        <v>42</v>
      </c>
      <c r="B262" s="27" t="s">
        <v>834</v>
      </c>
      <c r="C262" s="27" t="s">
        <v>835</v>
      </c>
      <c r="D262" s="27" t="s">
        <v>836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1922</f>
        <v>1922.0</v>
      </c>
      <c r="L262" s="34" t="s">
        <v>48</v>
      </c>
      <c r="M262" s="33" t="n">
        <f>1972</f>
        <v>1972.0</v>
      </c>
      <c r="N262" s="34" t="s">
        <v>49</v>
      </c>
      <c r="O262" s="33" t="n">
        <f>1880</f>
        <v>1880.0</v>
      </c>
      <c r="P262" s="34" t="s">
        <v>50</v>
      </c>
      <c r="Q262" s="33" t="n">
        <f>1961</f>
        <v>1961.0</v>
      </c>
      <c r="R262" s="34" t="s">
        <v>51</v>
      </c>
      <c r="S262" s="35" t="n">
        <f>1933.57</f>
        <v>1933.57</v>
      </c>
      <c r="T262" s="32" t="n">
        <f>270304</f>
        <v>270304.0</v>
      </c>
      <c r="U262" s="32" t="n">
        <f>80000</f>
        <v>80000.0</v>
      </c>
      <c r="V262" s="32" t="n">
        <f>521803620</f>
        <v>5.2180362E8</v>
      </c>
      <c r="W262" s="32" t="n">
        <f>154128000</f>
        <v>1.54128E8</v>
      </c>
      <c r="X262" s="36" t="n">
        <f>21</f>
        <v>21.0</v>
      </c>
    </row>
    <row r="263">
      <c r="A263" s="27" t="s">
        <v>42</v>
      </c>
      <c r="B263" s="27" t="s">
        <v>837</v>
      </c>
      <c r="C263" s="27" t="s">
        <v>838</v>
      </c>
      <c r="D263" s="27" t="s">
        <v>839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1986</f>
        <v>1986.0</v>
      </c>
      <c r="L263" s="34" t="s">
        <v>48</v>
      </c>
      <c r="M263" s="33" t="n">
        <f>2067</f>
        <v>2067.0</v>
      </c>
      <c r="N263" s="34" t="s">
        <v>51</v>
      </c>
      <c r="O263" s="33" t="n">
        <f>1956</f>
        <v>1956.0</v>
      </c>
      <c r="P263" s="34" t="s">
        <v>375</v>
      </c>
      <c r="Q263" s="33" t="n">
        <f>2064</f>
        <v>2064.0</v>
      </c>
      <c r="R263" s="34" t="s">
        <v>51</v>
      </c>
      <c r="S263" s="35" t="n">
        <f>2001.9</f>
        <v>2001.9</v>
      </c>
      <c r="T263" s="32" t="n">
        <f>139684</f>
        <v>139684.0</v>
      </c>
      <c r="U263" s="32" t="n">
        <f>6</f>
        <v>6.0</v>
      </c>
      <c r="V263" s="32" t="n">
        <f>280030898</f>
        <v>2.80030898E8</v>
      </c>
      <c r="W263" s="32" t="n">
        <f>12040</f>
        <v>12040.0</v>
      </c>
      <c r="X263" s="36" t="n">
        <f>21</f>
        <v>21.0</v>
      </c>
    </row>
    <row r="264">
      <c r="A264" s="27" t="s">
        <v>42</v>
      </c>
      <c r="B264" s="27" t="s">
        <v>840</v>
      </c>
      <c r="C264" s="27" t="s">
        <v>841</v>
      </c>
      <c r="D264" s="27" t="s">
        <v>842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1.0</v>
      </c>
      <c r="K264" s="33" t="n">
        <f>2152</f>
        <v>2152.0</v>
      </c>
      <c r="L264" s="34" t="s">
        <v>48</v>
      </c>
      <c r="M264" s="33" t="n">
        <f>2267</f>
        <v>2267.0</v>
      </c>
      <c r="N264" s="34" t="s">
        <v>51</v>
      </c>
      <c r="O264" s="33" t="n">
        <f>2096</f>
        <v>2096.0</v>
      </c>
      <c r="P264" s="34" t="s">
        <v>375</v>
      </c>
      <c r="Q264" s="33" t="n">
        <f>2267</f>
        <v>2267.0</v>
      </c>
      <c r="R264" s="34" t="s">
        <v>51</v>
      </c>
      <c r="S264" s="35" t="n">
        <f>2183.33</f>
        <v>2183.33</v>
      </c>
      <c r="T264" s="32" t="n">
        <f>144939</f>
        <v>144939.0</v>
      </c>
      <c r="U264" s="32" t="str">
        <f>"－"</f>
        <v>－</v>
      </c>
      <c r="V264" s="32" t="n">
        <f>317422339</f>
        <v>3.17422339E8</v>
      </c>
      <c r="W264" s="32" t="str">
        <f>"－"</f>
        <v>－</v>
      </c>
      <c r="X264" s="36" t="n">
        <f>21</f>
        <v>21.0</v>
      </c>
    </row>
    <row r="265">
      <c r="A265" s="27" t="s">
        <v>42</v>
      </c>
      <c r="B265" s="27" t="s">
        <v>843</v>
      </c>
      <c r="C265" s="27" t="s">
        <v>844</v>
      </c>
      <c r="D265" s="27" t="s">
        <v>845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1.0</v>
      </c>
      <c r="K265" s="33" t="n">
        <f>2749</f>
        <v>2749.0</v>
      </c>
      <c r="L265" s="34" t="s">
        <v>48</v>
      </c>
      <c r="M265" s="33" t="n">
        <f>2780</f>
        <v>2780.0</v>
      </c>
      <c r="N265" s="34" t="s">
        <v>72</v>
      </c>
      <c r="O265" s="33" t="n">
        <f>2451</f>
        <v>2451.0</v>
      </c>
      <c r="P265" s="34" t="s">
        <v>51</v>
      </c>
      <c r="Q265" s="33" t="n">
        <f>2460</f>
        <v>2460.0</v>
      </c>
      <c r="R265" s="34" t="s">
        <v>51</v>
      </c>
      <c r="S265" s="35" t="n">
        <f>2638.57</f>
        <v>2638.57</v>
      </c>
      <c r="T265" s="32" t="n">
        <f>50289</f>
        <v>50289.0</v>
      </c>
      <c r="U265" s="32" t="str">
        <f>"－"</f>
        <v>－</v>
      </c>
      <c r="V265" s="32" t="n">
        <f>131701189</f>
        <v>1.31701189E8</v>
      </c>
      <c r="W265" s="32" t="str">
        <f>"－"</f>
        <v>－</v>
      </c>
      <c r="X265" s="36" t="n">
        <f>21</f>
        <v>21.0</v>
      </c>
    </row>
    <row r="266">
      <c r="A266" s="27" t="s">
        <v>42</v>
      </c>
      <c r="B266" s="27" t="s">
        <v>846</v>
      </c>
      <c r="C266" s="27" t="s">
        <v>847</v>
      </c>
      <c r="D266" s="27" t="s">
        <v>848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1.0</v>
      </c>
      <c r="K266" s="33" t="n">
        <f>2667</f>
        <v>2667.0</v>
      </c>
      <c r="L266" s="34" t="s">
        <v>48</v>
      </c>
      <c r="M266" s="33" t="n">
        <f>2790</f>
        <v>2790.0</v>
      </c>
      <c r="N266" s="34" t="s">
        <v>61</v>
      </c>
      <c r="O266" s="33" t="n">
        <f>2556</f>
        <v>2556.0</v>
      </c>
      <c r="P266" s="34" t="s">
        <v>51</v>
      </c>
      <c r="Q266" s="33" t="n">
        <f>2599</f>
        <v>2599.0</v>
      </c>
      <c r="R266" s="34" t="s">
        <v>51</v>
      </c>
      <c r="S266" s="35" t="n">
        <f>2681.24</f>
        <v>2681.24</v>
      </c>
      <c r="T266" s="32" t="n">
        <f>21566</f>
        <v>21566.0</v>
      </c>
      <c r="U266" s="32" t="str">
        <f>"－"</f>
        <v>－</v>
      </c>
      <c r="V266" s="32" t="n">
        <f>57473894</f>
        <v>5.7473894E7</v>
      </c>
      <c r="W266" s="32" t="str">
        <f>"－"</f>
        <v>－</v>
      </c>
      <c r="X266" s="36" t="n">
        <f>21</f>
        <v>21.0</v>
      </c>
    </row>
    <row r="267">
      <c r="A267" s="27" t="s">
        <v>42</v>
      </c>
      <c r="B267" s="27" t="s">
        <v>849</v>
      </c>
      <c r="C267" s="27" t="s">
        <v>850</v>
      </c>
      <c r="D267" s="27" t="s">
        <v>851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1.0</v>
      </c>
      <c r="K267" s="33" t="n">
        <f>11520</f>
        <v>11520.0</v>
      </c>
      <c r="L267" s="34" t="s">
        <v>48</v>
      </c>
      <c r="M267" s="33" t="n">
        <f>11760</f>
        <v>11760.0</v>
      </c>
      <c r="N267" s="34" t="s">
        <v>51</v>
      </c>
      <c r="O267" s="33" t="n">
        <f>11330</f>
        <v>11330.0</v>
      </c>
      <c r="P267" s="34" t="s">
        <v>97</v>
      </c>
      <c r="Q267" s="33" t="n">
        <f>11740</f>
        <v>11740.0</v>
      </c>
      <c r="R267" s="34" t="s">
        <v>51</v>
      </c>
      <c r="S267" s="35" t="n">
        <f>11487.62</f>
        <v>11487.62</v>
      </c>
      <c r="T267" s="32" t="n">
        <f>284327</f>
        <v>284327.0</v>
      </c>
      <c r="U267" s="32" t="n">
        <f>122200</f>
        <v>122200.0</v>
      </c>
      <c r="V267" s="32" t="n">
        <f>3260229288</f>
        <v>3.260229288E9</v>
      </c>
      <c r="W267" s="32" t="n">
        <f>1396750628</f>
        <v>1.396750628E9</v>
      </c>
      <c r="X267" s="36" t="n">
        <f>21</f>
        <v>21.0</v>
      </c>
    </row>
    <row r="268">
      <c r="A268" s="27" t="s">
        <v>42</v>
      </c>
      <c r="B268" s="27" t="s">
        <v>852</v>
      </c>
      <c r="C268" s="27" t="s">
        <v>853</v>
      </c>
      <c r="D268" s="27" t="s">
        <v>854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1.0</v>
      </c>
      <c r="K268" s="33" t="n">
        <f>11730</f>
        <v>11730.0</v>
      </c>
      <c r="L268" s="34" t="s">
        <v>48</v>
      </c>
      <c r="M268" s="33" t="n">
        <f>12380</f>
        <v>12380.0</v>
      </c>
      <c r="N268" s="34" t="s">
        <v>51</v>
      </c>
      <c r="O268" s="33" t="n">
        <f>11700</f>
        <v>11700.0</v>
      </c>
      <c r="P268" s="34" t="s">
        <v>48</v>
      </c>
      <c r="Q268" s="33" t="n">
        <f>12370</f>
        <v>12370.0</v>
      </c>
      <c r="R268" s="34" t="s">
        <v>51</v>
      </c>
      <c r="S268" s="35" t="n">
        <f>11966.19</f>
        <v>11966.19</v>
      </c>
      <c r="T268" s="32" t="n">
        <f>501729</f>
        <v>501729.0</v>
      </c>
      <c r="U268" s="32" t="n">
        <f>171000</f>
        <v>171000.0</v>
      </c>
      <c r="V268" s="32" t="n">
        <f>6030786240</f>
        <v>6.03078624E9</v>
      </c>
      <c r="W268" s="32" t="n">
        <f>2068474140</f>
        <v>2.06847414E9</v>
      </c>
      <c r="X268" s="36" t="n">
        <f>21</f>
        <v>21.0</v>
      </c>
    </row>
    <row r="269">
      <c r="A269" s="27" t="s">
        <v>42</v>
      </c>
      <c r="B269" s="27" t="s">
        <v>855</v>
      </c>
      <c r="C269" s="27" t="s">
        <v>856</v>
      </c>
      <c r="D269" s="27" t="s">
        <v>857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11300</f>
        <v>11300.0</v>
      </c>
      <c r="L269" s="34" t="s">
        <v>48</v>
      </c>
      <c r="M269" s="33" t="n">
        <f>11860</f>
        <v>11860.0</v>
      </c>
      <c r="N269" s="34" t="s">
        <v>51</v>
      </c>
      <c r="O269" s="33" t="n">
        <f>11210</f>
        <v>11210.0</v>
      </c>
      <c r="P269" s="34" t="s">
        <v>172</v>
      </c>
      <c r="Q269" s="33" t="n">
        <f>11860</f>
        <v>11860.0</v>
      </c>
      <c r="R269" s="34" t="s">
        <v>51</v>
      </c>
      <c r="S269" s="35" t="n">
        <f>11469.05</f>
        <v>11469.05</v>
      </c>
      <c r="T269" s="32" t="n">
        <f>135679</f>
        <v>135679.0</v>
      </c>
      <c r="U269" s="32" t="n">
        <f>20346</f>
        <v>20346.0</v>
      </c>
      <c r="V269" s="32" t="n">
        <f>1557163766</f>
        <v>1.557163766E9</v>
      </c>
      <c r="W269" s="32" t="n">
        <f>232141756</f>
        <v>2.32141756E8</v>
      </c>
      <c r="X269" s="36" t="n">
        <f>21</f>
        <v>21.0</v>
      </c>
    </row>
    <row r="270">
      <c r="A270" s="27" t="s">
        <v>42</v>
      </c>
      <c r="B270" s="27" t="s">
        <v>858</v>
      </c>
      <c r="C270" s="27" t="s">
        <v>859</v>
      </c>
      <c r="D270" s="27" t="s">
        <v>860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10.0</v>
      </c>
      <c r="K270" s="33" t="n">
        <f>2239</f>
        <v>2239.0</v>
      </c>
      <c r="L270" s="34" t="s">
        <v>48</v>
      </c>
      <c r="M270" s="33" t="n">
        <f>2311</f>
        <v>2311.0</v>
      </c>
      <c r="N270" s="34" t="s">
        <v>51</v>
      </c>
      <c r="O270" s="33" t="n">
        <f>2217</f>
        <v>2217.0</v>
      </c>
      <c r="P270" s="34" t="s">
        <v>97</v>
      </c>
      <c r="Q270" s="33" t="n">
        <f>2311</f>
        <v>2311.0</v>
      </c>
      <c r="R270" s="34" t="s">
        <v>51</v>
      </c>
      <c r="S270" s="35" t="n">
        <f>2262</f>
        <v>2262.0</v>
      </c>
      <c r="T270" s="32" t="n">
        <f>433680</f>
        <v>433680.0</v>
      </c>
      <c r="U270" s="32" t="str">
        <f>"－"</f>
        <v>－</v>
      </c>
      <c r="V270" s="32" t="n">
        <f>975487800</f>
        <v>9.754878E8</v>
      </c>
      <c r="W270" s="32" t="str">
        <f>"－"</f>
        <v>－</v>
      </c>
      <c r="X270" s="36" t="n">
        <f>21</f>
        <v>21.0</v>
      </c>
    </row>
    <row r="271">
      <c r="A271" s="27" t="s">
        <v>42</v>
      </c>
      <c r="B271" s="27" t="s">
        <v>861</v>
      </c>
      <c r="C271" s="27" t="s">
        <v>862</v>
      </c>
      <c r="D271" s="27" t="s">
        <v>863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10.0</v>
      </c>
      <c r="K271" s="33" t="n">
        <f>2227</f>
        <v>2227.0</v>
      </c>
      <c r="L271" s="34" t="s">
        <v>48</v>
      </c>
      <c r="M271" s="33" t="n">
        <f>2302</f>
        <v>2302.0</v>
      </c>
      <c r="N271" s="34" t="s">
        <v>51</v>
      </c>
      <c r="O271" s="33" t="n">
        <f>2220</f>
        <v>2220.0</v>
      </c>
      <c r="P271" s="34" t="s">
        <v>97</v>
      </c>
      <c r="Q271" s="33" t="n">
        <f>2302</f>
        <v>2302.0</v>
      </c>
      <c r="R271" s="34" t="s">
        <v>51</v>
      </c>
      <c r="S271" s="35" t="n">
        <f>2252.29</f>
        <v>2252.29</v>
      </c>
      <c r="T271" s="32" t="n">
        <f>633570</f>
        <v>633570.0</v>
      </c>
      <c r="U271" s="32" t="str">
        <f>"－"</f>
        <v>－</v>
      </c>
      <c r="V271" s="32" t="n">
        <f>1418543400</f>
        <v>1.4185434E9</v>
      </c>
      <c r="W271" s="32" t="str">
        <f>"－"</f>
        <v>－</v>
      </c>
      <c r="X271" s="36" t="n">
        <f>21</f>
        <v>21.0</v>
      </c>
    </row>
    <row r="272">
      <c r="A272" s="27" t="s">
        <v>42</v>
      </c>
      <c r="B272" s="27" t="s">
        <v>864</v>
      </c>
      <c r="C272" s="27" t="s">
        <v>865</v>
      </c>
      <c r="D272" s="27" t="s">
        <v>866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10.0</v>
      </c>
      <c r="K272" s="33" t="n">
        <f>2245</f>
        <v>2245.0</v>
      </c>
      <c r="L272" s="34" t="s">
        <v>48</v>
      </c>
      <c r="M272" s="33" t="n">
        <f>2318</f>
        <v>2318.0</v>
      </c>
      <c r="N272" s="34" t="s">
        <v>51</v>
      </c>
      <c r="O272" s="33" t="n">
        <f>2229</f>
        <v>2229.0</v>
      </c>
      <c r="P272" s="34" t="s">
        <v>97</v>
      </c>
      <c r="Q272" s="33" t="n">
        <f>2318</f>
        <v>2318.0</v>
      </c>
      <c r="R272" s="34" t="s">
        <v>51</v>
      </c>
      <c r="S272" s="35" t="n">
        <f>2269.48</f>
        <v>2269.48</v>
      </c>
      <c r="T272" s="32" t="n">
        <f>46420</f>
        <v>46420.0</v>
      </c>
      <c r="U272" s="32" t="str">
        <f>"－"</f>
        <v>－</v>
      </c>
      <c r="V272" s="32" t="n">
        <f>105286200</f>
        <v>1.052862E8</v>
      </c>
      <c r="W272" s="32" t="str">
        <f>"－"</f>
        <v>－</v>
      </c>
      <c r="X272" s="36" t="n">
        <f>21</f>
        <v>21.0</v>
      </c>
    </row>
    <row r="273">
      <c r="A273" s="27" t="s">
        <v>42</v>
      </c>
      <c r="B273" s="27" t="s">
        <v>867</v>
      </c>
      <c r="C273" s="27" t="s">
        <v>868</v>
      </c>
      <c r="D273" s="27" t="s">
        <v>869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2661</f>
        <v>2661.0</v>
      </c>
      <c r="L273" s="34" t="s">
        <v>48</v>
      </c>
      <c r="M273" s="33" t="n">
        <f>2773</f>
        <v>2773.0</v>
      </c>
      <c r="N273" s="34" t="s">
        <v>51</v>
      </c>
      <c r="O273" s="33" t="n">
        <f>2648</f>
        <v>2648.0</v>
      </c>
      <c r="P273" s="34" t="s">
        <v>48</v>
      </c>
      <c r="Q273" s="33" t="n">
        <f>2769</f>
        <v>2769.0</v>
      </c>
      <c r="R273" s="34" t="s">
        <v>51</v>
      </c>
      <c r="S273" s="35" t="n">
        <f>2696.29</f>
        <v>2696.29</v>
      </c>
      <c r="T273" s="32" t="n">
        <f>146625</f>
        <v>146625.0</v>
      </c>
      <c r="U273" s="32" t="str">
        <f>"－"</f>
        <v>－</v>
      </c>
      <c r="V273" s="32" t="n">
        <f>398373667</f>
        <v>3.98373667E8</v>
      </c>
      <c r="W273" s="32" t="str">
        <f>"－"</f>
        <v>－</v>
      </c>
      <c r="X273" s="36" t="n">
        <f>21</f>
        <v>21.0</v>
      </c>
    </row>
    <row r="274">
      <c r="A274" s="27" t="s">
        <v>42</v>
      </c>
      <c r="B274" s="27" t="s">
        <v>870</v>
      </c>
      <c r="C274" s="27" t="s">
        <v>871</v>
      </c>
      <c r="D274" s="27" t="s">
        <v>872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1708</f>
        <v>1708.0</v>
      </c>
      <c r="L274" s="34" t="s">
        <v>48</v>
      </c>
      <c r="M274" s="33" t="n">
        <f>1767</f>
        <v>1767.0</v>
      </c>
      <c r="N274" s="34" t="s">
        <v>51</v>
      </c>
      <c r="O274" s="33" t="n">
        <f>1672</f>
        <v>1672.0</v>
      </c>
      <c r="P274" s="34" t="s">
        <v>50</v>
      </c>
      <c r="Q274" s="33" t="n">
        <f>1764</f>
        <v>1764.0</v>
      </c>
      <c r="R274" s="34" t="s">
        <v>51</v>
      </c>
      <c r="S274" s="35" t="n">
        <f>1725.38</f>
        <v>1725.38</v>
      </c>
      <c r="T274" s="32" t="n">
        <f>130036</f>
        <v>130036.0</v>
      </c>
      <c r="U274" s="32" t="n">
        <f>2</f>
        <v>2.0</v>
      </c>
      <c r="V274" s="32" t="n">
        <f>225727957</f>
        <v>2.25727957E8</v>
      </c>
      <c r="W274" s="32" t="n">
        <f>3468</f>
        <v>3468.0</v>
      </c>
      <c r="X274" s="36" t="n">
        <f>21</f>
        <v>21.0</v>
      </c>
    </row>
    <row r="275">
      <c r="A275" s="27" t="s">
        <v>42</v>
      </c>
      <c r="B275" s="27" t="s">
        <v>873</v>
      </c>
      <c r="C275" s="27" t="s">
        <v>874</v>
      </c>
      <c r="D275" s="27" t="s">
        <v>875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2256</f>
        <v>2256.0</v>
      </c>
      <c r="L275" s="34" t="s">
        <v>48</v>
      </c>
      <c r="M275" s="33" t="n">
        <f>2329</f>
        <v>2329.0</v>
      </c>
      <c r="N275" s="34" t="s">
        <v>51</v>
      </c>
      <c r="O275" s="33" t="n">
        <f>2185</f>
        <v>2185.0</v>
      </c>
      <c r="P275" s="34" t="s">
        <v>50</v>
      </c>
      <c r="Q275" s="33" t="n">
        <f>2329</f>
        <v>2329.0</v>
      </c>
      <c r="R275" s="34" t="s">
        <v>51</v>
      </c>
      <c r="S275" s="35" t="n">
        <f>2263.9</f>
        <v>2263.9</v>
      </c>
      <c r="T275" s="32" t="n">
        <f>43492</f>
        <v>43492.0</v>
      </c>
      <c r="U275" s="32" t="n">
        <f>4250</f>
        <v>4250.0</v>
      </c>
      <c r="V275" s="32" t="n">
        <f>98657365</f>
        <v>9.8657365E7</v>
      </c>
      <c r="W275" s="32" t="n">
        <f>9694020</f>
        <v>9694020.0</v>
      </c>
      <c r="X275" s="36" t="n">
        <f>21</f>
        <v>21.0</v>
      </c>
    </row>
    <row r="276">
      <c r="A276" s="27" t="s">
        <v>42</v>
      </c>
      <c r="B276" s="27" t="s">
        <v>876</v>
      </c>
      <c r="C276" s="27" t="s">
        <v>877</v>
      </c>
      <c r="D276" s="27" t="s">
        <v>878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1.0</v>
      </c>
      <c r="K276" s="33" t="n">
        <f>1828</f>
        <v>1828.0</v>
      </c>
      <c r="L276" s="34" t="s">
        <v>48</v>
      </c>
      <c r="M276" s="33" t="n">
        <f>1900</f>
        <v>1900.0</v>
      </c>
      <c r="N276" s="34" t="s">
        <v>51</v>
      </c>
      <c r="O276" s="33" t="n">
        <f>1807</f>
        <v>1807.0</v>
      </c>
      <c r="P276" s="34" t="s">
        <v>179</v>
      </c>
      <c r="Q276" s="33" t="n">
        <f>1900</f>
        <v>1900.0</v>
      </c>
      <c r="R276" s="34" t="s">
        <v>51</v>
      </c>
      <c r="S276" s="35" t="n">
        <f>1846.9</f>
        <v>1846.9</v>
      </c>
      <c r="T276" s="32" t="n">
        <f>35146</f>
        <v>35146.0</v>
      </c>
      <c r="U276" s="32" t="str">
        <f>"－"</f>
        <v>－</v>
      </c>
      <c r="V276" s="32" t="n">
        <f>64363258</f>
        <v>6.4363258E7</v>
      </c>
      <c r="W276" s="32" t="str">
        <f>"－"</f>
        <v>－</v>
      </c>
      <c r="X276" s="36" t="n">
        <f>21</f>
        <v>21.0</v>
      </c>
    </row>
    <row r="277">
      <c r="A277" s="27" t="s">
        <v>42</v>
      </c>
      <c r="B277" s="27" t="s">
        <v>879</v>
      </c>
      <c r="C277" s="27" t="s">
        <v>880</v>
      </c>
      <c r="D277" s="27" t="s">
        <v>881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1.0</v>
      </c>
      <c r="K277" s="33" t="n">
        <f>2409</f>
        <v>2409.0</v>
      </c>
      <c r="L277" s="34" t="s">
        <v>48</v>
      </c>
      <c r="M277" s="33" t="n">
        <f>2440</f>
        <v>2440.0</v>
      </c>
      <c r="N277" s="34" t="s">
        <v>117</v>
      </c>
      <c r="O277" s="33" t="n">
        <f>2310</f>
        <v>2310.0</v>
      </c>
      <c r="P277" s="34" t="s">
        <v>50</v>
      </c>
      <c r="Q277" s="33" t="n">
        <f>2439</f>
        <v>2439.0</v>
      </c>
      <c r="R277" s="34" t="s">
        <v>51</v>
      </c>
      <c r="S277" s="35" t="n">
        <f>2381.05</f>
        <v>2381.05</v>
      </c>
      <c r="T277" s="32" t="n">
        <f>176057</f>
        <v>176057.0</v>
      </c>
      <c r="U277" s="32" t="n">
        <f>151</f>
        <v>151.0</v>
      </c>
      <c r="V277" s="32" t="n">
        <f>418657083</f>
        <v>4.18657083E8</v>
      </c>
      <c r="W277" s="32" t="n">
        <f>352695</f>
        <v>352695.0</v>
      </c>
      <c r="X277" s="36" t="n">
        <f>21</f>
        <v>21.0</v>
      </c>
    </row>
    <row r="278">
      <c r="A278" s="27" t="s">
        <v>42</v>
      </c>
      <c r="B278" s="27" t="s">
        <v>882</v>
      </c>
      <c r="C278" s="27" t="s">
        <v>883</v>
      </c>
      <c r="D278" s="27" t="s">
        <v>884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1.0</v>
      </c>
      <c r="K278" s="33" t="n">
        <f>1934</f>
        <v>1934.0</v>
      </c>
      <c r="L278" s="34" t="s">
        <v>48</v>
      </c>
      <c r="M278" s="33" t="n">
        <f>1974</f>
        <v>1974.0</v>
      </c>
      <c r="N278" s="34" t="s">
        <v>150</v>
      </c>
      <c r="O278" s="33" t="n">
        <f>1870</f>
        <v>1870.0</v>
      </c>
      <c r="P278" s="34" t="s">
        <v>50</v>
      </c>
      <c r="Q278" s="33" t="n">
        <f>1972</f>
        <v>1972.0</v>
      </c>
      <c r="R278" s="34" t="s">
        <v>51</v>
      </c>
      <c r="S278" s="35" t="n">
        <f>1936.43</f>
        <v>1936.43</v>
      </c>
      <c r="T278" s="32" t="n">
        <f>157084</f>
        <v>157084.0</v>
      </c>
      <c r="U278" s="32" t="str">
        <f>"－"</f>
        <v>－</v>
      </c>
      <c r="V278" s="32" t="n">
        <f>307933556</f>
        <v>3.07933556E8</v>
      </c>
      <c r="W278" s="32" t="str">
        <f>"－"</f>
        <v>－</v>
      </c>
      <c r="X278" s="36" t="n">
        <f>21</f>
        <v>21.0</v>
      </c>
    </row>
    <row r="279">
      <c r="A279" s="27" t="s">
        <v>42</v>
      </c>
      <c r="B279" s="27" t="s">
        <v>885</v>
      </c>
      <c r="C279" s="27" t="s">
        <v>886</v>
      </c>
      <c r="D279" s="27" t="s">
        <v>887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25410</f>
        <v>25410.0</v>
      </c>
      <c r="L279" s="34" t="s">
        <v>48</v>
      </c>
      <c r="M279" s="33" t="n">
        <f>25830</f>
        <v>25830.0</v>
      </c>
      <c r="N279" s="34" t="s">
        <v>51</v>
      </c>
      <c r="O279" s="33" t="n">
        <f>24860</f>
        <v>24860.0</v>
      </c>
      <c r="P279" s="34" t="s">
        <v>50</v>
      </c>
      <c r="Q279" s="33" t="n">
        <f>25830</f>
        <v>25830.0</v>
      </c>
      <c r="R279" s="34" t="s">
        <v>51</v>
      </c>
      <c r="S279" s="35" t="n">
        <f>25415</f>
        <v>25415.0</v>
      </c>
      <c r="T279" s="32" t="n">
        <f>77</f>
        <v>77.0</v>
      </c>
      <c r="U279" s="32" t="str">
        <f>"－"</f>
        <v>－</v>
      </c>
      <c r="V279" s="32" t="n">
        <f>1947620</f>
        <v>1947620.0</v>
      </c>
      <c r="W279" s="32" t="str">
        <f>"－"</f>
        <v>－</v>
      </c>
      <c r="X279" s="36" t="n">
        <f>10</f>
        <v>10.0</v>
      </c>
    </row>
    <row r="280">
      <c r="A280" s="27" t="s">
        <v>42</v>
      </c>
      <c r="B280" s="27" t="s">
        <v>888</v>
      </c>
      <c r="C280" s="27" t="s">
        <v>889</v>
      </c>
      <c r="D280" s="27" t="s">
        <v>890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1.0</v>
      </c>
      <c r="K280" s="33" t="n">
        <f>1960</f>
        <v>1960.0</v>
      </c>
      <c r="L280" s="34" t="s">
        <v>48</v>
      </c>
      <c r="M280" s="33" t="n">
        <f>2016</f>
        <v>2016.0</v>
      </c>
      <c r="N280" s="34" t="s">
        <v>51</v>
      </c>
      <c r="O280" s="33" t="n">
        <f>1925</f>
        <v>1925.0</v>
      </c>
      <c r="P280" s="34" t="s">
        <v>50</v>
      </c>
      <c r="Q280" s="33" t="n">
        <f>2016</f>
        <v>2016.0</v>
      </c>
      <c r="R280" s="34" t="s">
        <v>51</v>
      </c>
      <c r="S280" s="35" t="n">
        <f>1975.29</f>
        <v>1975.29</v>
      </c>
      <c r="T280" s="32" t="n">
        <f>9575</f>
        <v>9575.0</v>
      </c>
      <c r="U280" s="32" t="str">
        <f>"－"</f>
        <v>－</v>
      </c>
      <c r="V280" s="32" t="n">
        <f>18937863</f>
        <v>1.8937863E7</v>
      </c>
      <c r="W280" s="32" t="str">
        <f>"－"</f>
        <v>－</v>
      </c>
      <c r="X280" s="36" t="n">
        <f>21</f>
        <v>21.0</v>
      </c>
    </row>
    <row r="281">
      <c r="A281" s="27" t="s">
        <v>42</v>
      </c>
      <c r="B281" s="27" t="s">
        <v>891</v>
      </c>
      <c r="C281" s="27" t="s">
        <v>892</v>
      </c>
      <c r="D281" s="27" t="s">
        <v>893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1.0</v>
      </c>
      <c r="K281" s="33" t="n">
        <f>153800</f>
        <v>153800.0</v>
      </c>
      <c r="L281" s="34" t="s">
        <v>48</v>
      </c>
      <c r="M281" s="33" t="n">
        <f>153800</f>
        <v>153800.0</v>
      </c>
      <c r="N281" s="34" t="s">
        <v>48</v>
      </c>
      <c r="O281" s="33" t="n">
        <f>136100</f>
        <v>136100.0</v>
      </c>
      <c r="P281" s="34" t="s">
        <v>320</v>
      </c>
      <c r="Q281" s="33" t="n">
        <f>139200</f>
        <v>139200.0</v>
      </c>
      <c r="R281" s="34" t="s">
        <v>51</v>
      </c>
      <c r="S281" s="35" t="n">
        <f>140985.71</f>
        <v>140985.71</v>
      </c>
      <c r="T281" s="32" t="n">
        <f>73558</f>
        <v>73558.0</v>
      </c>
      <c r="U281" s="32" t="n">
        <f>13850</f>
        <v>13850.0</v>
      </c>
      <c r="V281" s="32" t="n">
        <f>10566891761</f>
        <v>1.0566891761E10</v>
      </c>
      <c r="W281" s="32" t="n">
        <f>2031922461</f>
        <v>2.031922461E9</v>
      </c>
      <c r="X281" s="36" t="n">
        <f>21</f>
        <v>21.0</v>
      </c>
    </row>
    <row r="282">
      <c r="A282" s="27" t="s">
        <v>42</v>
      </c>
      <c r="B282" s="27" t="s">
        <v>894</v>
      </c>
      <c r="C282" s="27" t="s">
        <v>895</v>
      </c>
      <c r="D282" s="27" t="s">
        <v>896</v>
      </c>
      <c r="E282" s="28" t="s">
        <v>46</v>
      </c>
      <c r="F282" s="29" t="s">
        <v>46</v>
      </c>
      <c r="G282" s="30" t="s">
        <v>46</v>
      </c>
      <c r="H282" s="31"/>
      <c r="I282" s="31" t="s">
        <v>623</v>
      </c>
      <c r="J282" s="32" t="n">
        <v>1.0</v>
      </c>
      <c r="K282" s="33" t="n">
        <f>132300</f>
        <v>132300.0</v>
      </c>
      <c r="L282" s="34" t="s">
        <v>48</v>
      </c>
      <c r="M282" s="33" t="n">
        <f>134900</f>
        <v>134900.0</v>
      </c>
      <c r="N282" s="34" t="s">
        <v>179</v>
      </c>
      <c r="O282" s="33" t="n">
        <f>124400</f>
        <v>124400.0</v>
      </c>
      <c r="P282" s="34" t="s">
        <v>320</v>
      </c>
      <c r="Q282" s="33" t="n">
        <f>129600</f>
        <v>129600.0</v>
      </c>
      <c r="R282" s="34" t="s">
        <v>51</v>
      </c>
      <c r="S282" s="35" t="n">
        <f>130947.62</f>
        <v>130947.62</v>
      </c>
      <c r="T282" s="32" t="n">
        <f>51005</f>
        <v>51005.0</v>
      </c>
      <c r="U282" s="32" t="n">
        <f>11819</f>
        <v>11819.0</v>
      </c>
      <c r="V282" s="32" t="n">
        <f>6649263746</f>
        <v>6.649263746E9</v>
      </c>
      <c r="W282" s="32" t="n">
        <f>1546200146</f>
        <v>1.546200146E9</v>
      </c>
      <c r="X282" s="36" t="n">
        <f>21</f>
        <v>21.0</v>
      </c>
    </row>
    <row r="283">
      <c r="A283" s="27" t="s">
        <v>42</v>
      </c>
      <c r="B283" s="27" t="s">
        <v>897</v>
      </c>
      <c r="C283" s="27" t="s">
        <v>898</v>
      </c>
      <c r="D283" s="27" t="s">
        <v>899</v>
      </c>
      <c r="E283" s="28" t="s">
        <v>46</v>
      </c>
      <c r="F283" s="29" t="s">
        <v>46</v>
      </c>
      <c r="G283" s="30" t="s">
        <v>46</v>
      </c>
      <c r="H283" s="31"/>
      <c r="I283" s="31" t="s">
        <v>623</v>
      </c>
      <c r="J283" s="32" t="n">
        <v>1.0</v>
      </c>
      <c r="K283" s="33" t="n">
        <f>171100</f>
        <v>171100.0</v>
      </c>
      <c r="L283" s="34" t="s">
        <v>48</v>
      </c>
      <c r="M283" s="33" t="n">
        <f>188100</f>
        <v>188100.0</v>
      </c>
      <c r="N283" s="34" t="s">
        <v>93</v>
      </c>
      <c r="O283" s="33" t="n">
        <f>167800</f>
        <v>167800.0</v>
      </c>
      <c r="P283" s="34" t="s">
        <v>48</v>
      </c>
      <c r="Q283" s="33" t="n">
        <f>186500</f>
        <v>186500.0</v>
      </c>
      <c r="R283" s="34" t="s">
        <v>51</v>
      </c>
      <c r="S283" s="35" t="n">
        <f>176190.48</f>
        <v>176190.48</v>
      </c>
      <c r="T283" s="32" t="n">
        <f>64408</f>
        <v>64408.0</v>
      </c>
      <c r="U283" s="32" t="n">
        <f>13336</f>
        <v>13336.0</v>
      </c>
      <c r="V283" s="32" t="n">
        <f>11361635043</f>
        <v>1.1361635043E10</v>
      </c>
      <c r="W283" s="32" t="n">
        <f>2352500743</f>
        <v>2.352500743E9</v>
      </c>
      <c r="X283" s="36" t="n">
        <f>21</f>
        <v>21.0</v>
      </c>
    </row>
    <row r="284">
      <c r="A284" s="27" t="s">
        <v>42</v>
      </c>
      <c r="B284" s="27" t="s">
        <v>900</v>
      </c>
      <c r="C284" s="27" t="s">
        <v>901</v>
      </c>
      <c r="D284" s="27" t="s">
        <v>902</v>
      </c>
      <c r="E284" s="28" t="s">
        <v>46</v>
      </c>
      <c r="F284" s="29" t="s">
        <v>46</v>
      </c>
      <c r="G284" s="30" t="s">
        <v>46</v>
      </c>
      <c r="H284" s="31"/>
      <c r="I284" s="31" t="s">
        <v>623</v>
      </c>
      <c r="J284" s="32" t="n">
        <v>1.0</v>
      </c>
      <c r="K284" s="33" t="n">
        <f>112500</f>
        <v>112500.0</v>
      </c>
      <c r="L284" s="34" t="s">
        <v>48</v>
      </c>
      <c r="M284" s="33" t="n">
        <f>113600</f>
        <v>113600.0</v>
      </c>
      <c r="N284" s="34" t="s">
        <v>48</v>
      </c>
      <c r="O284" s="33" t="n">
        <f>106700</f>
        <v>106700.0</v>
      </c>
      <c r="P284" s="34" t="s">
        <v>50</v>
      </c>
      <c r="Q284" s="33" t="n">
        <f>107900</f>
        <v>107900.0</v>
      </c>
      <c r="R284" s="34" t="s">
        <v>51</v>
      </c>
      <c r="S284" s="35" t="n">
        <f>109871.43</f>
        <v>109871.43</v>
      </c>
      <c r="T284" s="32" t="n">
        <f>30501</f>
        <v>30501.0</v>
      </c>
      <c r="U284" s="32" t="n">
        <f>1097</f>
        <v>1097.0</v>
      </c>
      <c r="V284" s="32" t="n">
        <f>3346338631</f>
        <v>3.346338631E9</v>
      </c>
      <c r="W284" s="32" t="n">
        <f>120264831</f>
        <v>1.20264831E8</v>
      </c>
      <c r="X284" s="36" t="n">
        <f>21</f>
        <v>21.0</v>
      </c>
    </row>
    <row r="285">
      <c r="A285" s="27" t="s">
        <v>42</v>
      </c>
      <c r="B285" s="27" t="s">
        <v>903</v>
      </c>
      <c r="C285" s="27" t="s">
        <v>904</v>
      </c>
      <c r="D285" s="27" t="s">
        <v>905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671000</f>
        <v>671000.0</v>
      </c>
      <c r="L285" s="34" t="s">
        <v>48</v>
      </c>
      <c r="M285" s="33" t="n">
        <f>694000</f>
        <v>694000.0</v>
      </c>
      <c r="N285" s="34" t="s">
        <v>101</v>
      </c>
      <c r="O285" s="33" t="n">
        <f>657000</f>
        <v>657000.0</v>
      </c>
      <c r="P285" s="34" t="s">
        <v>180</v>
      </c>
      <c r="Q285" s="33" t="n">
        <f>661000</f>
        <v>661000.0</v>
      </c>
      <c r="R285" s="34" t="s">
        <v>51</v>
      </c>
      <c r="S285" s="35" t="n">
        <f>672095.24</f>
        <v>672095.24</v>
      </c>
      <c r="T285" s="32" t="n">
        <f>40178</f>
        <v>40178.0</v>
      </c>
      <c r="U285" s="32" t="n">
        <f>8246</f>
        <v>8246.0</v>
      </c>
      <c r="V285" s="32" t="n">
        <f>26964943690</f>
        <v>2.696494369E10</v>
      </c>
      <c r="W285" s="32" t="n">
        <f>5532110690</f>
        <v>5.53211069E9</v>
      </c>
      <c r="X285" s="36" t="n">
        <f>21</f>
        <v>21.0</v>
      </c>
    </row>
    <row r="286">
      <c r="A286" s="27" t="s">
        <v>42</v>
      </c>
      <c r="B286" s="27" t="s">
        <v>906</v>
      </c>
      <c r="C286" s="27" t="s">
        <v>907</v>
      </c>
      <c r="D286" s="27" t="s">
        <v>908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161300</f>
        <v>161300.0</v>
      </c>
      <c r="L286" s="34" t="s">
        <v>48</v>
      </c>
      <c r="M286" s="33" t="n">
        <f>163400</f>
        <v>163400.0</v>
      </c>
      <c r="N286" s="34" t="s">
        <v>93</v>
      </c>
      <c r="O286" s="33" t="n">
        <f>155700</f>
        <v>155700.0</v>
      </c>
      <c r="P286" s="34" t="s">
        <v>117</v>
      </c>
      <c r="Q286" s="33" t="n">
        <f>159500</f>
        <v>159500.0</v>
      </c>
      <c r="R286" s="34" t="s">
        <v>51</v>
      </c>
      <c r="S286" s="35" t="n">
        <f>158761.9</f>
        <v>158761.9</v>
      </c>
      <c r="T286" s="32" t="n">
        <f>120780</f>
        <v>120780.0</v>
      </c>
      <c r="U286" s="32" t="n">
        <f>33935</f>
        <v>33935.0</v>
      </c>
      <c r="V286" s="32" t="n">
        <f>19189774057</f>
        <v>1.9189774057E10</v>
      </c>
      <c r="W286" s="32" t="n">
        <f>5387436157</f>
        <v>5.387436157E9</v>
      </c>
      <c r="X286" s="36" t="n">
        <f>21</f>
        <v>21.0</v>
      </c>
    </row>
    <row r="287">
      <c r="A287" s="27" t="s">
        <v>42</v>
      </c>
      <c r="B287" s="27" t="s">
        <v>909</v>
      </c>
      <c r="C287" s="27" t="s">
        <v>910</v>
      </c>
      <c r="D287" s="27" t="s">
        <v>911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213000</f>
        <v>213000.0</v>
      </c>
      <c r="L287" s="34" t="s">
        <v>48</v>
      </c>
      <c r="M287" s="33" t="n">
        <f>225800</f>
        <v>225800.0</v>
      </c>
      <c r="N287" s="34" t="s">
        <v>89</v>
      </c>
      <c r="O287" s="33" t="n">
        <f>210300</f>
        <v>210300.0</v>
      </c>
      <c r="P287" s="34" t="s">
        <v>117</v>
      </c>
      <c r="Q287" s="33" t="n">
        <f>221200</f>
        <v>221200.0</v>
      </c>
      <c r="R287" s="34" t="s">
        <v>51</v>
      </c>
      <c r="S287" s="35" t="n">
        <f>216514.29</f>
        <v>216514.29</v>
      </c>
      <c r="T287" s="32" t="n">
        <f>168198</f>
        <v>168198.0</v>
      </c>
      <c r="U287" s="32" t="n">
        <f>68164</f>
        <v>68164.0</v>
      </c>
      <c r="V287" s="32" t="n">
        <f>36403267841</f>
        <v>3.6403267841E10</v>
      </c>
      <c r="W287" s="32" t="n">
        <f>14680791041</f>
        <v>1.4680791041E10</v>
      </c>
      <c r="X287" s="36" t="n">
        <f>21</f>
        <v>21.0</v>
      </c>
    </row>
    <row r="288">
      <c r="A288" s="27" t="s">
        <v>42</v>
      </c>
      <c r="B288" s="27" t="s">
        <v>912</v>
      </c>
      <c r="C288" s="27" t="s">
        <v>913</v>
      </c>
      <c r="D288" s="27" t="s">
        <v>914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376000</f>
        <v>376000.0</v>
      </c>
      <c r="L288" s="34" t="s">
        <v>48</v>
      </c>
      <c r="M288" s="33" t="n">
        <f>382000</f>
        <v>382000.0</v>
      </c>
      <c r="N288" s="34" t="s">
        <v>101</v>
      </c>
      <c r="O288" s="33" t="n">
        <f>358500</f>
        <v>358500.0</v>
      </c>
      <c r="P288" s="34" t="s">
        <v>117</v>
      </c>
      <c r="Q288" s="33" t="n">
        <f>374500</f>
        <v>374500.0</v>
      </c>
      <c r="R288" s="34" t="s">
        <v>51</v>
      </c>
      <c r="S288" s="35" t="n">
        <f>370547.62</f>
        <v>370547.62</v>
      </c>
      <c r="T288" s="32" t="n">
        <f>102326</f>
        <v>102326.0</v>
      </c>
      <c r="U288" s="32" t="n">
        <f>35434</f>
        <v>35434.0</v>
      </c>
      <c r="V288" s="32" t="n">
        <f>38013369282</f>
        <v>3.8013369282E10</v>
      </c>
      <c r="W288" s="32" t="n">
        <f>13215391782</f>
        <v>1.3215391782E10</v>
      </c>
      <c r="X288" s="36" t="n">
        <f>21</f>
        <v>21.0</v>
      </c>
    </row>
    <row r="289">
      <c r="A289" s="27" t="s">
        <v>42</v>
      </c>
      <c r="B289" s="27" t="s">
        <v>915</v>
      </c>
      <c r="C289" s="27" t="s">
        <v>916</v>
      </c>
      <c r="D289" s="27" t="s">
        <v>917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1.0</v>
      </c>
      <c r="K289" s="33" t="n">
        <f>236100</f>
        <v>236100.0</v>
      </c>
      <c r="L289" s="34" t="s">
        <v>48</v>
      </c>
      <c r="M289" s="33" t="n">
        <f>240500</f>
        <v>240500.0</v>
      </c>
      <c r="N289" s="34" t="s">
        <v>51</v>
      </c>
      <c r="O289" s="33" t="n">
        <f>226300</f>
        <v>226300.0</v>
      </c>
      <c r="P289" s="34" t="s">
        <v>320</v>
      </c>
      <c r="Q289" s="33" t="n">
        <f>236200</f>
        <v>236200.0</v>
      </c>
      <c r="R289" s="34" t="s">
        <v>51</v>
      </c>
      <c r="S289" s="35" t="n">
        <f>233623.81</f>
        <v>233623.81</v>
      </c>
      <c r="T289" s="32" t="n">
        <f>56022</f>
        <v>56022.0</v>
      </c>
      <c r="U289" s="32" t="n">
        <f>12911</f>
        <v>12911.0</v>
      </c>
      <c r="V289" s="32" t="n">
        <f>13093706230</f>
        <v>1.309370623E10</v>
      </c>
      <c r="W289" s="32" t="n">
        <f>3019625330</f>
        <v>3.01962533E9</v>
      </c>
      <c r="X289" s="36" t="n">
        <f>21</f>
        <v>21.0</v>
      </c>
    </row>
    <row r="290">
      <c r="A290" s="27" t="s">
        <v>42</v>
      </c>
      <c r="B290" s="27" t="s">
        <v>918</v>
      </c>
      <c r="C290" s="27" t="s">
        <v>919</v>
      </c>
      <c r="D290" s="27" t="s">
        <v>920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1.0</v>
      </c>
      <c r="K290" s="33" t="n">
        <f>496500</f>
        <v>496500.0</v>
      </c>
      <c r="L290" s="34" t="s">
        <v>48</v>
      </c>
      <c r="M290" s="33" t="n">
        <f>497500</f>
        <v>497500.0</v>
      </c>
      <c r="N290" s="34" t="s">
        <v>48</v>
      </c>
      <c r="O290" s="33" t="n">
        <f>448000</f>
        <v>448000.0</v>
      </c>
      <c r="P290" s="34" t="s">
        <v>117</v>
      </c>
      <c r="Q290" s="33" t="n">
        <f>461500</f>
        <v>461500.0</v>
      </c>
      <c r="R290" s="34" t="s">
        <v>51</v>
      </c>
      <c r="S290" s="35" t="n">
        <f>469166.67</f>
        <v>469166.67</v>
      </c>
      <c r="T290" s="32" t="n">
        <f>63061</f>
        <v>63061.0</v>
      </c>
      <c r="U290" s="32" t="n">
        <f>12477</f>
        <v>12477.0</v>
      </c>
      <c r="V290" s="32" t="n">
        <f>29564212171</f>
        <v>2.9564212171E10</v>
      </c>
      <c r="W290" s="32" t="n">
        <f>5849583171</f>
        <v>5.849583171E9</v>
      </c>
      <c r="X290" s="36" t="n">
        <f>21</f>
        <v>21.0</v>
      </c>
    </row>
    <row r="291">
      <c r="A291" s="27" t="s">
        <v>42</v>
      </c>
      <c r="B291" s="27" t="s">
        <v>921</v>
      </c>
      <c r="C291" s="27" t="s">
        <v>922</v>
      </c>
      <c r="D291" s="27" t="s">
        <v>923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1.0</v>
      </c>
      <c r="K291" s="33" t="n">
        <f>197800</f>
        <v>197800.0</v>
      </c>
      <c r="L291" s="34" t="s">
        <v>48</v>
      </c>
      <c r="M291" s="33" t="n">
        <f>205000</f>
        <v>205000.0</v>
      </c>
      <c r="N291" s="34" t="s">
        <v>89</v>
      </c>
      <c r="O291" s="33" t="n">
        <f>188600</f>
        <v>188600.0</v>
      </c>
      <c r="P291" s="34" t="s">
        <v>117</v>
      </c>
      <c r="Q291" s="33" t="n">
        <f>199700</f>
        <v>199700.0</v>
      </c>
      <c r="R291" s="34" t="s">
        <v>51</v>
      </c>
      <c r="S291" s="35" t="n">
        <f>199076.19</f>
        <v>199076.19</v>
      </c>
      <c r="T291" s="32" t="n">
        <f>301051</f>
        <v>301051.0</v>
      </c>
      <c r="U291" s="32" t="n">
        <f>72738</f>
        <v>72738.0</v>
      </c>
      <c r="V291" s="32" t="n">
        <f>59706053076</f>
        <v>5.9706053076E10</v>
      </c>
      <c r="W291" s="32" t="n">
        <f>14416106776</f>
        <v>1.4416106776E10</v>
      </c>
      <c r="X291" s="36" t="n">
        <f>21</f>
        <v>21.0</v>
      </c>
    </row>
    <row r="292">
      <c r="A292" s="27" t="s">
        <v>42</v>
      </c>
      <c r="B292" s="27" t="s">
        <v>924</v>
      </c>
      <c r="C292" s="27" t="s">
        <v>925</v>
      </c>
      <c r="D292" s="27" t="s">
        <v>926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350500</f>
        <v>350500.0</v>
      </c>
      <c r="L292" s="34" t="s">
        <v>48</v>
      </c>
      <c r="M292" s="33" t="n">
        <f>359000</f>
        <v>359000.0</v>
      </c>
      <c r="N292" s="34" t="s">
        <v>73</v>
      </c>
      <c r="O292" s="33" t="n">
        <f>342500</f>
        <v>342500.0</v>
      </c>
      <c r="P292" s="34" t="s">
        <v>61</v>
      </c>
      <c r="Q292" s="33" t="n">
        <f>353000</f>
        <v>353000.0</v>
      </c>
      <c r="R292" s="34" t="s">
        <v>51</v>
      </c>
      <c r="S292" s="35" t="n">
        <f>348142.86</f>
        <v>348142.86</v>
      </c>
      <c r="T292" s="32" t="n">
        <f>72935</f>
        <v>72935.0</v>
      </c>
      <c r="U292" s="32" t="n">
        <f>30784</f>
        <v>30784.0</v>
      </c>
      <c r="V292" s="32" t="n">
        <f>25487216101</f>
        <v>2.5487216101E10</v>
      </c>
      <c r="W292" s="32" t="n">
        <f>10764650601</f>
        <v>1.0764650601E10</v>
      </c>
      <c r="X292" s="36" t="n">
        <f>21</f>
        <v>21.0</v>
      </c>
    </row>
    <row r="293">
      <c r="A293" s="27" t="s">
        <v>42</v>
      </c>
      <c r="B293" s="27" t="s">
        <v>927</v>
      </c>
      <c r="C293" s="27" t="s">
        <v>928</v>
      </c>
      <c r="D293" s="27" t="s">
        <v>929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1.0</v>
      </c>
      <c r="K293" s="33" t="n">
        <f>367500</f>
        <v>367500.0</v>
      </c>
      <c r="L293" s="34" t="s">
        <v>48</v>
      </c>
      <c r="M293" s="33" t="n">
        <f>401000</f>
        <v>401000.0</v>
      </c>
      <c r="N293" s="34" t="s">
        <v>51</v>
      </c>
      <c r="O293" s="33" t="n">
        <f>364000</f>
        <v>364000.0</v>
      </c>
      <c r="P293" s="34" t="s">
        <v>97</v>
      </c>
      <c r="Q293" s="33" t="n">
        <f>396500</f>
        <v>396500.0</v>
      </c>
      <c r="R293" s="34" t="s">
        <v>51</v>
      </c>
      <c r="S293" s="35" t="n">
        <f>381404.76</f>
        <v>381404.76</v>
      </c>
      <c r="T293" s="32" t="n">
        <f>151962</f>
        <v>151962.0</v>
      </c>
      <c r="U293" s="32" t="n">
        <f>31421</f>
        <v>31421.0</v>
      </c>
      <c r="V293" s="32" t="n">
        <f>58110163733</f>
        <v>5.8110163733E10</v>
      </c>
      <c r="W293" s="32" t="n">
        <f>12023421233</f>
        <v>1.2023421233E10</v>
      </c>
      <c r="X293" s="36" t="n">
        <f>21</f>
        <v>21.0</v>
      </c>
    </row>
    <row r="294">
      <c r="A294" s="27" t="s">
        <v>42</v>
      </c>
      <c r="B294" s="27" t="s">
        <v>930</v>
      </c>
      <c r="C294" s="27" t="s">
        <v>931</v>
      </c>
      <c r="D294" s="27" t="s">
        <v>932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693000</f>
        <v>693000.0</v>
      </c>
      <c r="L294" s="34" t="s">
        <v>48</v>
      </c>
      <c r="M294" s="33" t="n">
        <f>720000</f>
        <v>720000.0</v>
      </c>
      <c r="N294" s="34" t="s">
        <v>93</v>
      </c>
      <c r="O294" s="33" t="n">
        <f>664000</f>
        <v>664000.0</v>
      </c>
      <c r="P294" s="34" t="s">
        <v>187</v>
      </c>
      <c r="Q294" s="33" t="n">
        <f>711000</f>
        <v>711000.0</v>
      </c>
      <c r="R294" s="34" t="s">
        <v>51</v>
      </c>
      <c r="S294" s="35" t="n">
        <f>683095.24</f>
        <v>683095.24</v>
      </c>
      <c r="T294" s="32" t="n">
        <f>19513</f>
        <v>19513.0</v>
      </c>
      <c r="U294" s="32" t="n">
        <f>3094</f>
        <v>3094.0</v>
      </c>
      <c r="V294" s="32" t="n">
        <f>13463844109</f>
        <v>1.3463844109E10</v>
      </c>
      <c r="W294" s="32" t="n">
        <f>2139365109</f>
        <v>2.139365109E9</v>
      </c>
      <c r="X294" s="36" t="n">
        <f>21</f>
        <v>21.0</v>
      </c>
    </row>
    <row r="295">
      <c r="A295" s="27" t="s">
        <v>42</v>
      </c>
      <c r="B295" s="27" t="s">
        <v>933</v>
      </c>
      <c r="C295" s="27" t="s">
        <v>934</v>
      </c>
      <c r="D295" s="27" t="s">
        <v>935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342000</f>
        <v>342000.0</v>
      </c>
      <c r="L295" s="34" t="s">
        <v>48</v>
      </c>
      <c r="M295" s="33" t="n">
        <f>347500</f>
        <v>347500.0</v>
      </c>
      <c r="N295" s="34" t="s">
        <v>89</v>
      </c>
      <c r="O295" s="33" t="n">
        <f>325500</f>
        <v>325500.0</v>
      </c>
      <c r="P295" s="34" t="s">
        <v>117</v>
      </c>
      <c r="Q295" s="33" t="n">
        <f>328000</f>
        <v>328000.0</v>
      </c>
      <c r="R295" s="34" t="s">
        <v>51</v>
      </c>
      <c r="S295" s="35" t="n">
        <f>337142.86</f>
        <v>337142.86</v>
      </c>
      <c r="T295" s="32" t="n">
        <f>24456</f>
        <v>24456.0</v>
      </c>
      <c r="U295" s="32" t="n">
        <f>3979</f>
        <v>3979.0</v>
      </c>
      <c r="V295" s="32" t="n">
        <f>8226289411</f>
        <v>8.226289411E9</v>
      </c>
      <c r="W295" s="32" t="n">
        <f>1337652911</f>
        <v>1.337652911E9</v>
      </c>
      <c r="X295" s="36" t="n">
        <f>21</f>
        <v>21.0</v>
      </c>
    </row>
    <row r="296">
      <c r="A296" s="27" t="s">
        <v>42</v>
      </c>
      <c r="B296" s="27" t="s">
        <v>936</v>
      </c>
      <c r="C296" s="27" t="s">
        <v>937</v>
      </c>
      <c r="D296" s="27" t="s">
        <v>938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160800</f>
        <v>160800.0</v>
      </c>
      <c r="L296" s="34" t="s">
        <v>48</v>
      </c>
      <c r="M296" s="33" t="n">
        <f>161000</f>
        <v>161000.0</v>
      </c>
      <c r="N296" s="34" t="s">
        <v>48</v>
      </c>
      <c r="O296" s="33" t="n">
        <f>149400</f>
        <v>149400.0</v>
      </c>
      <c r="P296" s="34" t="s">
        <v>320</v>
      </c>
      <c r="Q296" s="33" t="n">
        <f>151000</f>
        <v>151000.0</v>
      </c>
      <c r="R296" s="34" t="s">
        <v>51</v>
      </c>
      <c r="S296" s="35" t="n">
        <f>153919.05</f>
        <v>153919.05</v>
      </c>
      <c r="T296" s="32" t="n">
        <f>350833</f>
        <v>350833.0</v>
      </c>
      <c r="U296" s="32" t="n">
        <f>78357</f>
        <v>78357.0</v>
      </c>
      <c r="V296" s="32" t="n">
        <f>53850550989</f>
        <v>5.3850550989E10</v>
      </c>
      <c r="W296" s="32" t="n">
        <f>12135789989</f>
        <v>1.2135789989E10</v>
      </c>
      <c r="X296" s="36" t="n">
        <f>21</f>
        <v>21.0</v>
      </c>
    </row>
    <row r="297">
      <c r="A297" s="27" t="s">
        <v>42</v>
      </c>
      <c r="B297" s="27" t="s">
        <v>939</v>
      </c>
      <c r="C297" s="27" t="s">
        <v>940</v>
      </c>
      <c r="D297" s="27" t="s">
        <v>941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193900</f>
        <v>193900.0</v>
      </c>
      <c r="L297" s="34" t="s">
        <v>48</v>
      </c>
      <c r="M297" s="33" t="n">
        <f>194800</f>
        <v>194800.0</v>
      </c>
      <c r="N297" s="34" t="s">
        <v>48</v>
      </c>
      <c r="O297" s="33" t="n">
        <f>184400</f>
        <v>184400.0</v>
      </c>
      <c r="P297" s="34" t="s">
        <v>320</v>
      </c>
      <c r="Q297" s="33" t="n">
        <f>185200</f>
        <v>185200.0</v>
      </c>
      <c r="R297" s="34" t="s">
        <v>51</v>
      </c>
      <c r="S297" s="35" t="n">
        <f>189209.52</f>
        <v>189209.52</v>
      </c>
      <c r="T297" s="32" t="n">
        <f>98456</f>
        <v>98456.0</v>
      </c>
      <c r="U297" s="32" t="n">
        <f>22282</f>
        <v>22282.0</v>
      </c>
      <c r="V297" s="32" t="n">
        <f>18648778671</f>
        <v>1.8648778671E10</v>
      </c>
      <c r="W297" s="32" t="n">
        <f>4224361771</f>
        <v>4.224361771E9</v>
      </c>
      <c r="X297" s="36" t="n">
        <f>21</f>
        <v>21.0</v>
      </c>
    </row>
    <row r="298">
      <c r="A298" s="27" t="s">
        <v>42</v>
      </c>
      <c r="B298" s="27" t="s">
        <v>942</v>
      </c>
      <c r="C298" s="27" t="s">
        <v>943</v>
      </c>
      <c r="D298" s="27" t="s">
        <v>944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453000</f>
        <v>453000.0</v>
      </c>
      <c r="L298" s="34" t="s">
        <v>48</v>
      </c>
      <c r="M298" s="33" t="n">
        <f>455500</f>
        <v>455500.0</v>
      </c>
      <c r="N298" s="34" t="s">
        <v>51</v>
      </c>
      <c r="O298" s="33" t="n">
        <f>428500</f>
        <v>428500.0</v>
      </c>
      <c r="P298" s="34" t="s">
        <v>61</v>
      </c>
      <c r="Q298" s="33" t="n">
        <f>451500</f>
        <v>451500.0</v>
      </c>
      <c r="R298" s="34" t="s">
        <v>51</v>
      </c>
      <c r="S298" s="35" t="n">
        <f>439404.76</f>
        <v>439404.76</v>
      </c>
      <c r="T298" s="32" t="n">
        <f>31725</f>
        <v>31725.0</v>
      </c>
      <c r="U298" s="32" t="n">
        <f>6417</f>
        <v>6417.0</v>
      </c>
      <c r="V298" s="32" t="n">
        <f>13981290994</f>
        <v>1.3981290994E10</v>
      </c>
      <c r="W298" s="32" t="n">
        <f>2838895994</f>
        <v>2.838895994E9</v>
      </c>
      <c r="X298" s="36" t="n">
        <f>21</f>
        <v>21.0</v>
      </c>
    </row>
    <row r="299">
      <c r="A299" s="27" t="s">
        <v>42</v>
      </c>
      <c r="B299" s="27" t="s">
        <v>945</v>
      </c>
      <c r="C299" s="27" t="s">
        <v>946</v>
      </c>
      <c r="D299" s="27" t="s">
        <v>947</v>
      </c>
      <c r="E299" s="28" t="s">
        <v>46</v>
      </c>
      <c r="F299" s="29" t="s">
        <v>46</v>
      </c>
      <c r="G299" s="30" t="s">
        <v>46</v>
      </c>
      <c r="H299" s="31" t="s">
        <v>121</v>
      </c>
      <c r="I299" s="31" t="s">
        <v>47</v>
      </c>
      <c r="J299" s="32" t="n">
        <v>1.0</v>
      </c>
      <c r="K299" s="33" t="n">
        <f>22700</f>
        <v>22700.0</v>
      </c>
      <c r="L299" s="34" t="s">
        <v>48</v>
      </c>
      <c r="M299" s="33" t="n">
        <f>22750</f>
        <v>22750.0</v>
      </c>
      <c r="N299" s="34" t="s">
        <v>48</v>
      </c>
      <c r="O299" s="33" t="n">
        <f>22650</f>
        <v>22650.0</v>
      </c>
      <c r="P299" s="34" t="s">
        <v>134</v>
      </c>
      <c r="Q299" s="33" t="n">
        <f>22680</f>
        <v>22680.0</v>
      </c>
      <c r="R299" s="34" t="s">
        <v>51</v>
      </c>
      <c r="S299" s="35" t="n">
        <f>22681.9</f>
        <v>22681.9</v>
      </c>
      <c r="T299" s="32" t="n">
        <f>2210872</f>
        <v>2210872.0</v>
      </c>
      <c r="U299" s="32" t="n">
        <f>732630</f>
        <v>732630.0</v>
      </c>
      <c r="V299" s="32" t="n">
        <f>50133546511</f>
        <v>5.0133546511E10</v>
      </c>
      <c r="W299" s="32" t="n">
        <f>16610782241</f>
        <v>1.6610782241E10</v>
      </c>
      <c r="X299" s="36" t="n">
        <f>21</f>
        <v>21.0</v>
      </c>
    </row>
    <row r="300">
      <c r="A300" s="27" t="s">
        <v>42</v>
      </c>
      <c r="B300" s="27" t="s">
        <v>948</v>
      </c>
      <c r="C300" s="27" t="s">
        <v>949</v>
      </c>
      <c r="D300" s="27" t="s">
        <v>950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97200</f>
        <v>97200.0</v>
      </c>
      <c r="L300" s="34" t="s">
        <v>48</v>
      </c>
      <c r="M300" s="33" t="n">
        <f>98700</f>
        <v>98700.0</v>
      </c>
      <c r="N300" s="34" t="s">
        <v>89</v>
      </c>
      <c r="O300" s="33" t="n">
        <f>91100</f>
        <v>91100.0</v>
      </c>
      <c r="P300" s="34" t="s">
        <v>117</v>
      </c>
      <c r="Q300" s="33" t="n">
        <f>94000</f>
        <v>94000.0</v>
      </c>
      <c r="R300" s="34" t="s">
        <v>51</v>
      </c>
      <c r="S300" s="35" t="n">
        <f>95252.38</f>
        <v>95252.38</v>
      </c>
      <c r="T300" s="32" t="n">
        <f>264987</f>
        <v>264987.0</v>
      </c>
      <c r="U300" s="32" t="n">
        <f>72713</f>
        <v>72713.0</v>
      </c>
      <c r="V300" s="32" t="n">
        <f>25199905062</f>
        <v>2.5199905062E10</v>
      </c>
      <c r="W300" s="32" t="n">
        <f>6905947062</f>
        <v>6.905947062E9</v>
      </c>
      <c r="X300" s="36" t="n">
        <f>21</f>
        <v>21.0</v>
      </c>
    </row>
    <row r="301">
      <c r="A301" s="27" t="s">
        <v>42</v>
      </c>
      <c r="B301" s="27" t="s">
        <v>951</v>
      </c>
      <c r="C301" s="27" t="s">
        <v>952</v>
      </c>
      <c r="D301" s="27" t="s">
        <v>953</v>
      </c>
      <c r="E301" s="28" t="s">
        <v>46</v>
      </c>
      <c r="F301" s="29" t="s">
        <v>46</v>
      </c>
      <c r="G301" s="30" t="s">
        <v>46</v>
      </c>
      <c r="H301" s="31"/>
      <c r="I301" s="31" t="s">
        <v>623</v>
      </c>
      <c r="J301" s="32" t="n">
        <v>1.0</v>
      </c>
      <c r="K301" s="33" t="n">
        <f>142900</f>
        <v>142900.0</v>
      </c>
      <c r="L301" s="34" t="s">
        <v>48</v>
      </c>
      <c r="M301" s="33" t="n">
        <f>143200</f>
        <v>143200.0</v>
      </c>
      <c r="N301" s="34" t="s">
        <v>93</v>
      </c>
      <c r="O301" s="33" t="n">
        <f>137100</f>
        <v>137100.0</v>
      </c>
      <c r="P301" s="34" t="s">
        <v>320</v>
      </c>
      <c r="Q301" s="33" t="n">
        <f>140500</f>
        <v>140500.0</v>
      </c>
      <c r="R301" s="34" t="s">
        <v>51</v>
      </c>
      <c r="S301" s="35" t="n">
        <f>140142.86</f>
        <v>140142.86</v>
      </c>
      <c r="T301" s="32" t="n">
        <f>29303</f>
        <v>29303.0</v>
      </c>
      <c r="U301" s="32" t="n">
        <f>3172</f>
        <v>3172.0</v>
      </c>
      <c r="V301" s="32" t="n">
        <f>4109778489</f>
        <v>4.109778489E9</v>
      </c>
      <c r="W301" s="32" t="n">
        <f>445455789</f>
        <v>4.45455789E8</v>
      </c>
      <c r="X301" s="36" t="n">
        <f>21</f>
        <v>21.0</v>
      </c>
    </row>
    <row r="302">
      <c r="A302" s="27" t="s">
        <v>42</v>
      </c>
      <c r="B302" s="27" t="s">
        <v>954</v>
      </c>
      <c r="C302" s="27" t="s">
        <v>955</v>
      </c>
      <c r="D302" s="27" t="s">
        <v>956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304000</f>
        <v>304000.0</v>
      </c>
      <c r="L302" s="34" t="s">
        <v>48</v>
      </c>
      <c r="M302" s="33" t="n">
        <f>306500</f>
        <v>306500.0</v>
      </c>
      <c r="N302" s="34" t="s">
        <v>93</v>
      </c>
      <c r="O302" s="33" t="n">
        <f>289100</f>
        <v>289100.0</v>
      </c>
      <c r="P302" s="34" t="s">
        <v>61</v>
      </c>
      <c r="Q302" s="33" t="n">
        <f>297100</f>
        <v>297100.0</v>
      </c>
      <c r="R302" s="34" t="s">
        <v>51</v>
      </c>
      <c r="S302" s="35" t="n">
        <f>295590.48</f>
        <v>295590.48</v>
      </c>
      <c r="T302" s="32" t="n">
        <f>56961</f>
        <v>56961.0</v>
      </c>
      <c r="U302" s="32" t="n">
        <f>12009</f>
        <v>12009.0</v>
      </c>
      <c r="V302" s="32" t="n">
        <f>16886734023</f>
        <v>1.6886734023E10</v>
      </c>
      <c r="W302" s="32" t="n">
        <f>3555682823</f>
        <v>3.555682823E9</v>
      </c>
      <c r="X302" s="36" t="n">
        <f>21</f>
        <v>21.0</v>
      </c>
    </row>
    <row r="303">
      <c r="A303" s="27" t="s">
        <v>42</v>
      </c>
      <c r="B303" s="27" t="s">
        <v>957</v>
      </c>
      <c r="C303" s="27" t="s">
        <v>958</v>
      </c>
      <c r="D303" s="27" t="s">
        <v>959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1.0</v>
      </c>
      <c r="K303" s="33" t="n">
        <f>152900</f>
        <v>152900.0</v>
      </c>
      <c r="L303" s="34" t="s">
        <v>48</v>
      </c>
      <c r="M303" s="33" t="n">
        <f>155400</f>
        <v>155400.0</v>
      </c>
      <c r="N303" s="34" t="s">
        <v>93</v>
      </c>
      <c r="O303" s="33" t="n">
        <f>144000</f>
        <v>144000.0</v>
      </c>
      <c r="P303" s="34" t="s">
        <v>68</v>
      </c>
      <c r="Q303" s="33" t="n">
        <f>150600</f>
        <v>150600.0</v>
      </c>
      <c r="R303" s="34" t="s">
        <v>51</v>
      </c>
      <c r="S303" s="35" t="n">
        <f>149319.05</f>
        <v>149319.05</v>
      </c>
      <c r="T303" s="32" t="n">
        <f>17498</f>
        <v>17498.0</v>
      </c>
      <c r="U303" s="32" t="n">
        <f>3181</f>
        <v>3181.0</v>
      </c>
      <c r="V303" s="32" t="n">
        <f>2621759030</f>
        <v>2.62175903E9</v>
      </c>
      <c r="W303" s="32" t="n">
        <f>476899630</f>
        <v>4.7689963E8</v>
      </c>
      <c r="X303" s="36" t="n">
        <f>21</f>
        <v>21.0</v>
      </c>
    </row>
    <row r="304">
      <c r="A304" s="27" t="s">
        <v>42</v>
      </c>
      <c r="B304" s="27" t="s">
        <v>960</v>
      </c>
      <c r="C304" s="27" t="s">
        <v>961</v>
      </c>
      <c r="D304" s="27" t="s">
        <v>962</v>
      </c>
      <c r="E304" s="28" t="s">
        <v>46</v>
      </c>
      <c r="F304" s="29" t="s">
        <v>46</v>
      </c>
      <c r="G304" s="30" t="s">
        <v>46</v>
      </c>
      <c r="H304" s="31"/>
      <c r="I304" s="31" t="s">
        <v>623</v>
      </c>
      <c r="J304" s="32" t="n">
        <v>1.0</v>
      </c>
      <c r="K304" s="33" t="n">
        <f>128000</f>
        <v>128000.0</v>
      </c>
      <c r="L304" s="34" t="s">
        <v>48</v>
      </c>
      <c r="M304" s="33" t="n">
        <f>128600</f>
        <v>128600.0</v>
      </c>
      <c r="N304" s="34" t="s">
        <v>48</v>
      </c>
      <c r="O304" s="33" t="n">
        <f>116900</f>
        <v>116900.0</v>
      </c>
      <c r="P304" s="34" t="s">
        <v>117</v>
      </c>
      <c r="Q304" s="33" t="n">
        <f>120700</f>
        <v>120700.0</v>
      </c>
      <c r="R304" s="34" t="s">
        <v>51</v>
      </c>
      <c r="S304" s="35" t="n">
        <f>120133.33</f>
        <v>120133.33</v>
      </c>
      <c r="T304" s="32" t="n">
        <f>69079</f>
        <v>69079.0</v>
      </c>
      <c r="U304" s="32" t="n">
        <f>12846</f>
        <v>12846.0</v>
      </c>
      <c r="V304" s="32" t="n">
        <f>8374282616</f>
        <v>8.374282616E9</v>
      </c>
      <c r="W304" s="32" t="n">
        <f>1569080216</f>
        <v>1.569080216E9</v>
      </c>
      <c r="X304" s="36" t="n">
        <f>21</f>
        <v>21.0</v>
      </c>
    </row>
    <row r="305">
      <c r="A305" s="27" t="s">
        <v>42</v>
      </c>
      <c r="B305" s="27" t="s">
        <v>963</v>
      </c>
      <c r="C305" s="27" t="s">
        <v>964</v>
      </c>
      <c r="D305" s="27" t="s">
        <v>965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176000</f>
        <v>176000.0</v>
      </c>
      <c r="L305" s="34" t="s">
        <v>48</v>
      </c>
      <c r="M305" s="33" t="n">
        <f>176000</f>
        <v>176000.0</v>
      </c>
      <c r="N305" s="34" t="s">
        <v>48</v>
      </c>
      <c r="O305" s="33" t="n">
        <f>166500</f>
        <v>166500.0</v>
      </c>
      <c r="P305" s="34" t="s">
        <v>117</v>
      </c>
      <c r="Q305" s="33" t="n">
        <f>169700</f>
        <v>169700.0</v>
      </c>
      <c r="R305" s="34" t="s">
        <v>51</v>
      </c>
      <c r="S305" s="35" t="n">
        <f>170980.95</f>
        <v>170980.95</v>
      </c>
      <c r="T305" s="32" t="n">
        <f>296500</f>
        <v>296500.0</v>
      </c>
      <c r="U305" s="32" t="n">
        <f>81718</f>
        <v>81718.0</v>
      </c>
      <c r="V305" s="32" t="n">
        <f>50708859283</f>
        <v>5.0708859283E10</v>
      </c>
      <c r="W305" s="32" t="n">
        <f>13966769783</f>
        <v>1.3966769783E10</v>
      </c>
      <c r="X305" s="36" t="n">
        <f>21</f>
        <v>21.0</v>
      </c>
    </row>
    <row r="306">
      <c r="A306" s="27" t="s">
        <v>42</v>
      </c>
      <c r="B306" s="27" t="s">
        <v>966</v>
      </c>
      <c r="C306" s="27" t="s">
        <v>967</v>
      </c>
      <c r="D306" s="27" t="s">
        <v>968</v>
      </c>
      <c r="E306" s="28" t="s">
        <v>46</v>
      </c>
      <c r="F306" s="29" t="s">
        <v>46</v>
      </c>
      <c r="G306" s="30" t="s">
        <v>46</v>
      </c>
      <c r="H306" s="31"/>
      <c r="I306" s="31" t="s">
        <v>623</v>
      </c>
      <c r="J306" s="32" t="n">
        <v>1.0</v>
      </c>
      <c r="K306" s="33" t="n">
        <f>90700</f>
        <v>90700.0</v>
      </c>
      <c r="L306" s="34" t="s">
        <v>48</v>
      </c>
      <c r="M306" s="33" t="n">
        <f>94900</f>
        <v>94900.0</v>
      </c>
      <c r="N306" s="34" t="s">
        <v>51</v>
      </c>
      <c r="O306" s="33" t="n">
        <f>84600</f>
        <v>84600.0</v>
      </c>
      <c r="P306" s="34" t="s">
        <v>68</v>
      </c>
      <c r="Q306" s="33" t="n">
        <f>92000</f>
        <v>92000.0</v>
      </c>
      <c r="R306" s="34" t="s">
        <v>51</v>
      </c>
      <c r="S306" s="35" t="n">
        <f>88114.29</f>
        <v>88114.29</v>
      </c>
      <c r="T306" s="32" t="n">
        <f>27349</f>
        <v>27349.0</v>
      </c>
      <c r="U306" s="32" t="n">
        <f>2804</f>
        <v>2804.0</v>
      </c>
      <c r="V306" s="32" t="n">
        <f>2419450305</f>
        <v>2.419450305E9</v>
      </c>
      <c r="W306" s="32" t="n">
        <f>248389505</f>
        <v>2.48389505E8</v>
      </c>
      <c r="X306" s="36" t="n">
        <f>21</f>
        <v>21.0</v>
      </c>
    </row>
    <row r="307">
      <c r="A307" s="27" t="s">
        <v>42</v>
      </c>
      <c r="B307" s="27" t="s">
        <v>969</v>
      </c>
      <c r="C307" s="27" t="s">
        <v>970</v>
      </c>
      <c r="D307" s="27" t="s">
        <v>971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201000</f>
        <v>201000.0</v>
      </c>
      <c r="L307" s="34" t="s">
        <v>48</v>
      </c>
      <c r="M307" s="33" t="n">
        <f>207800</f>
        <v>207800.0</v>
      </c>
      <c r="N307" s="34" t="s">
        <v>89</v>
      </c>
      <c r="O307" s="33" t="n">
        <f>187500</f>
        <v>187500.0</v>
      </c>
      <c r="P307" s="34" t="s">
        <v>117</v>
      </c>
      <c r="Q307" s="33" t="n">
        <f>192000</f>
        <v>192000.0</v>
      </c>
      <c r="R307" s="34" t="s">
        <v>51</v>
      </c>
      <c r="S307" s="35" t="n">
        <f>196861.9</f>
        <v>196861.9</v>
      </c>
      <c r="T307" s="32" t="n">
        <f>170591</f>
        <v>170591.0</v>
      </c>
      <c r="U307" s="32" t="n">
        <f>31374</f>
        <v>31374.0</v>
      </c>
      <c r="V307" s="32" t="n">
        <f>33483309501</f>
        <v>3.3483309501E10</v>
      </c>
      <c r="W307" s="32" t="n">
        <f>6135923501</f>
        <v>6.135923501E9</v>
      </c>
      <c r="X307" s="36" t="n">
        <f>21</f>
        <v>21.0</v>
      </c>
    </row>
    <row r="308">
      <c r="A308" s="27" t="s">
        <v>42</v>
      </c>
      <c r="B308" s="27" t="s">
        <v>972</v>
      </c>
      <c r="C308" s="27" t="s">
        <v>973</v>
      </c>
      <c r="D308" s="27" t="s">
        <v>974</v>
      </c>
      <c r="E308" s="28" t="s">
        <v>46</v>
      </c>
      <c r="F308" s="29" t="s">
        <v>46</v>
      </c>
      <c r="G308" s="30" t="s">
        <v>46</v>
      </c>
      <c r="H308" s="31"/>
      <c r="I308" s="31" t="s">
        <v>623</v>
      </c>
      <c r="J308" s="32" t="n">
        <v>1.0</v>
      </c>
      <c r="K308" s="33" t="n">
        <f>60500</f>
        <v>60500.0</v>
      </c>
      <c r="L308" s="34" t="s">
        <v>48</v>
      </c>
      <c r="M308" s="33" t="n">
        <f>61400</f>
        <v>61400.0</v>
      </c>
      <c r="N308" s="34" t="s">
        <v>93</v>
      </c>
      <c r="O308" s="33" t="n">
        <f>57100</f>
        <v>57100.0</v>
      </c>
      <c r="P308" s="34" t="s">
        <v>375</v>
      </c>
      <c r="Q308" s="33" t="n">
        <f>59700</f>
        <v>59700.0</v>
      </c>
      <c r="R308" s="34" t="s">
        <v>51</v>
      </c>
      <c r="S308" s="35" t="n">
        <f>59009.52</f>
        <v>59009.52</v>
      </c>
      <c r="T308" s="32" t="n">
        <f>229346</f>
        <v>229346.0</v>
      </c>
      <c r="U308" s="32" t="n">
        <f>51104</f>
        <v>51104.0</v>
      </c>
      <c r="V308" s="32" t="n">
        <f>13465090375</f>
        <v>1.3465090375E10</v>
      </c>
      <c r="W308" s="32" t="n">
        <f>2997661275</f>
        <v>2.997661275E9</v>
      </c>
      <c r="X308" s="36" t="n">
        <f>21</f>
        <v>21.0</v>
      </c>
    </row>
    <row r="309">
      <c r="A309" s="27" t="s">
        <v>42</v>
      </c>
      <c r="B309" s="27" t="s">
        <v>975</v>
      </c>
      <c r="C309" s="27" t="s">
        <v>976</v>
      </c>
      <c r="D309" s="27" t="s">
        <v>977</v>
      </c>
      <c r="E309" s="28" t="s">
        <v>46</v>
      </c>
      <c r="F309" s="29" t="s">
        <v>46</v>
      </c>
      <c r="G309" s="30" t="s">
        <v>46</v>
      </c>
      <c r="H309" s="31"/>
      <c r="I309" s="31" t="s">
        <v>623</v>
      </c>
      <c r="J309" s="32" t="n">
        <v>1.0</v>
      </c>
      <c r="K309" s="33" t="n">
        <f>134000</f>
        <v>134000.0</v>
      </c>
      <c r="L309" s="34" t="s">
        <v>48</v>
      </c>
      <c r="M309" s="33" t="n">
        <f>134000</f>
        <v>134000.0</v>
      </c>
      <c r="N309" s="34" t="s">
        <v>48</v>
      </c>
      <c r="O309" s="33" t="n">
        <f>125000</f>
        <v>125000.0</v>
      </c>
      <c r="P309" s="34" t="s">
        <v>320</v>
      </c>
      <c r="Q309" s="33" t="n">
        <f>129300</f>
        <v>129300.0</v>
      </c>
      <c r="R309" s="34" t="s">
        <v>51</v>
      </c>
      <c r="S309" s="35" t="n">
        <f>129552.38</f>
        <v>129552.38</v>
      </c>
      <c r="T309" s="32" t="n">
        <f>13444</f>
        <v>13444.0</v>
      </c>
      <c r="U309" s="32" t="n">
        <f>1125</f>
        <v>1125.0</v>
      </c>
      <c r="V309" s="32" t="n">
        <f>1737741676</f>
        <v>1.737741676E9</v>
      </c>
      <c r="W309" s="32" t="n">
        <f>145671776</f>
        <v>1.45671776E8</v>
      </c>
      <c r="X309" s="36" t="n">
        <f>21</f>
        <v>21.0</v>
      </c>
    </row>
    <row r="310">
      <c r="A310" s="27" t="s">
        <v>42</v>
      </c>
      <c r="B310" s="27" t="s">
        <v>978</v>
      </c>
      <c r="C310" s="27" t="s">
        <v>979</v>
      </c>
      <c r="D310" s="27" t="s">
        <v>980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617000</f>
        <v>617000.0</v>
      </c>
      <c r="L310" s="34" t="s">
        <v>48</v>
      </c>
      <c r="M310" s="33" t="n">
        <f>656000</f>
        <v>656000.0</v>
      </c>
      <c r="N310" s="34" t="s">
        <v>51</v>
      </c>
      <c r="O310" s="33" t="n">
        <f>605000</f>
        <v>605000.0</v>
      </c>
      <c r="P310" s="34" t="s">
        <v>97</v>
      </c>
      <c r="Q310" s="33" t="n">
        <f>652000</f>
        <v>652000.0</v>
      </c>
      <c r="R310" s="34" t="s">
        <v>51</v>
      </c>
      <c r="S310" s="35" t="n">
        <f>626571.43</f>
        <v>626571.43</v>
      </c>
      <c r="T310" s="32" t="n">
        <f>43535</f>
        <v>43535.0</v>
      </c>
      <c r="U310" s="32" t="n">
        <f>10737</f>
        <v>10737.0</v>
      </c>
      <c r="V310" s="32" t="n">
        <f>27281883132</f>
        <v>2.7281883132E10</v>
      </c>
      <c r="W310" s="32" t="n">
        <f>6706157132</f>
        <v>6.706157132E9</v>
      </c>
      <c r="X310" s="36" t="n">
        <f>21</f>
        <v>21.0</v>
      </c>
    </row>
    <row r="311">
      <c r="A311" s="27" t="s">
        <v>42</v>
      </c>
      <c r="B311" s="27" t="s">
        <v>981</v>
      </c>
      <c r="C311" s="27" t="s">
        <v>982</v>
      </c>
      <c r="D311" s="27" t="s">
        <v>983</v>
      </c>
      <c r="E311" s="28" t="s">
        <v>46</v>
      </c>
      <c r="F311" s="29" t="s">
        <v>46</v>
      </c>
      <c r="G311" s="30" t="s">
        <v>46</v>
      </c>
      <c r="H311" s="31"/>
      <c r="I311" s="31" t="s">
        <v>623</v>
      </c>
      <c r="J311" s="32" t="n">
        <v>1.0</v>
      </c>
      <c r="K311" s="33" t="n">
        <f>85300</f>
        <v>85300.0</v>
      </c>
      <c r="L311" s="34" t="s">
        <v>48</v>
      </c>
      <c r="M311" s="33" t="n">
        <f>85300</f>
        <v>85300.0</v>
      </c>
      <c r="N311" s="34" t="s">
        <v>48</v>
      </c>
      <c r="O311" s="33" t="n">
        <f>77600</f>
        <v>77600.0</v>
      </c>
      <c r="P311" s="34" t="s">
        <v>68</v>
      </c>
      <c r="Q311" s="33" t="n">
        <f>82200</f>
        <v>82200.0</v>
      </c>
      <c r="R311" s="34" t="s">
        <v>51</v>
      </c>
      <c r="S311" s="35" t="n">
        <f>80966.67</f>
        <v>80966.67</v>
      </c>
      <c r="T311" s="32" t="n">
        <f>17535</f>
        <v>17535.0</v>
      </c>
      <c r="U311" s="32" t="n">
        <f>3310</f>
        <v>3310.0</v>
      </c>
      <c r="V311" s="32" t="n">
        <f>1419813833</f>
        <v>1.419813833E9</v>
      </c>
      <c r="W311" s="32" t="n">
        <f>268338333</f>
        <v>2.68338333E8</v>
      </c>
      <c r="X311" s="36" t="n">
        <f>21</f>
        <v>21.0</v>
      </c>
    </row>
    <row r="312">
      <c r="A312" s="27" t="s">
        <v>42</v>
      </c>
      <c r="B312" s="27" t="s">
        <v>984</v>
      </c>
      <c r="C312" s="27" t="s">
        <v>985</v>
      </c>
      <c r="D312" s="27" t="s">
        <v>986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56300</f>
        <v>56300.0</v>
      </c>
      <c r="L312" s="34" t="s">
        <v>48</v>
      </c>
      <c r="M312" s="33" t="n">
        <f>57300</f>
        <v>57300.0</v>
      </c>
      <c r="N312" s="34" t="s">
        <v>51</v>
      </c>
      <c r="O312" s="33" t="n">
        <f>53000</f>
        <v>53000.0</v>
      </c>
      <c r="P312" s="34" t="s">
        <v>179</v>
      </c>
      <c r="Q312" s="33" t="n">
        <f>56100</f>
        <v>56100.0</v>
      </c>
      <c r="R312" s="34" t="s">
        <v>51</v>
      </c>
      <c r="S312" s="35" t="n">
        <f>54790.48</f>
        <v>54790.48</v>
      </c>
      <c r="T312" s="32" t="n">
        <f>143574</f>
        <v>143574.0</v>
      </c>
      <c r="U312" s="32" t="n">
        <f>27930</f>
        <v>27930.0</v>
      </c>
      <c r="V312" s="32" t="n">
        <f>7877565972</f>
        <v>7.877565972E9</v>
      </c>
      <c r="W312" s="32" t="n">
        <f>1536138472</f>
        <v>1.536138472E9</v>
      </c>
      <c r="X312" s="36" t="n">
        <f>21</f>
        <v>21.0</v>
      </c>
    </row>
    <row r="313">
      <c r="A313" s="27" t="s">
        <v>42</v>
      </c>
      <c r="B313" s="27" t="s">
        <v>987</v>
      </c>
      <c r="C313" s="27" t="s">
        <v>988</v>
      </c>
      <c r="D313" s="27" t="s">
        <v>989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136500</f>
        <v>136500.0</v>
      </c>
      <c r="L313" s="34" t="s">
        <v>48</v>
      </c>
      <c r="M313" s="33" t="n">
        <f>138500</f>
        <v>138500.0</v>
      </c>
      <c r="N313" s="34" t="s">
        <v>93</v>
      </c>
      <c r="O313" s="33" t="n">
        <f>125100</f>
        <v>125100.0</v>
      </c>
      <c r="P313" s="34" t="s">
        <v>68</v>
      </c>
      <c r="Q313" s="33" t="n">
        <f>134500</f>
        <v>134500.0</v>
      </c>
      <c r="R313" s="34" t="s">
        <v>51</v>
      </c>
      <c r="S313" s="35" t="n">
        <f>133228.57</f>
        <v>133228.57</v>
      </c>
      <c r="T313" s="32" t="n">
        <f>28561</f>
        <v>28561.0</v>
      </c>
      <c r="U313" s="32" t="n">
        <f>6382</f>
        <v>6382.0</v>
      </c>
      <c r="V313" s="32" t="n">
        <f>3817366204</f>
        <v>3.817366204E9</v>
      </c>
      <c r="W313" s="32" t="n">
        <f>848184204</f>
        <v>8.48184204E8</v>
      </c>
      <c r="X313" s="36" t="n">
        <f>21</f>
        <v>21.0</v>
      </c>
    </row>
    <row r="314">
      <c r="A314" s="27" t="s">
        <v>42</v>
      </c>
      <c r="B314" s="27" t="s">
        <v>990</v>
      </c>
      <c r="C314" s="27" t="s">
        <v>991</v>
      </c>
      <c r="D314" s="27" t="s">
        <v>992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503000</f>
        <v>503000.0</v>
      </c>
      <c r="L314" s="34" t="s">
        <v>48</v>
      </c>
      <c r="M314" s="33" t="n">
        <f>525000</f>
        <v>525000.0</v>
      </c>
      <c r="N314" s="34" t="s">
        <v>72</v>
      </c>
      <c r="O314" s="33" t="n">
        <f>496500</f>
        <v>496500.0</v>
      </c>
      <c r="P314" s="34" t="s">
        <v>97</v>
      </c>
      <c r="Q314" s="33" t="n">
        <f>519000</f>
        <v>519000.0</v>
      </c>
      <c r="R314" s="34" t="s">
        <v>51</v>
      </c>
      <c r="S314" s="35" t="n">
        <f>509047.62</f>
        <v>509047.62</v>
      </c>
      <c r="T314" s="32" t="n">
        <f>27152</f>
        <v>27152.0</v>
      </c>
      <c r="U314" s="32" t="n">
        <f>6629</f>
        <v>6629.0</v>
      </c>
      <c r="V314" s="32" t="n">
        <f>13843337147</f>
        <v>1.3843337147E10</v>
      </c>
      <c r="W314" s="32" t="n">
        <f>3375387147</f>
        <v>3.375387147E9</v>
      </c>
      <c r="X314" s="36" t="n">
        <f>21</f>
        <v>21.0</v>
      </c>
    </row>
    <row r="315">
      <c r="A315" s="27" t="s">
        <v>42</v>
      </c>
      <c r="B315" s="27" t="s">
        <v>993</v>
      </c>
      <c r="C315" s="27" t="s">
        <v>994</v>
      </c>
      <c r="D315" s="27" t="s">
        <v>995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207800</f>
        <v>207800.0</v>
      </c>
      <c r="L315" s="34" t="s">
        <v>48</v>
      </c>
      <c r="M315" s="33" t="n">
        <f>231000</f>
        <v>231000.0</v>
      </c>
      <c r="N315" s="34" t="s">
        <v>51</v>
      </c>
      <c r="O315" s="33" t="n">
        <f>207000</f>
        <v>207000.0</v>
      </c>
      <c r="P315" s="34" t="s">
        <v>97</v>
      </c>
      <c r="Q315" s="33" t="n">
        <f>227600</f>
        <v>227600.0</v>
      </c>
      <c r="R315" s="34" t="s">
        <v>51</v>
      </c>
      <c r="S315" s="35" t="n">
        <f>215614.29</f>
        <v>215614.29</v>
      </c>
      <c r="T315" s="32" t="n">
        <f>67234</f>
        <v>67234.0</v>
      </c>
      <c r="U315" s="32" t="n">
        <f>10612</f>
        <v>10612.0</v>
      </c>
      <c r="V315" s="32" t="n">
        <f>14559676211</f>
        <v>1.4559676211E10</v>
      </c>
      <c r="W315" s="32" t="n">
        <f>2296365011</f>
        <v>2.296365011E9</v>
      </c>
      <c r="X315" s="36" t="n">
        <f>21</f>
        <v>21.0</v>
      </c>
    </row>
    <row r="316">
      <c r="A316" s="27" t="s">
        <v>42</v>
      </c>
      <c r="B316" s="27" t="s">
        <v>996</v>
      </c>
      <c r="C316" s="27" t="s">
        <v>997</v>
      </c>
      <c r="D316" s="27" t="s">
        <v>998</v>
      </c>
      <c r="E316" s="28" t="s">
        <v>46</v>
      </c>
      <c r="F316" s="29" t="s">
        <v>46</v>
      </c>
      <c r="G316" s="30" t="s">
        <v>46</v>
      </c>
      <c r="H316" s="31"/>
      <c r="I316" s="31" t="s">
        <v>623</v>
      </c>
      <c r="J316" s="32" t="n">
        <v>1.0</v>
      </c>
      <c r="K316" s="33" t="n">
        <f>125500</f>
        <v>125500.0</v>
      </c>
      <c r="L316" s="34" t="s">
        <v>48</v>
      </c>
      <c r="M316" s="33" t="n">
        <f>126700</f>
        <v>126700.0</v>
      </c>
      <c r="N316" s="34" t="s">
        <v>48</v>
      </c>
      <c r="O316" s="33" t="n">
        <f>115700</f>
        <v>115700.0</v>
      </c>
      <c r="P316" s="34" t="s">
        <v>93</v>
      </c>
      <c r="Q316" s="33" t="n">
        <f>116100</f>
        <v>116100.0</v>
      </c>
      <c r="R316" s="34" t="s">
        <v>51</v>
      </c>
      <c r="S316" s="35" t="n">
        <f>121619.05</f>
        <v>121619.05</v>
      </c>
      <c r="T316" s="32" t="n">
        <f>31310</f>
        <v>31310.0</v>
      </c>
      <c r="U316" s="32" t="n">
        <f>4787</f>
        <v>4787.0</v>
      </c>
      <c r="V316" s="32" t="n">
        <f>3789155393</f>
        <v>3.789155393E9</v>
      </c>
      <c r="W316" s="32" t="n">
        <f>583557093</f>
        <v>5.83557093E8</v>
      </c>
      <c r="X316" s="36" t="n">
        <f>21</f>
        <v>21.0</v>
      </c>
    </row>
    <row r="317">
      <c r="A317" s="27" t="s">
        <v>42</v>
      </c>
      <c r="B317" s="27" t="s">
        <v>999</v>
      </c>
      <c r="C317" s="27" t="s">
        <v>1000</v>
      </c>
      <c r="D317" s="27" t="s">
        <v>1001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130500</f>
        <v>130500.0</v>
      </c>
      <c r="L317" s="34" t="s">
        <v>48</v>
      </c>
      <c r="M317" s="33" t="n">
        <f>130800</f>
        <v>130800.0</v>
      </c>
      <c r="N317" s="34" t="s">
        <v>89</v>
      </c>
      <c r="O317" s="33" t="n">
        <f>112200</f>
        <v>112200.0</v>
      </c>
      <c r="P317" s="34" t="s">
        <v>51</v>
      </c>
      <c r="Q317" s="33" t="n">
        <f>112700</f>
        <v>112700.0</v>
      </c>
      <c r="R317" s="34" t="s">
        <v>51</v>
      </c>
      <c r="S317" s="35" t="n">
        <f>123009.52</f>
        <v>123009.52</v>
      </c>
      <c r="T317" s="32" t="n">
        <f>139388</f>
        <v>139388.0</v>
      </c>
      <c r="U317" s="32" t="n">
        <f>9916</f>
        <v>9916.0</v>
      </c>
      <c r="V317" s="32" t="n">
        <f>16619423037</f>
        <v>1.6619423037E10</v>
      </c>
      <c r="W317" s="32" t="n">
        <f>1172254337</f>
        <v>1.172254337E9</v>
      </c>
      <c r="X317" s="36" t="n">
        <f>21</f>
        <v>21.0</v>
      </c>
    </row>
    <row r="318">
      <c r="A318" s="27" t="s">
        <v>42</v>
      </c>
      <c r="B318" s="27" t="s">
        <v>1002</v>
      </c>
      <c r="C318" s="27" t="s">
        <v>1003</v>
      </c>
      <c r="D318" s="27" t="s">
        <v>1004</v>
      </c>
      <c r="E318" s="28" t="s">
        <v>46</v>
      </c>
      <c r="F318" s="29" t="s">
        <v>46</v>
      </c>
      <c r="G318" s="30" t="s">
        <v>46</v>
      </c>
      <c r="H318" s="31"/>
      <c r="I318" s="31" t="s">
        <v>623</v>
      </c>
      <c r="J318" s="32" t="n">
        <v>1.0</v>
      </c>
      <c r="K318" s="33" t="n">
        <f>160000</f>
        <v>160000.0</v>
      </c>
      <c r="L318" s="34" t="s">
        <v>48</v>
      </c>
      <c r="M318" s="33" t="n">
        <f>171000</f>
        <v>171000.0</v>
      </c>
      <c r="N318" s="34" t="s">
        <v>51</v>
      </c>
      <c r="O318" s="33" t="n">
        <f>154500</f>
        <v>154500.0</v>
      </c>
      <c r="P318" s="34" t="s">
        <v>48</v>
      </c>
      <c r="Q318" s="33" t="n">
        <f>169300</f>
        <v>169300.0</v>
      </c>
      <c r="R318" s="34" t="s">
        <v>51</v>
      </c>
      <c r="S318" s="35" t="n">
        <f>161090.48</f>
        <v>161090.48</v>
      </c>
      <c r="T318" s="32" t="n">
        <f>56397</f>
        <v>56397.0</v>
      </c>
      <c r="U318" s="32" t="n">
        <f>14251</f>
        <v>14251.0</v>
      </c>
      <c r="V318" s="32" t="n">
        <f>9109273910</f>
        <v>9.10927391E9</v>
      </c>
      <c r="W318" s="32" t="n">
        <f>2299814310</f>
        <v>2.29981431E9</v>
      </c>
      <c r="X318" s="36" t="n">
        <f>21</f>
        <v>21.0</v>
      </c>
    </row>
    <row r="319">
      <c r="A319" s="27" t="s">
        <v>42</v>
      </c>
      <c r="B319" s="27" t="s">
        <v>1005</v>
      </c>
      <c r="C319" s="27" t="s">
        <v>1006</v>
      </c>
      <c r="D319" s="27" t="s">
        <v>1007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711000</f>
        <v>711000.0</v>
      </c>
      <c r="L319" s="34" t="s">
        <v>48</v>
      </c>
      <c r="M319" s="33" t="n">
        <f>746000</f>
        <v>746000.0</v>
      </c>
      <c r="N319" s="34" t="s">
        <v>134</v>
      </c>
      <c r="O319" s="33" t="n">
        <f>692000</f>
        <v>692000.0</v>
      </c>
      <c r="P319" s="34" t="s">
        <v>117</v>
      </c>
      <c r="Q319" s="33" t="n">
        <f>715000</f>
        <v>715000.0</v>
      </c>
      <c r="R319" s="34" t="s">
        <v>51</v>
      </c>
      <c r="S319" s="35" t="n">
        <f>719428.57</f>
        <v>719428.57</v>
      </c>
      <c r="T319" s="32" t="n">
        <f>150802</f>
        <v>150802.0</v>
      </c>
      <c r="U319" s="32" t="n">
        <f>40655</f>
        <v>40655.0</v>
      </c>
      <c r="V319" s="32" t="n">
        <f>108536292546</f>
        <v>1.08536292546E11</v>
      </c>
      <c r="W319" s="32" t="n">
        <f>29292629546</f>
        <v>2.9292629546E10</v>
      </c>
      <c r="X319" s="36" t="n">
        <f>21</f>
        <v>21.0</v>
      </c>
    </row>
    <row r="320">
      <c r="A320" s="27" t="s">
        <v>42</v>
      </c>
      <c r="B320" s="27" t="s">
        <v>1008</v>
      </c>
      <c r="C320" s="27" t="s">
        <v>1009</v>
      </c>
      <c r="D320" s="27" t="s">
        <v>1010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689000</f>
        <v>689000.0</v>
      </c>
      <c r="L320" s="34" t="s">
        <v>48</v>
      </c>
      <c r="M320" s="33" t="n">
        <f>702000</f>
        <v>702000.0</v>
      </c>
      <c r="N320" s="34" t="s">
        <v>89</v>
      </c>
      <c r="O320" s="33" t="n">
        <f>655000</f>
        <v>655000.0</v>
      </c>
      <c r="P320" s="34" t="s">
        <v>117</v>
      </c>
      <c r="Q320" s="33" t="n">
        <f>681000</f>
        <v>681000.0</v>
      </c>
      <c r="R320" s="34" t="s">
        <v>51</v>
      </c>
      <c r="S320" s="35" t="n">
        <f>679714.29</f>
        <v>679714.29</v>
      </c>
      <c r="T320" s="32" t="n">
        <f>97080</f>
        <v>97080.0</v>
      </c>
      <c r="U320" s="32" t="n">
        <f>22751</f>
        <v>22751.0</v>
      </c>
      <c r="V320" s="32" t="n">
        <f>65913329753</f>
        <v>6.5913329753E10</v>
      </c>
      <c r="W320" s="32" t="n">
        <f>15408861753</f>
        <v>1.5408861753E10</v>
      </c>
      <c r="X320" s="36" t="n">
        <f>21</f>
        <v>21.0</v>
      </c>
    </row>
    <row r="321">
      <c r="A321" s="27" t="s">
        <v>42</v>
      </c>
      <c r="B321" s="27" t="s">
        <v>1011</v>
      </c>
      <c r="C321" s="27" t="s">
        <v>1012</v>
      </c>
      <c r="D321" s="27" t="s">
        <v>1013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1.0</v>
      </c>
      <c r="K321" s="33" t="n">
        <f>115500</f>
        <v>115500.0</v>
      </c>
      <c r="L321" s="34" t="s">
        <v>48</v>
      </c>
      <c r="M321" s="33" t="n">
        <f>115500</f>
        <v>115500.0</v>
      </c>
      <c r="N321" s="34" t="s">
        <v>48</v>
      </c>
      <c r="O321" s="33" t="n">
        <f>105500</f>
        <v>105500.0</v>
      </c>
      <c r="P321" s="34" t="s">
        <v>68</v>
      </c>
      <c r="Q321" s="33" t="n">
        <f>106900</f>
        <v>106900.0</v>
      </c>
      <c r="R321" s="34" t="s">
        <v>51</v>
      </c>
      <c r="S321" s="35" t="n">
        <f>109423.81</f>
        <v>109423.81</v>
      </c>
      <c r="T321" s="32" t="n">
        <f>559894</f>
        <v>559894.0</v>
      </c>
      <c r="U321" s="32" t="n">
        <f>146287</f>
        <v>146287.0</v>
      </c>
      <c r="V321" s="32" t="n">
        <f>61494633253</f>
        <v>6.1494633253E10</v>
      </c>
      <c r="W321" s="32" t="n">
        <f>16124749953</f>
        <v>1.6124749953E10</v>
      </c>
      <c r="X321" s="36" t="n">
        <f>21</f>
        <v>21.0</v>
      </c>
    </row>
    <row r="322">
      <c r="A322" s="27" t="s">
        <v>42</v>
      </c>
      <c r="B322" s="27" t="s">
        <v>1014</v>
      </c>
      <c r="C322" s="27" t="s">
        <v>1015</v>
      </c>
      <c r="D322" s="27" t="s">
        <v>1016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1.0</v>
      </c>
      <c r="K322" s="33" t="n">
        <f>209300</f>
        <v>209300.0</v>
      </c>
      <c r="L322" s="34" t="s">
        <v>48</v>
      </c>
      <c r="M322" s="33" t="n">
        <f>209700</f>
        <v>209700.0</v>
      </c>
      <c r="N322" s="34" t="s">
        <v>48</v>
      </c>
      <c r="O322" s="33" t="n">
        <f>196100</f>
        <v>196100.0</v>
      </c>
      <c r="P322" s="34" t="s">
        <v>51</v>
      </c>
      <c r="Q322" s="33" t="n">
        <f>196100</f>
        <v>196100.0</v>
      </c>
      <c r="R322" s="34" t="s">
        <v>51</v>
      </c>
      <c r="S322" s="35" t="n">
        <f>202461.9</f>
        <v>202461.9</v>
      </c>
      <c r="T322" s="32" t="n">
        <f>204247</f>
        <v>204247.0</v>
      </c>
      <c r="U322" s="32" t="n">
        <f>52351</f>
        <v>52351.0</v>
      </c>
      <c r="V322" s="32" t="n">
        <f>41347860759</f>
        <v>4.1347860759E10</v>
      </c>
      <c r="W322" s="32" t="n">
        <f>10604600459</f>
        <v>1.0604600459E10</v>
      </c>
      <c r="X322" s="36" t="n">
        <f>21</f>
        <v>21.0</v>
      </c>
    </row>
    <row r="323">
      <c r="A323" s="27" t="s">
        <v>42</v>
      </c>
      <c r="B323" s="27" t="s">
        <v>1017</v>
      </c>
      <c r="C323" s="27" t="s">
        <v>1018</v>
      </c>
      <c r="D323" s="27" t="s">
        <v>1019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1.0</v>
      </c>
      <c r="K323" s="33" t="n">
        <f>431000</f>
        <v>431000.0</v>
      </c>
      <c r="L323" s="34" t="s">
        <v>48</v>
      </c>
      <c r="M323" s="33" t="n">
        <f>433000</f>
        <v>433000.0</v>
      </c>
      <c r="N323" s="34" t="s">
        <v>97</v>
      </c>
      <c r="O323" s="33" t="n">
        <f>398500</f>
        <v>398500.0</v>
      </c>
      <c r="P323" s="34" t="s">
        <v>320</v>
      </c>
      <c r="Q323" s="33" t="n">
        <f>411500</f>
        <v>411500.0</v>
      </c>
      <c r="R323" s="34" t="s">
        <v>51</v>
      </c>
      <c r="S323" s="35" t="n">
        <f>415976.19</f>
        <v>415976.19</v>
      </c>
      <c r="T323" s="32" t="n">
        <f>70808</f>
        <v>70808.0</v>
      </c>
      <c r="U323" s="32" t="n">
        <f>17805</f>
        <v>17805.0</v>
      </c>
      <c r="V323" s="32" t="n">
        <f>29532451057</f>
        <v>2.9532451057E10</v>
      </c>
      <c r="W323" s="32" t="n">
        <f>7451013557</f>
        <v>7.451013557E9</v>
      </c>
      <c r="X323" s="36" t="n">
        <f>21</f>
        <v>21.0</v>
      </c>
    </row>
    <row r="324">
      <c r="A324" s="27" t="s">
        <v>42</v>
      </c>
      <c r="B324" s="27" t="s">
        <v>1020</v>
      </c>
      <c r="C324" s="27" t="s">
        <v>1021</v>
      </c>
      <c r="D324" s="27" t="s">
        <v>1022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159800</f>
        <v>159800.0</v>
      </c>
      <c r="L324" s="34" t="s">
        <v>48</v>
      </c>
      <c r="M324" s="33" t="n">
        <f>161900</f>
        <v>161900.0</v>
      </c>
      <c r="N324" s="34" t="s">
        <v>93</v>
      </c>
      <c r="O324" s="33" t="n">
        <f>152100</f>
        <v>152100.0</v>
      </c>
      <c r="P324" s="34" t="s">
        <v>68</v>
      </c>
      <c r="Q324" s="33" t="n">
        <f>159300</f>
        <v>159300.0</v>
      </c>
      <c r="R324" s="34" t="s">
        <v>51</v>
      </c>
      <c r="S324" s="35" t="n">
        <f>156209.52</f>
        <v>156209.52</v>
      </c>
      <c r="T324" s="32" t="n">
        <f>77936</f>
        <v>77936.0</v>
      </c>
      <c r="U324" s="32" t="n">
        <f>15292</f>
        <v>15292.0</v>
      </c>
      <c r="V324" s="32" t="n">
        <f>12198682795</f>
        <v>1.2198682795E10</v>
      </c>
      <c r="W324" s="32" t="n">
        <f>2396455795</f>
        <v>2.396455795E9</v>
      </c>
      <c r="X324" s="36" t="n">
        <f>21</f>
        <v>21.0</v>
      </c>
    </row>
    <row r="325">
      <c r="A325" s="27" t="s">
        <v>42</v>
      </c>
      <c r="B325" s="27" t="s">
        <v>1023</v>
      </c>
      <c r="C325" s="27" t="s">
        <v>1024</v>
      </c>
      <c r="D325" s="27" t="s">
        <v>1025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204700</f>
        <v>204700.0</v>
      </c>
      <c r="L325" s="34" t="s">
        <v>48</v>
      </c>
      <c r="M325" s="33" t="n">
        <f>204700</f>
        <v>204700.0</v>
      </c>
      <c r="N325" s="34" t="s">
        <v>48</v>
      </c>
      <c r="O325" s="33" t="n">
        <f>187800</f>
        <v>187800.0</v>
      </c>
      <c r="P325" s="34" t="s">
        <v>180</v>
      </c>
      <c r="Q325" s="33" t="n">
        <f>193900</f>
        <v>193900.0</v>
      </c>
      <c r="R325" s="34" t="s">
        <v>51</v>
      </c>
      <c r="S325" s="35" t="n">
        <f>194885.71</f>
        <v>194885.71</v>
      </c>
      <c r="T325" s="32" t="n">
        <f>73263</f>
        <v>73263.0</v>
      </c>
      <c r="U325" s="32" t="n">
        <f>15917</f>
        <v>15917.0</v>
      </c>
      <c r="V325" s="32" t="n">
        <f>14271709561</f>
        <v>1.4271709561E10</v>
      </c>
      <c r="W325" s="32" t="n">
        <f>3102141561</f>
        <v>3.102141561E9</v>
      </c>
      <c r="X325" s="36" t="n">
        <f>21</f>
        <v>21.0</v>
      </c>
    </row>
    <row r="326">
      <c r="A326" s="27" t="s">
        <v>42</v>
      </c>
      <c r="B326" s="27" t="s">
        <v>1026</v>
      </c>
      <c r="C326" s="27" t="s">
        <v>1027</v>
      </c>
      <c r="D326" s="27" t="s">
        <v>1028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127000</f>
        <v>127000.0</v>
      </c>
      <c r="L326" s="34" t="s">
        <v>48</v>
      </c>
      <c r="M326" s="33" t="n">
        <f>128800</f>
        <v>128800.0</v>
      </c>
      <c r="N326" s="34" t="s">
        <v>93</v>
      </c>
      <c r="O326" s="33" t="n">
        <f>120900</f>
        <v>120900.0</v>
      </c>
      <c r="P326" s="34" t="s">
        <v>117</v>
      </c>
      <c r="Q326" s="33" t="n">
        <f>125700</f>
        <v>125700.0</v>
      </c>
      <c r="R326" s="34" t="s">
        <v>51</v>
      </c>
      <c r="S326" s="35" t="n">
        <f>124480.95</f>
        <v>124480.95</v>
      </c>
      <c r="T326" s="32" t="n">
        <f>63808</f>
        <v>63808.0</v>
      </c>
      <c r="U326" s="32" t="n">
        <f>15159</f>
        <v>15159.0</v>
      </c>
      <c r="V326" s="32" t="n">
        <f>7954706354</f>
        <v>7.954706354E9</v>
      </c>
      <c r="W326" s="32" t="n">
        <f>1887705954</f>
        <v>1.887705954E9</v>
      </c>
      <c r="X326" s="36" t="n">
        <f>21</f>
        <v>21.0</v>
      </c>
    </row>
    <row r="327">
      <c r="A327" s="27" t="s">
        <v>42</v>
      </c>
      <c r="B327" s="27" t="s">
        <v>1029</v>
      </c>
      <c r="C327" s="27" t="s">
        <v>1030</v>
      </c>
      <c r="D327" s="27" t="s">
        <v>1031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161100</f>
        <v>161100.0</v>
      </c>
      <c r="L327" s="34" t="s">
        <v>48</v>
      </c>
      <c r="M327" s="33" t="n">
        <f>164700</f>
        <v>164700.0</v>
      </c>
      <c r="N327" s="34" t="s">
        <v>101</v>
      </c>
      <c r="O327" s="33" t="n">
        <f>153400</f>
        <v>153400.0</v>
      </c>
      <c r="P327" s="34" t="s">
        <v>68</v>
      </c>
      <c r="Q327" s="33" t="n">
        <f>155600</f>
        <v>155600.0</v>
      </c>
      <c r="R327" s="34" t="s">
        <v>51</v>
      </c>
      <c r="S327" s="35" t="n">
        <f>159338.1</f>
        <v>159338.1</v>
      </c>
      <c r="T327" s="32" t="n">
        <f>237394</f>
        <v>237394.0</v>
      </c>
      <c r="U327" s="32" t="n">
        <f>53970</f>
        <v>53970.0</v>
      </c>
      <c r="V327" s="32" t="n">
        <f>37842257442</f>
        <v>3.7842257442E10</v>
      </c>
      <c r="W327" s="32" t="n">
        <f>8587222742</f>
        <v>8.587222742E9</v>
      </c>
      <c r="X327" s="36" t="n">
        <f>21</f>
        <v>21.0</v>
      </c>
    </row>
    <row r="328">
      <c r="A328" s="27" t="s">
        <v>42</v>
      </c>
      <c r="B328" s="27" t="s">
        <v>1032</v>
      </c>
      <c r="C328" s="27" t="s">
        <v>1033</v>
      </c>
      <c r="D328" s="27" t="s">
        <v>1034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158600</f>
        <v>158600.0</v>
      </c>
      <c r="L328" s="34" t="s">
        <v>48</v>
      </c>
      <c r="M328" s="33" t="n">
        <f>158800</f>
        <v>158800.0</v>
      </c>
      <c r="N328" s="34" t="s">
        <v>48</v>
      </c>
      <c r="O328" s="33" t="n">
        <f>149600</f>
        <v>149600.0</v>
      </c>
      <c r="P328" s="34" t="s">
        <v>320</v>
      </c>
      <c r="Q328" s="33" t="n">
        <f>153200</f>
        <v>153200.0</v>
      </c>
      <c r="R328" s="34" t="s">
        <v>51</v>
      </c>
      <c r="S328" s="35" t="n">
        <f>153847.62</f>
        <v>153847.62</v>
      </c>
      <c r="T328" s="32" t="n">
        <f>62724</f>
        <v>62724.0</v>
      </c>
      <c r="U328" s="32" t="n">
        <f>11066</f>
        <v>11066.0</v>
      </c>
      <c r="V328" s="32" t="n">
        <f>9668411265</f>
        <v>9.668411265E9</v>
      </c>
      <c r="W328" s="32" t="n">
        <f>1706754465</f>
        <v>1.706754465E9</v>
      </c>
      <c r="X328" s="36" t="n">
        <f>21</f>
        <v>21.0</v>
      </c>
    </row>
    <row r="329">
      <c r="A329" s="27" t="s">
        <v>42</v>
      </c>
      <c r="B329" s="27" t="s">
        <v>1035</v>
      </c>
      <c r="C329" s="27" t="s">
        <v>1036</v>
      </c>
      <c r="D329" s="27" t="s">
        <v>1037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43050</f>
        <v>43050.0</v>
      </c>
      <c r="L329" s="34" t="s">
        <v>48</v>
      </c>
      <c r="M329" s="33" t="n">
        <f>44800</f>
        <v>44800.0</v>
      </c>
      <c r="N329" s="34" t="s">
        <v>93</v>
      </c>
      <c r="O329" s="33" t="n">
        <f>38550</f>
        <v>38550.0</v>
      </c>
      <c r="P329" s="34" t="s">
        <v>375</v>
      </c>
      <c r="Q329" s="33" t="n">
        <f>42750</f>
        <v>42750.0</v>
      </c>
      <c r="R329" s="34" t="s">
        <v>51</v>
      </c>
      <c r="S329" s="35" t="n">
        <f>40830.95</f>
        <v>40830.95</v>
      </c>
      <c r="T329" s="32" t="n">
        <f>970614</f>
        <v>970614.0</v>
      </c>
      <c r="U329" s="32" t="n">
        <f>219782</f>
        <v>219782.0</v>
      </c>
      <c r="V329" s="32" t="n">
        <f>39784724948</f>
        <v>3.9784724948E10</v>
      </c>
      <c r="W329" s="32" t="n">
        <f>9025163598</f>
        <v>9.025163598E9</v>
      </c>
      <c r="X329" s="36" t="n">
        <f>21</f>
        <v>21.0</v>
      </c>
    </row>
    <row r="330">
      <c r="A330" s="27" t="s">
        <v>42</v>
      </c>
      <c r="B330" s="27" t="s">
        <v>1038</v>
      </c>
      <c r="C330" s="27" t="s">
        <v>1039</v>
      </c>
      <c r="D330" s="27" t="s">
        <v>1040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507000</f>
        <v>507000.0</v>
      </c>
      <c r="L330" s="34" t="s">
        <v>48</v>
      </c>
      <c r="M330" s="33" t="n">
        <f>512000</f>
        <v>512000.0</v>
      </c>
      <c r="N330" s="34" t="s">
        <v>89</v>
      </c>
      <c r="O330" s="33" t="n">
        <f>467500</f>
        <v>467500.0</v>
      </c>
      <c r="P330" s="34" t="s">
        <v>117</v>
      </c>
      <c r="Q330" s="33" t="n">
        <f>476500</f>
        <v>476500.0</v>
      </c>
      <c r="R330" s="34" t="s">
        <v>51</v>
      </c>
      <c r="S330" s="35" t="n">
        <f>487095.24</f>
        <v>487095.24</v>
      </c>
      <c r="T330" s="32" t="n">
        <f>38596</f>
        <v>38596.0</v>
      </c>
      <c r="U330" s="32" t="n">
        <f>8773</f>
        <v>8773.0</v>
      </c>
      <c r="V330" s="32" t="n">
        <f>18706063866</f>
        <v>1.8706063866E10</v>
      </c>
      <c r="W330" s="32" t="n">
        <f>4246219366</f>
        <v>4.246219366E9</v>
      </c>
      <c r="X330" s="36" t="n">
        <f>21</f>
        <v>21.0</v>
      </c>
    </row>
    <row r="331">
      <c r="A331" s="27" t="s">
        <v>42</v>
      </c>
      <c r="B331" s="27" t="s">
        <v>1041</v>
      </c>
      <c r="C331" s="27" t="s">
        <v>1042</v>
      </c>
      <c r="D331" s="27" t="s">
        <v>1043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174300</f>
        <v>174300.0</v>
      </c>
      <c r="L331" s="34" t="s">
        <v>48</v>
      </c>
      <c r="M331" s="33" t="n">
        <f>174500</f>
        <v>174500.0</v>
      </c>
      <c r="N331" s="34" t="s">
        <v>48</v>
      </c>
      <c r="O331" s="33" t="n">
        <f>163800</f>
        <v>163800.0</v>
      </c>
      <c r="P331" s="34" t="s">
        <v>320</v>
      </c>
      <c r="Q331" s="33" t="n">
        <f>170500</f>
        <v>170500.0</v>
      </c>
      <c r="R331" s="34" t="s">
        <v>51</v>
      </c>
      <c r="S331" s="35" t="n">
        <f>168809.52</f>
        <v>168809.52</v>
      </c>
      <c r="T331" s="32" t="n">
        <f>63438</f>
        <v>63438.0</v>
      </c>
      <c r="U331" s="32" t="n">
        <f>12561</f>
        <v>12561.0</v>
      </c>
      <c r="V331" s="32" t="n">
        <f>10740183842</f>
        <v>1.0740183842E10</v>
      </c>
      <c r="W331" s="32" t="n">
        <f>2128851942</f>
        <v>2.128851942E9</v>
      </c>
      <c r="X331" s="36" t="n">
        <f>21</f>
        <v>21.0</v>
      </c>
    </row>
    <row r="332">
      <c r="A332" s="27" t="s">
        <v>42</v>
      </c>
      <c r="B332" s="27" t="s">
        <v>1044</v>
      </c>
      <c r="C332" s="27" t="s">
        <v>1045</v>
      </c>
      <c r="D332" s="27" t="s">
        <v>1046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332000</f>
        <v>332000.0</v>
      </c>
      <c r="L332" s="34" t="s">
        <v>48</v>
      </c>
      <c r="M332" s="33" t="n">
        <f>356500</f>
        <v>356500.0</v>
      </c>
      <c r="N332" s="34" t="s">
        <v>51</v>
      </c>
      <c r="O332" s="33" t="n">
        <f>332000</f>
        <v>332000.0</v>
      </c>
      <c r="P332" s="34" t="s">
        <v>48</v>
      </c>
      <c r="Q332" s="33" t="n">
        <f>353000</f>
        <v>353000.0</v>
      </c>
      <c r="R332" s="34" t="s">
        <v>51</v>
      </c>
      <c r="S332" s="35" t="n">
        <f>341666.67</f>
        <v>341666.67</v>
      </c>
      <c r="T332" s="32" t="n">
        <f>48297</f>
        <v>48297.0</v>
      </c>
      <c r="U332" s="32" t="n">
        <f>11096</f>
        <v>11096.0</v>
      </c>
      <c r="V332" s="32" t="n">
        <f>16523964883</f>
        <v>1.6523964883E10</v>
      </c>
      <c r="W332" s="32" t="n">
        <f>3801242383</f>
        <v>3.801242383E9</v>
      </c>
      <c r="X332" s="36" t="n">
        <f>21</f>
        <v>21.0</v>
      </c>
    </row>
    <row r="333">
      <c r="A333" s="27" t="s">
        <v>42</v>
      </c>
      <c r="B333" s="27" t="s">
        <v>1047</v>
      </c>
      <c r="C333" s="27" t="s">
        <v>1048</v>
      </c>
      <c r="D333" s="27" t="s">
        <v>1049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184300</f>
        <v>184300.0</v>
      </c>
      <c r="L333" s="34" t="s">
        <v>48</v>
      </c>
      <c r="M333" s="33" t="n">
        <f>185900</f>
        <v>185900.0</v>
      </c>
      <c r="N333" s="34" t="s">
        <v>89</v>
      </c>
      <c r="O333" s="33" t="n">
        <f>175400</f>
        <v>175400.0</v>
      </c>
      <c r="P333" s="34" t="s">
        <v>51</v>
      </c>
      <c r="Q333" s="33" t="n">
        <f>175500</f>
        <v>175500.0</v>
      </c>
      <c r="R333" s="34" t="s">
        <v>51</v>
      </c>
      <c r="S333" s="35" t="n">
        <f>180376.19</f>
        <v>180376.19</v>
      </c>
      <c r="T333" s="32" t="n">
        <f>61908</f>
        <v>61908.0</v>
      </c>
      <c r="U333" s="32" t="n">
        <f>22263</f>
        <v>22263.0</v>
      </c>
      <c r="V333" s="32" t="n">
        <f>11219269516</f>
        <v>1.1219269516E10</v>
      </c>
      <c r="W333" s="32" t="n">
        <f>4066155116</f>
        <v>4.066155116E9</v>
      </c>
      <c r="X333" s="36" t="n">
        <f>21</f>
        <v>21.0</v>
      </c>
    </row>
    <row r="334">
      <c r="A334" s="27" t="s">
        <v>42</v>
      </c>
      <c r="B334" s="27" t="s">
        <v>1050</v>
      </c>
      <c r="C334" s="27" t="s">
        <v>1051</v>
      </c>
      <c r="D334" s="27" t="s">
        <v>1052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807000</f>
        <v>807000.0</v>
      </c>
      <c r="L334" s="34" t="s">
        <v>48</v>
      </c>
      <c r="M334" s="33" t="n">
        <f>814000</f>
        <v>814000.0</v>
      </c>
      <c r="N334" s="34" t="s">
        <v>93</v>
      </c>
      <c r="O334" s="33" t="n">
        <f>768000</f>
        <v>768000.0</v>
      </c>
      <c r="P334" s="34" t="s">
        <v>101</v>
      </c>
      <c r="Q334" s="33" t="n">
        <f>808000</f>
        <v>808000.0</v>
      </c>
      <c r="R334" s="34" t="s">
        <v>51</v>
      </c>
      <c r="S334" s="35" t="n">
        <f>785190.48</f>
        <v>785190.48</v>
      </c>
      <c r="T334" s="32" t="n">
        <f>28159</f>
        <v>28159.0</v>
      </c>
      <c r="U334" s="32" t="n">
        <f>5498</f>
        <v>5498.0</v>
      </c>
      <c r="V334" s="32" t="n">
        <f>22182107068</f>
        <v>2.2182107068E10</v>
      </c>
      <c r="W334" s="32" t="n">
        <f>4339609068</f>
        <v>4.339609068E9</v>
      </c>
      <c r="X334" s="36" t="n">
        <f>21</f>
        <v>21.0</v>
      </c>
    </row>
    <row r="335">
      <c r="A335" s="27" t="s">
        <v>42</v>
      </c>
      <c r="B335" s="27" t="s">
        <v>1053</v>
      </c>
      <c r="C335" s="27" t="s">
        <v>1054</v>
      </c>
      <c r="D335" s="27" t="s">
        <v>1055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99400</f>
        <v>99400.0</v>
      </c>
      <c r="L335" s="34" t="s">
        <v>48</v>
      </c>
      <c r="M335" s="33" t="n">
        <f>100700</f>
        <v>100700.0</v>
      </c>
      <c r="N335" s="34" t="s">
        <v>89</v>
      </c>
      <c r="O335" s="33" t="n">
        <f>93800</f>
        <v>93800.0</v>
      </c>
      <c r="P335" s="34" t="s">
        <v>117</v>
      </c>
      <c r="Q335" s="33" t="n">
        <f>97200</f>
        <v>97200.0</v>
      </c>
      <c r="R335" s="34" t="s">
        <v>51</v>
      </c>
      <c r="S335" s="35" t="n">
        <f>96680.95</f>
        <v>96680.95</v>
      </c>
      <c r="T335" s="32" t="n">
        <f>80386</f>
        <v>80386.0</v>
      </c>
      <c r="U335" s="32" t="n">
        <f>20993</f>
        <v>20993.0</v>
      </c>
      <c r="V335" s="32" t="n">
        <f>7800950810</f>
        <v>7.80095081E9</v>
      </c>
      <c r="W335" s="32" t="n">
        <f>2038070010</f>
        <v>2.03807001E9</v>
      </c>
      <c r="X335" s="36" t="n">
        <f>21</f>
        <v>21.0</v>
      </c>
    </row>
    <row r="336">
      <c r="A336" s="27" t="s">
        <v>42</v>
      </c>
      <c r="B336" s="27" t="s">
        <v>1056</v>
      </c>
      <c r="C336" s="27" t="s">
        <v>1057</v>
      </c>
      <c r="D336" s="27" t="s">
        <v>1058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1.0</v>
      </c>
      <c r="K336" s="33" t="n">
        <f>789000</f>
        <v>789000.0</v>
      </c>
      <c r="L336" s="34" t="s">
        <v>48</v>
      </c>
      <c r="M336" s="33" t="n">
        <f>807000</f>
        <v>807000.0</v>
      </c>
      <c r="N336" s="34" t="s">
        <v>93</v>
      </c>
      <c r="O336" s="33" t="n">
        <f>753000</f>
        <v>753000.0</v>
      </c>
      <c r="P336" s="34" t="s">
        <v>101</v>
      </c>
      <c r="Q336" s="33" t="n">
        <f>792000</f>
        <v>792000.0</v>
      </c>
      <c r="R336" s="34" t="s">
        <v>51</v>
      </c>
      <c r="S336" s="35" t="n">
        <f>771285.71</f>
        <v>771285.71</v>
      </c>
      <c r="T336" s="32" t="n">
        <f>25149</f>
        <v>25149.0</v>
      </c>
      <c r="U336" s="32" t="n">
        <f>5238</f>
        <v>5238.0</v>
      </c>
      <c r="V336" s="32" t="n">
        <f>19472814604</f>
        <v>1.9472814604E10</v>
      </c>
      <c r="W336" s="32" t="n">
        <f>4062930604</f>
        <v>4.062930604E9</v>
      </c>
      <c r="X336" s="36" t="n">
        <f>21</f>
        <v>21.0</v>
      </c>
    </row>
    <row r="337">
      <c r="A337" s="27" t="s">
        <v>42</v>
      </c>
      <c r="B337" s="27" t="s">
        <v>1059</v>
      </c>
      <c r="C337" s="27" t="s">
        <v>1060</v>
      </c>
      <c r="D337" s="27" t="s">
        <v>1061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1.0</v>
      </c>
      <c r="K337" s="33" t="n">
        <f>162000</f>
        <v>162000.0</v>
      </c>
      <c r="L337" s="34" t="s">
        <v>48</v>
      </c>
      <c r="M337" s="33" t="n">
        <f>168800</f>
        <v>168800.0</v>
      </c>
      <c r="N337" s="34" t="s">
        <v>51</v>
      </c>
      <c r="O337" s="33" t="n">
        <f>157100</f>
        <v>157100.0</v>
      </c>
      <c r="P337" s="34" t="s">
        <v>179</v>
      </c>
      <c r="Q337" s="33" t="n">
        <f>164000</f>
        <v>164000.0</v>
      </c>
      <c r="R337" s="34" t="s">
        <v>51</v>
      </c>
      <c r="S337" s="35" t="n">
        <f>160995.24</f>
        <v>160995.24</v>
      </c>
      <c r="T337" s="32" t="n">
        <f>44348</f>
        <v>44348.0</v>
      </c>
      <c r="U337" s="32" t="n">
        <f>8315</f>
        <v>8315.0</v>
      </c>
      <c r="V337" s="32" t="n">
        <f>7164259599</f>
        <v>7.164259599E9</v>
      </c>
      <c r="W337" s="32" t="n">
        <f>1345611199</f>
        <v>1.345611199E9</v>
      </c>
      <c r="X337" s="36" t="n">
        <f>21</f>
        <v>21.0</v>
      </c>
    </row>
    <row r="338">
      <c r="A338" s="27" t="s">
        <v>42</v>
      </c>
      <c r="B338" s="27" t="s">
        <v>1062</v>
      </c>
      <c r="C338" s="27" t="s">
        <v>1063</v>
      </c>
      <c r="D338" s="27" t="s">
        <v>1064</v>
      </c>
      <c r="E338" s="28" t="s">
        <v>46</v>
      </c>
      <c r="F338" s="29" t="s">
        <v>46</v>
      </c>
      <c r="G338" s="30" t="s">
        <v>46</v>
      </c>
      <c r="H338" s="31"/>
      <c r="I338" s="31" t="s">
        <v>623</v>
      </c>
      <c r="J338" s="32" t="n">
        <v>1.0</v>
      </c>
      <c r="K338" s="33" t="n">
        <f>247500</f>
        <v>247500.0</v>
      </c>
      <c r="L338" s="34" t="s">
        <v>48</v>
      </c>
      <c r="M338" s="33" t="n">
        <f>263300</f>
        <v>263300.0</v>
      </c>
      <c r="N338" s="34" t="s">
        <v>93</v>
      </c>
      <c r="O338" s="33" t="n">
        <f>241400</f>
        <v>241400.0</v>
      </c>
      <c r="P338" s="34" t="s">
        <v>101</v>
      </c>
      <c r="Q338" s="33" t="n">
        <f>257300</f>
        <v>257300.0</v>
      </c>
      <c r="R338" s="34" t="s">
        <v>51</v>
      </c>
      <c r="S338" s="35" t="n">
        <f>251852.38</f>
        <v>251852.38</v>
      </c>
      <c r="T338" s="32" t="n">
        <f>19291</f>
        <v>19291.0</v>
      </c>
      <c r="U338" s="32" t="n">
        <f>2634</f>
        <v>2634.0</v>
      </c>
      <c r="V338" s="32" t="n">
        <f>4889460571</f>
        <v>4.889460571E9</v>
      </c>
      <c r="W338" s="32" t="n">
        <f>668070671</f>
        <v>6.68070671E8</v>
      </c>
      <c r="X338" s="36" t="n">
        <f>21</f>
        <v>21.0</v>
      </c>
    </row>
    <row r="339">
      <c r="A339" s="27" t="s">
        <v>42</v>
      </c>
      <c r="B339" s="27" t="s">
        <v>1065</v>
      </c>
      <c r="C339" s="27" t="s">
        <v>1066</v>
      </c>
      <c r="D339" s="27" t="s">
        <v>1067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330000</f>
        <v>330000.0</v>
      </c>
      <c r="L339" s="34" t="s">
        <v>48</v>
      </c>
      <c r="M339" s="33" t="n">
        <f>341000</f>
        <v>341000.0</v>
      </c>
      <c r="N339" s="34" t="s">
        <v>89</v>
      </c>
      <c r="O339" s="33" t="n">
        <f>311500</f>
        <v>311500.0</v>
      </c>
      <c r="P339" s="34" t="s">
        <v>117</v>
      </c>
      <c r="Q339" s="33" t="n">
        <f>325500</f>
        <v>325500.0</v>
      </c>
      <c r="R339" s="34" t="s">
        <v>51</v>
      </c>
      <c r="S339" s="35" t="n">
        <f>330404.76</f>
        <v>330404.76</v>
      </c>
      <c r="T339" s="32" t="n">
        <f>214309</f>
        <v>214309.0</v>
      </c>
      <c r="U339" s="32" t="n">
        <f>30997</f>
        <v>30997.0</v>
      </c>
      <c r="V339" s="32" t="n">
        <f>69948261676</f>
        <v>6.9948261676E10</v>
      </c>
      <c r="W339" s="32" t="n">
        <f>10189769676</f>
        <v>1.0189769676E10</v>
      </c>
      <c r="X339" s="36" t="n">
        <f>21</f>
        <v>21.0</v>
      </c>
    </row>
    <row r="340">
      <c r="A340" s="27" t="s">
        <v>42</v>
      </c>
      <c r="B340" s="27" t="s">
        <v>1068</v>
      </c>
      <c r="C340" s="27" t="s">
        <v>1069</v>
      </c>
      <c r="D340" s="27" t="s">
        <v>1070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66700</f>
        <v>66700.0</v>
      </c>
      <c r="L340" s="34" t="s">
        <v>48</v>
      </c>
      <c r="M340" s="33" t="n">
        <f>67900</f>
        <v>67900.0</v>
      </c>
      <c r="N340" s="34" t="s">
        <v>93</v>
      </c>
      <c r="O340" s="33" t="n">
        <f>59800</f>
        <v>59800.0</v>
      </c>
      <c r="P340" s="34" t="s">
        <v>375</v>
      </c>
      <c r="Q340" s="33" t="n">
        <f>65000</f>
        <v>65000.0</v>
      </c>
      <c r="R340" s="34" t="s">
        <v>51</v>
      </c>
      <c r="S340" s="35" t="n">
        <f>63757.14</f>
        <v>63757.14</v>
      </c>
      <c r="T340" s="32" t="n">
        <f>646818</f>
        <v>646818.0</v>
      </c>
      <c r="U340" s="32" t="n">
        <f>192740</f>
        <v>192740.0</v>
      </c>
      <c r="V340" s="32" t="n">
        <f>41426148081</f>
        <v>4.1426148081E10</v>
      </c>
      <c r="W340" s="32" t="n">
        <f>12366928981</f>
        <v>1.2366928981E10</v>
      </c>
      <c r="X340" s="36" t="n">
        <f>21</f>
        <v>21.0</v>
      </c>
    </row>
    <row r="341">
      <c r="A341" s="27" t="s">
        <v>42</v>
      </c>
      <c r="B341" s="27" t="s">
        <v>1071</v>
      </c>
      <c r="C341" s="27" t="s">
        <v>1072</v>
      </c>
      <c r="D341" s="27" t="s">
        <v>1073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120300</f>
        <v>120300.0</v>
      </c>
      <c r="L341" s="34" t="s">
        <v>48</v>
      </c>
      <c r="M341" s="33" t="n">
        <f>127000</f>
        <v>127000.0</v>
      </c>
      <c r="N341" s="34" t="s">
        <v>93</v>
      </c>
      <c r="O341" s="33" t="n">
        <f>118400</f>
        <v>118400.0</v>
      </c>
      <c r="P341" s="34" t="s">
        <v>117</v>
      </c>
      <c r="Q341" s="33" t="n">
        <f>123500</f>
        <v>123500.0</v>
      </c>
      <c r="R341" s="34" t="s">
        <v>51</v>
      </c>
      <c r="S341" s="35" t="n">
        <f>120914.29</f>
        <v>120914.29</v>
      </c>
      <c r="T341" s="32" t="n">
        <f>119329</f>
        <v>119329.0</v>
      </c>
      <c r="U341" s="32" t="n">
        <f>27820</f>
        <v>27820.0</v>
      </c>
      <c r="V341" s="32" t="n">
        <f>14481424458</f>
        <v>1.4481424458E10</v>
      </c>
      <c r="W341" s="32" t="n">
        <f>3379350158</f>
        <v>3.379350158E9</v>
      </c>
      <c r="X341" s="36" t="n">
        <f>21</f>
        <v>21.0</v>
      </c>
    </row>
    <row r="342">
      <c r="A342" s="27" t="s">
        <v>42</v>
      </c>
      <c r="B342" s="27" t="s">
        <v>1074</v>
      </c>
      <c r="C342" s="27" t="s">
        <v>1075</v>
      </c>
      <c r="D342" s="27" t="s">
        <v>1076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154000</f>
        <v>154000.0</v>
      </c>
      <c r="L342" s="34" t="s">
        <v>48</v>
      </c>
      <c r="M342" s="33" t="n">
        <f>154000</f>
        <v>154000.0</v>
      </c>
      <c r="N342" s="34" t="s">
        <v>48</v>
      </c>
      <c r="O342" s="33" t="n">
        <f>141200</f>
        <v>141200.0</v>
      </c>
      <c r="P342" s="34" t="s">
        <v>117</v>
      </c>
      <c r="Q342" s="33" t="n">
        <f>145000</f>
        <v>145000.0</v>
      </c>
      <c r="R342" s="34" t="s">
        <v>51</v>
      </c>
      <c r="S342" s="35" t="n">
        <f>146647.62</f>
        <v>146647.62</v>
      </c>
      <c r="T342" s="32" t="n">
        <f>86830</f>
        <v>86830.0</v>
      </c>
      <c r="U342" s="32" t="n">
        <f>17770</f>
        <v>17770.0</v>
      </c>
      <c r="V342" s="32" t="n">
        <f>12735232956</f>
        <v>1.2735232956E10</v>
      </c>
      <c r="W342" s="32" t="n">
        <f>2601360956</f>
        <v>2.601360956E9</v>
      </c>
      <c r="X342" s="36" t="n">
        <f>21</f>
        <v>21.0</v>
      </c>
    </row>
    <row r="343">
      <c r="A343" s="27" t="s">
        <v>42</v>
      </c>
      <c r="B343" s="27" t="s">
        <v>1077</v>
      </c>
      <c r="C343" s="27" t="s">
        <v>1078</v>
      </c>
      <c r="D343" s="27" t="s">
        <v>1079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124000</f>
        <v>124000.0</v>
      </c>
      <c r="L343" s="34" t="s">
        <v>48</v>
      </c>
      <c r="M343" s="33" t="n">
        <f>124900</f>
        <v>124900.0</v>
      </c>
      <c r="N343" s="34" t="s">
        <v>180</v>
      </c>
      <c r="O343" s="33" t="n">
        <f>121000</f>
        <v>121000.0</v>
      </c>
      <c r="P343" s="34" t="s">
        <v>68</v>
      </c>
      <c r="Q343" s="33" t="n">
        <f>122900</f>
        <v>122900.0</v>
      </c>
      <c r="R343" s="34" t="s">
        <v>51</v>
      </c>
      <c r="S343" s="35" t="n">
        <f>122452.38</f>
        <v>122452.38</v>
      </c>
      <c r="T343" s="32" t="n">
        <f>5809</f>
        <v>5809.0</v>
      </c>
      <c r="U343" s="32" t="n">
        <f>26</f>
        <v>26.0</v>
      </c>
      <c r="V343" s="32" t="n">
        <f>711482826</f>
        <v>7.11482826E8</v>
      </c>
      <c r="W343" s="32" t="n">
        <f>3178326</f>
        <v>3178326.0</v>
      </c>
      <c r="X343" s="36" t="n">
        <f>21</f>
        <v>21.0</v>
      </c>
    </row>
    <row r="344">
      <c r="A344" s="27" t="s">
        <v>42</v>
      </c>
      <c r="B344" s="27" t="s">
        <v>1080</v>
      </c>
      <c r="C344" s="27" t="s">
        <v>1081</v>
      </c>
      <c r="D344" s="27" t="s">
        <v>1082</v>
      </c>
      <c r="E344" s="28" t="s">
        <v>46</v>
      </c>
      <c r="F344" s="29" t="s">
        <v>46</v>
      </c>
      <c r="G344" s="30" t="s">
        <v>46</v>
      </c>
      <c r="H344" s="31"/>
      <c r="I344" s="31" t="s">
        <v>623</v>
      </c>
      <c r="J344" s="32" t="n">
        <v>1.0</v>
      </c>
      <c r="K344" s="33" t="n">
        <f>65300</f>
        <v>65300.0</v>
      </c>
      <c r="L344" s="34" t="s">
        <v>48</v>
      </c>
      <c r="M344" s="33" t="n">
        <f>67100</f>
        <v>67100.0</v>
      </c>
      <c r="N344" s="34" t="s">
        <v>61</v>
      </c>
      <c r="O344" s="33" t="n">
        <f>64500</f>
        <v>64500.0</v>
      </c>
      <c r="P344" s="34" t="s">
        <v>48</v>
      </c>
      <c r="Q344" s="33" t="n">
        <f>66200</f>
        <v>66200.0</v>
      </c>
      <c r="R344" s="34" t="s">
        <v>51</v>
      </c>
      <c r="S344" s="35" t="n">
        <f>66138.1</f>
        <v>66138.1</v>
      </c>
      <c r="T344" s="32" t="n">
        <f>2313</f>
        <v>2313.0</v>
      </c>
      <c r="U344" s="32" t="n">
        <f>20</f>
        <v>20.0</v>
      </c>
      <c r="V344" s="32" t="n">
        <f>152939100</f>
        <v>1.529391E8</v>
      </c>
      <c r="W344" s="32" t="n">
        <f>1325400</f>
        <v>1325400.0</v>
      </c>
      <c r="X344" s="36" t="n">
        <f>21</f>
        <v>21.0</v>
      </c>
    </row>
    <row r="345">
      <c r="A345" s="27" t="s">
        <v>42</v>
      </c>
      <c r="B345" s="27" t="s">
        <v>1083</v>
      </c>
      <c r="C345" s="27" t="s">
        <v>1084</v>
      </c>
      <c r="D345" s="27" t="s">
        <v>1085</v>
      </c>
      <c r="E345" s="28" t="s">
        <v>46</v>
      </c>
      <c r="F345" s="29" t="s">
        <v>46</v>
      </c>
      <c r="G345" s="30" t="s">
        <v>46</v>
      </c>
      <c r="H345" s="31"/>
      <c r="I345" s="31" t="s">
        <v>623</v>
      </c>
      <c r="J345" s="32" t="n">
        <v>1.0</v>
      </c>
      <c r="K345" s="33" t="n">
        <f>108300</f>
        <v>108300.0</v>
      </c>
      <c r="L345" s="34" t="s">
        <v>48</v>
      </c>
      <c r="M345" s="33" t="n">
        <f>108800</f>
        <v>108800.0</v>
      </c>
      <c r="N345" s="34" t="s">
        <v>93</v>
      </c>
      <c r="O345" s="33" t="n">
        <f>106900</f>
        <v>106900.0</v>
      </c>
      <c r="P345" s="34" t="s">
        <v>68</v>
      </c>
      <c r="Q345" s="33" t="n">
        <f>108600</f>
        <v>108600.0</v>
      </c>
      <c r="R345" s="34" t="s">
        <v>51</v>
      </c>
      <c r="S345" s="35" t="n">
        <f>107871.43</f>
        <v>107871.43</v>
      </c>
      <c r="T345" s="32" t="n">
        <f>5612</f>
        <v>5612.0</v>
      </c>
      <c r="U345" s="32" t="n">
        <f>12</f>
        <v>12.0</v>
      </c>
      <c r="V345" s="32" t="n">
        <f>605333300</f>
        <v>6.053333E8</v>
      </c>
      <c r="W345" s="32" t="n">
        <f>1293400</f>
        <v>1293400.0</v>
      </c>
      <c r="X345" s="36" t="n">
        <f>21</f>
        <v>21.0</v>
      </c>
    </row>
    <row r="346">
      <c r="A346" s="27" t="s">
        <v>42</v>
      </c>
      <c r="B346" s="27" t="s">
        <v>1086</v>
      </c>
      <c r="C346" s="27" t="s">
        <v>1087</v>
      </c>
      <c r="D346" s="27" t="s">
        <v>1088</v>
      </c>
      <c r="E346" s="28" t="s">
        <v>46</v>
      </c>
      <c r="F346" s="29" t="s">
        <v>46</v>
      </c>
      <c r="G346" s="30" t="s">
        <v>46</v>
      </c>
      <c r="H346" s="31"/>
      <c r="I346" s="31" t="s">
        <v>623</v>
      </c>
      <c r="J346" s="32" t="n">
        <v>1.0</v>
      </c>
      <c r="K346" s="33" t="n">
        <f>126600</f>
        <v>126600.0</v>
      </c>
      <c r="L346" s="34" t="s">
        <v>48</v>
      </c>
      <c r="M346" s="33" t="n">
        <f>127100</f>
        <v>127100.0</v>
      </c>
      <c r="N346" s="34" t="s">
        <v>61</v>
      </c>
      <c r="O346" s="33" t="n">
        <f>125300</f>
        <v>125300.0</v>
      </c>
      <c r="P346" s="34" t="s">
        <v>68</v>
      </c>
      <c r="Q346" s="33" t="n">
        <f>125700</f>
        <v>125700.0</v>
      </c>
      <c r="R346" s="34" t="s">
        <v>51</v>
      </c>
      <c r="S346" s="35" t="n">
        <f>125985.71</f>
        <v>125985.71</v>
      </c>
      <c r="T346" s="32" t="n">
        <f>8771</f>
        <v>8771.0</v>
      </c>
      <c r="U346" s="32" t="n">
        <f>153</f>
        <v>153.0</v>
      </c>
      <c r="V346" s="32" t="n">
        <f>1105035250</f>
        <v>1.10503525E9</v>
      </c>
      <c r="W346" s="32" t="n">
        <f>19301650</f>
        <v>1.930165E7</v>
      </c>
      <c r="X346" s="36" t="n">
        <f>21</f>
        <v>21.0</v>
      </c>
    </row>
    <row r="347">
      <c r="A347" s="27" t="s">
        <v>42</v>
      </c>
      <c r="B347" s="27" t="s">
        <v>1089</v>
      </c>
      <c r="C347" s="27" t="s">
        <v>1090</v>
      </c>
      <c r="D347" s="27" t="s">
        <v>1091</v>
      </c>
      <c r="E347" s="28" t="s">
        <v>46</v>
      </c>
      <c r="F347" s="29" t="s">
        <v>46</v>
      </c>
      <c r="G347" s="30" t="s">
        <v>46</v>
      </c>
      <c r="H347" s="31"/>
      <c r="I347" s="31" t="s">
        <v>623</v>
      </c>
      <c r="J347" s="32" t="n">
        <v>1.0</v>
      </c>
      <c r="K347" s="33" t="n">
        <f>102600</f>
        <v>102600.0</v>
      </c>
      <c r="L347" s="34" t="s">
        <v>48</v>
      </c>
      <c r="M347" s="33" t="n">
        <f>102700</f>
        <v>102700.0</v>
      </c>
      <c r="N347" s="34" t="s">
        <v>48</v>
      </c>
      <c r="O347" s="33" t="n">
        <f>100900</f>
        <v>100900.0</v>
      </c>
      <c r="P347" s="34" t="s">
        <v>50</v>
      </c>
      <c r="Q347" s="33" t="n">
        <f>101400</f>
        <v>101400.0</v>
      </c>
      <c r="R347" s="34" t="s">
        <v>51</v>
      </c>
      <c r="S347" s="35" t="n">
        <f>101571.43</f>
        <v>101571.43</v>
      </c>
      <c r="T347" s="32" t="n">
        <f>3391</f>
        <v>3391.0</v>
      </c>
      <c r="U347" s="32" t="n">
        <f>12</f>
        <v>12.0</v>
      </c>
      <c r="V347" s="32" t="n">
        <f>344568900</f>
        <v>3.445689E8</v>
      </c>
      <c r="W347" s="32" t="n">
        <f>1220000</f>
        <v>1220000.0</v>
      </c>
      <c r="X347" s="36" t="n">
        <f>21</f>
        <v>21.0</v>
      </c>
    </row>
    <row r="348">
      <c r="A348" s="27" t="s">
        <v>42</v>
      </c>
      <c r="B348" s="27" t="s">
        <v>1092</v>
      </c>
      <c r="C348" s="27" t="s">
        <v>1093</v>
      </c>
      <c r="D348" s="27" t="s">
        <v>1094</v>
      </c>
      <c r="E348" s="28" t="s">
        <v>46</v>
      </c>
      <c r="F348" s="29" t="s">
        <v>46</v>
      </c>
      <c r="G348" s="30" t="s">
        <v>46</v>
      </c>
      <c r="H348" s="31"/>
      <c r="I348" s="31" t="s">
        <v>623</v>
      </c>
      <c r="J348" s="32" t="n">
        <v>1.0</v>
      </c>
      <c r="K348" s="33" t="n">
        <f>99400</f>
        <v>99400.0</v>
      </c>
      <c r="L348" s="34" t="s">
        <v>48</v>
      </c>
      <c r="M348" s="33" t="n">
        <f>99600</f>
        <v>99600.0</v>
      </c>
      <c r="N348" s="34" t="s">
        <v>101</v>
      </c>
      <c r="O348" s="33" t="n">
        <f>98100</f>
        <v>98100.0</v>
      </c>
      <c r="P348" s="34" t="s">
        <v>117</v>
      </c>
      <c r="Q348" s="33" t="n">
        <f>99000</f>
        <v>99000.0</v>
      </c>
      <c r="R348" s="34" t="s">
        <v>51</v>
      </c>
      <c r="S348" s="35" t="n">
        <f>98819.05</f>
        <v>98819.05</v>
      </c>
      <c r="T348" s="32" t="n">
        <f>21898</f>
        <v>21898.0</v>
      </c>
      <c r="U348" s="32" t="n">
        <f>582</f>
        <v>582.0</v>
      </c>
      <c r="V348" s="32" t="n">
        <f>2164149100</f>
        <v>2.1641491E9</v>
      </c>
      <c r="W348" s="32" t="n">
        <f>57592100</f>
        <v>5.75921E7</v>
      </c>
      <c r="X348" s="36" t="n">
        <f>21</f>
        <v>21.0</v>
      </c>
    </row>
    <row r="349">
      <c r="A349" s="27" t="s">
        <v>42</v>
      </c>
      <c r="B349" s="27" t="s">
        <v>1095</v>
      </c>
      <c r="C349" s="27" t="s">
        <v>1096</v>
      </c>
      <c r="D349" s="27" t="s">
        <v>1097</v>
      </c>
      <c r="E349" s="28" t="s">
        <v>46</v>
      </c>
      <c r="F349" s="29" t="s">
        <v>46</v>
      </c>
      <c r="G349" s="30" t="s">
        <v>46</v>
      </c>
      <c r="H349" s="31"/>
      <c r="I349" s="31" t="s">
        <v>623</v>
      </c>
      <c r="J349" s="32" t="n">
        <v>1.0</v>
      </c>
      <c r="K349" s="33" t="n">
        <f>99800</f>
        <v>99800.0</v>
      </c>
      <c r="L349" s="34" t="s">
        <v>48</v>
      </c>
      <c r="M349" s="33" t="n">
        <f>99800</f>
        <v>99800.0</v>
      </c>
      <c r="N349" s="34" t="s">
        <v>48</v>
      </c>
      <c r="O349" s="33" t="n">
        <f>98400</f>
        <v>98400.0</v>
      </c>
      <c r="P349" s="34" t="s">
        <v>50</v>
      </c>
      <c r="Q349" s="33" t="n">
        <f>99200</f>
        <v>99200.0</v>
      </c>
      <c r="R349" s="34" t="s">
        <v>51</v>
      </c>
      <c r="S349" s="35" t="n">
        <f>98914.29</f>
        <v>98914.29</v>
      </c>
      <c r="T349" s="32" t="n">
        <f>4335</f>
        <v>4335.0</v>
      </c>
      <c r="U349" s="32" t="n">
        <f>6</f>
        <v>6.0</v>
      </c>
      <c r="V349" s="32" t="n">
        <f>428944900</f>
        <v>4.289449E8</v>
      </c>
      <c r="W349" s="32" t="n">
        <f>595100</f>
        <v>595100.0</v>
      </c>
      <c r="X349" s="36" t="n">
        <f>21</f>
        <v>21.0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