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<sst xmlns="http://schemas.openxmlformats.org/spreadsheetml/2006/main" count="4221" uniqueCount="1115">
  <si>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</si>
  <si>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</si>
  <si>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</si>
  <si>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</si>
  <si>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</si>
  <si>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</si>
  <si>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</si>
  <si>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</si>
  <si>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</si>
  <si>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</si>
  <si>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</si>
  <si>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</si>
  <si>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</si>
  <si>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</si>
  <si>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</si>
  <si>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</si>
  <si>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</si>
  <si>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</si>
  <si>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</si>
  <si>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</si>
  <si>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</si>
  <si>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</si>
  <si>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</si>
  <si>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</si>
  <si>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</si>
  <si>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</si>
  <si>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</si>
  <si>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</si>
  <si>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</si>
  <si>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</si>
  <si>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</si>
  <si>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</si>
  <si>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</si>
  <si>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</si>
  <si>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</si>
  <si>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</si>
  <si>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</si>
  <si>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</si>
  <si>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</si>
  <si>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</si>
  <si>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</si>
  <si>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</si>
  <si>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2021/10</t>
  </si>
  <si>
    <t>1305</t>
  </si>
  <si>
    <t>ダイワ上場投信－トピックス　受益証券</t>
  </si>
  <si>
    <t>Daiwa ETF-TOPIX</t>
  </si>
  <si>
    <t/>
  </si>
  <si>
    <t>貸借</t>
  </si>
  <si>
    <t>1</t>
  </si>
  <si>
    <t>20</t>
  </si>
  <si>
    <t>5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</si>
  <si>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</si>
  <si>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</si>
  <si>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</si>
  <si>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</si>
  <si>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</si>
  <si>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</si>
  <si>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</si>
  <si>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6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</si>
  <si>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</si>
  <si>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</si>
  <si>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</si>
  <si>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22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</si>
  <si>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</si>
  <si>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</si>
  <si>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</si>
  <si>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</si>
  <si>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</si>
  <si>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</si>
  <si>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</si>
  <si>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</si>
  <si>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</si>
  <si>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26</t>
  </si>
  <si>
    <t>8</t>
  </si>
  <si>
    <t>27</t>
  </si>
  <si>
    <t>1319</t>
  </si>
  <si>
    <t>ＮＥＸＴ　ＦＵＮＤＳ　日経３００株価指数連動型上場投信　受益証券</t>
  </si>
  <si>
    <t>NEXT FUNDS Nikkei 300 Index Exchange Traded Fund</t>
  </si>
  <si>
    <t>4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</si>
  <si>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</si>
  <si>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</si>
  <si>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</si>
  <si>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</si>
  <si>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</si>
  <si>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</si>
  <si>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</si>
  <si>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</si>
  <si>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</si>
  <si>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</si>
  <si>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</si>
  <si>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</si>
  <si>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19</t>
  </si>
  <si>
    <t>1324</t>
  </si>
  <si>
    <t>ＮＥＸＴ　ＦＵＮＤＳ　ロシア株式指数・ＲＴＳ連動型上場投信　受益証券</t>
  </si>
  <si>
    <t>NEXT FUNDS Russia RTS Linked Exchange Traded Fund</t>
  </si>
  <si>
    <t>18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</si>
  <si>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</si>
  <si>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</si>
  <si>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</si>
  <si>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</si>
  <si>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</si>
  <si>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</si>
  <si>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</si>
  <si>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</si>
  <si>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</si>
  <si>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整</t>
  </si>
  <si>
    <t>15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</si>
  <si>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</si>
  <si>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</si>
  <si>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</si>
  <si>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</si>
  <si>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</si>
  <si>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</si>
  <si>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</si>
  <si>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</si>
  <si>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</si>
  <si>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</si>
  <si>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</si>
  <si>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</si>
  <si>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</si>
  <si>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</si>
  <si>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</si>
  <si>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 xml:space="preserve">上場廃止  </t>
  </si>
  <si>
    <t xml:space="preserve">Removal  </t>
  </si>
  <si>
    <t xml:space="preserve">2021/10/09  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</si>
  <si>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</si>
  <si>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</si>
  <si>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</si>
  <si>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</si>
  <si>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</si>
  <si>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</si>
  <si>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</si>
  <si>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</si>
  <si>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</si>
  <si>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</si>
  <si>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</si>
  <si>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</si>
  <si>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</si>
  <si>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</si>
  <si>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</si>
  <si>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</si>
  <si>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</si>
  <si>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</si>
  <si>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</si>
  <si>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</si>
  <si>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</si>
  <si>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</si>
  <si>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</si>
  <si>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</si>
  <si>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</si>
  <si>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</si>
  <si>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</si>
  <si>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</si>
  <si>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</si>
  <si>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</si>
  <si>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</si>
  <si>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</si>
  <si>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</si>
  <si>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</si>
  <si>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</si>
  <si>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</si>
  <si>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</si>
  <si>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</si>
  <si>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</si>
  <si>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</si>
  <si>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</si>
  <si>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</si>
  <si>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</si>
  <si>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</si>
  <si>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</si>
  <si>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</si>
  <si>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</si>
  <si>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</si>
  <si>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</si>
  <si>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</si>
  <si>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</si>
  <si>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</si>
  <si>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</si>
  <si>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</si>
  <si>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25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</si>
  <si>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</si>
  <si>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</si>
  <si>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</si>
  <si>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</si>
  <si>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</si>
  <si>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</si>
  <si>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</si>
  <si>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</si>
  <si>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</si>
  <si>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</si>
  <si>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</si>
  <si>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</si>
  <si>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28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</si>
  <si>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</si>
  <si>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</si>
  <si>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</si>
  <si>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</si>
  <si>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</si>
  <si>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</si>
  <si>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</si>
  <si>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</si>
  <si>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</si>
  <si>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</si>
  <si>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</si>
  <si>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</si>
  <si>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</si>
  <si>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</si>
  <si>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</si>
  <si>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7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</si>
  <si>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</si>
  <si>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</si>
  <si>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</si>
  <si>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</si>
  <si>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</si>
  <si>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</si>
  <si>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</si>
  <si>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</si>
  <si>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</si>
  <si>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</si>
  <si>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</si>
  <si>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</si>
  <si>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</si>
  <si>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</si>
  <si>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</si>
  <si>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</si>
  <si>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</si>
  <si>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</si>
  <si>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</si>
  <si>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</si>
  <si>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</si>
  <si>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</si>
  <si>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</si>
  <si>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</si>
  <si>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</si>
  <si>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</si>
  <si>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</si>
  <si>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</si>
  <si>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</si>
  <si>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</si>
  <si>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</si>
  <si>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</si>
  <si>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</si>
  <si>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</si>
  <si>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</si>
  <si>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</si>
  <si>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</si>
  <si>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</si>
  <si>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</si>
  <si>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</si>
  <si>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</si>
  <si>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</si>
  <si>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</si>
  <si>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</si>
  <si>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</si>
  <si>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</si>
  <si>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</si>
  <si>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</si>
  <si>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</si>
  <si>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</si>
  <si>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</si>
  <si>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</si>
  <si>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</si>
  <si>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</si>
  <si>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</si>
  <si>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</si>
  <si>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</si>
  <si>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</si>
  <si>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</si>
  <si>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</si>
  <si>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</si>
  <si>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</si>
  <si>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</si>
  <si>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</si>
  <si>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</si>
  <si>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</si>
  <si>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</si>
  <si>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</si>
  <si>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</si>
  <si>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</si>
  <si>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</si>
  <si>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</si>
  <si>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</si>
  <si>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</si>
  <si>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</si>
  <si>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</si>
  <si>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</si>
  <si>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</si>
  <si>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</si>
  <si>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</si>
  <si>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</si>
  <si>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</si>
  <si>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</si>
  <si>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</si>
  <si>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</si>
  <si>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</si>
  <si>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</si>
  <si>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</si>
  <si>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</si>
  <si>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</si>
  <si>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</si>
  <si>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</si>
  <si>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</si>
  <si>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</si>
  <si>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</si>
  <si>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</si>
  <si>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</si>
  <si>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</si>
  <si>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</si>
  <si>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</si>
  <si>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</si>
  <si>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</si>
  <si>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</si>
  <si>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</si>
  <si>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</si>
  <si>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</si>
  <si>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</si>
  <si>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</si>
  <si>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11</t>
  </si>
  <si>
    <t>1497</t>
  </si>
  <si>
    <t>ｉシェアーズ　米ドル建てハイイールド社債　ＥＴＦ（為替ヘッジあり）　受益証券</t>
  </si>
  <si>
    <t>iShares USD High Yield Corporate Bond JPY Hedged ETF</t>
  </si>
  <si>
    <t>12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</si>
  <si>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</si>
  <si>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</si>
  <si>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</si>
  <si>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</si>
  <si>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</si>
  <si>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</si>
  <si>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</si>
  <si>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</si>
  <si>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</si>
  <si>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</si>
  <si>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</si>
  <si>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</si>
  <si>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21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</si>
  <si>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</si>
  <si>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</si>
  <si>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</si>
  <si>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</si>
  <si>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</si>
  <si>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</si>
  <si>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</si>
  <si>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</si>
  <si>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</si>
  <si>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</si>
  <si>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</si>
  <si>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</si>
  <si>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</si>
  <si>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</si>
  <si>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</si>
  <si>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</si>
  <si>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</si>
  <si>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</si>
  <si>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</si>
  <si>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</si>
  <si>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</si>
  <si>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</si>
  <si>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</si>
  <si>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</si>
  <si>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</si>
  <si>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</si>
  <si>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</si>
  <si>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</si>
  <si>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</si>
  <si>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</si>
  <si>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</si>
  <si>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</si>
  <si>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</si>
  <si>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</si>
  <si>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</si>
  <si>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</si>
  <si>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</si>
  <si>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</si>
  <si>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</si>
  <si>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</si>
  <si>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</si>
  <si>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</si>
  <si>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</si>
  <si>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</si>
  <si>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</si>
  <si>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</si>
  <si>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</si>
  <si>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</si>
  <si>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</si>
  <si>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</si>
  <si>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</si>
  <si>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</si>
  <si>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</si>
  <si>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</si>
  <si>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</si>
  <si>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</si>
  <si>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</si>
  <si>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</si>
  <si>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</si>
  <si>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</si>
  <si>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</si>
  <si>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</si>
  <si>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</si>
  <si>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</si>
  <si>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</si>
  <si>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</si>
  <si>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</si>
  <si>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</si>
  <si>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</si>
  <si>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</si>
  <si>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</si>
  <si>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</si>
  <si>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</si>
  <si>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</si>
  <si>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</si>
  <si>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</si>
  <si>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</si>
  <si>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</si>
  <si>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</si>
  <si>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</si>
  <si>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</si>
  <si>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</si>
  <si>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</si>
  <si>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</si>
  <si>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</si>
  <si>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</si>
  <si>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</si>
  <si>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</si>
  <si>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</si>
  <si>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</si>
  <si>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</si>
  <si>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</si>
  <si>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</si>
  <si>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</si>
  <si>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</si>
  <si>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</si>
  <si>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</si>
  <si>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</si>
  <si>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</si>
  <si>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</si>
  <si>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</si>
  <si>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</si>
  <si>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</si>
  <si>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</si>
  <si>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</si>
  <si>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</si>
  <si>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</si>
  <si>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</si>
  <si>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</si>
  <si>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</si>
  <si>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</si>
  <si>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</si>
  <si>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</si>
  <si>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</si>
  <si>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</si>
  <si>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</si>
  <si>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</si>
  <si>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</si>
  <si>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</si>
  <si>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</si>
  <si>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</si>
  <si>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</si>
  <si>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</si>
  <si>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</si>
  <si>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</si>
  <si>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</si>
  <si>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</si>
  <si>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</si>
  <si>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</si>
  <si>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</si>
  <si>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</si>
  <si>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</si>
  <si>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</si>
  <si>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</si>
  <si>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</si>
  <si>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</si>
  <si>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</si>
  <si>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</si>
  <si>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</si>
  <si>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</si>
  <si>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</si>
  <si>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</si>
  <si>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</si>
  <si>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</si>
  <si>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</si>
  <si>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</si>
  <si>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</si>
  <si>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</si>
  <si>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</si>
  <si>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</si>
  <si>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</si>
  <si>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</si>
  <si>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</si>
  <si>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14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</si>
  <si>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</si>
  <si>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</si>
  <si>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</si>
  <si>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</si>
  <si>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</si>
  <si>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</si>
  <si>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</si>
  <si>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</si>
  <si>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</si>
  <si>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</si>
  <si>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</si>
  <si>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</si>
  <si>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</si>
  <si>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</si>
  <si>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</si>
  <si>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</si>
  <si>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</si>
  <si>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</si>
  <si>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</si>
  <si>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</si>
  <si>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</si>
  <si>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</si>
  <si>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</si>
  <si>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</si>
  <si>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</si>
  <si>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</si>
  <si>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</si>
  <si>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</si>
  <si>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</si>
  <si>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</si>
  <si>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</si>
  <si>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</si>
  <si>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</si>
  <si>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</si>
  <si>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</si>
  <si>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</si>
  <si>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</si>
  <si>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</si>
  <si>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</si>
  <si>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</si>
  <si>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</si>
  <si>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</si>
  <si>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</si>
  <si>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</si>
  <si>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</si>
  <si>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</si>
  <si>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</si>
  <si>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</si>
  <si>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</si>
  <si>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</si>
  <si>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</si>
  <si>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</si>
  <si>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</si>
  <si>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</si>
  <si>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</si>
  <si>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</si>
  <si>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</si>
  <si>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</si>
  <si>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</si>
  <si>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</si>
  <si>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</si>
  <si>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</si>
  <si>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</si>
  <si>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</si>
  <si>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</si>
  <si>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</si>
  <si>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</si>
  <si>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</si>
  <si>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</si>
  <si>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</si>
  <si>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</si>
  <si>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</si>
  <si>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</si>
  <si>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</si>
  <si>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</si>
  <si>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</si>
  <si>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</si>
  <si>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</si>
  <si>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</si>
  <si>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</si>
  <si>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</si>
  <si>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</si>
  <si>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</si>
  <si>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</si>
  <si>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</si>
  <si>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</si>
  <si>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</si>
  <si>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</si>
  <si>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</si>
  <si>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</si>
  <si>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</si>
  <si>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</si>
  <si>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</si>
  <si>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</si>
  <si>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</si>
  <si>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</si>
  <si>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</si>
  <si>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</si>
  <si>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</si>
  <si>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</si>
  <si>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</si>
  <si>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</si>
  <si>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</si>
  <si>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</si>
  <si>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</si>
  <si>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</si>
  <si>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</si>
  <si>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</si>
  <si>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13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</si>
  <si>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</si>
  <si>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</si>
  <si>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</si>
  <si>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</si>
  <si>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</si>
  <si>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</si>
  <si>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</si>
  <si>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</si>
  <si>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</si>
  <si>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</si>
  <si>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</si>
  <si>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</si>
  <si>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</si>
  <si>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</si>
  <si>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</si>
  <si>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</si>
  <si>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</si>
  <si>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</si>
  <si>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</si>
  <si>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</si>
  <si>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</si>
  <si>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</si>
  <si>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</si>
  <si>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</si>
  <si>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</si>
  <si>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</si>
  <si>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</si>
  <si>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</si>
  <si>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</si>
  <si>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</si>
  <si>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</si>
  <si>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</si>
  <si>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</si>
  <si>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</si>
  <si>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</si>
  <si>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</si>
  <si>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</si>
  <si>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</si>
  <si>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</si>
  <si>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</si>
  <si>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</si>
  <si>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</si>
  <si>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</si>
  <si>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</si>
  <si>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</si>
  <si>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</si>
  <si>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</si>
  <si>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</si>
  <si>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</si>
  <si>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</si>
  <si>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</si>
  <si>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</si>
  <si>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</si>
  <si>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</si>
  <si>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</si>
  <si>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</si>
  <si>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</si>
  <si>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</si>
  <si>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</si>
  <si>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</si>
  <si>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</si>
  <si>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</si>
  <si>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</si>
  <si>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</si>
  <si>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</si>
  <si>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</si>
  <si>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</si>
  <si>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</si>
  <si>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</si>
  <si>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</si>
  <si>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</si>
  <si>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</si>
  <si>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</si>
  <si>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</si>
  <si>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</si>
  <si>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</si>
  <si>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</si>
  <si>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</si>
  <si>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</si>
  <si>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</si>
  <si>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</si>
  <si>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</si>
  <si>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</si>
  <si>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</si>
  <si>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</si>
  <si>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</si>
  <si>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</si>
  <si>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</si>
  <si>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</si>
  <si>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</si>
  <si>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</si>
  <si>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</si>
  <si>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</si>
  <si>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</si>
  <si>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</si>
  <si>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</si>
  <si>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</si>
  <si>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</si>
  <si>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</si>
  <si>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</si>
  <si>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</si>
  <si>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</si>
  <si>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</si>
  <si>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</si>
  <si>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</si>
  <si>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</si>
  <si>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</si>
  <si>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</si>
  <si>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</si>
  <si>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</si>
  <si>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</si>
  <si>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</si>
  <si>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</si>
  <si>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</si>
  <si>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</si>
  <si>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</si>
  <si>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</si>
  <si>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</si>
  <si>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</si>
  <si>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</si>
  <si>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</si>
  <si>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</si>
  <si>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</si>
  <si>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</si>
  <si>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</si>
  <si>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</si>
  <si>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</si>
  <si>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</si>
  <si>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</si>
  <si>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</si>
  <si>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</si>
  <si>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</si>
  <si>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</si>
  <si>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</si>
  <si>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</si>
  <si>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</si>
  <si>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</si>
  <si>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</si>
  <si>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</si>
  <si>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</si>
  <si>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</si>
  <si>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</si>
  <si>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</si>
  <si>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</si>
  <si>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</si>
  <si>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</si>
  <si>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</si>
  <si>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</si>
  <si>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</si>
  <si>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</si>
  <si>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</si>
  <si>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</si>
  <si>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</si>
  <si>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</si>
  <si>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</si>
  <si>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</si>
  <si>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</si>
  <si>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</si>
  <si>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</si>
  <si>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</si>
  <si>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</si>
  <si>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</si>
  <si>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</si>
  <si>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</si>
  <si>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</si>
  <si>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</si>
  <si>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</si>
  <si>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</si>
  <si>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</si>
  <si>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</si>
  <si>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</si>
  <si>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</si>
  <si>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</si>
  <si>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</si>
  <si>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</si>
  <si>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</si>
  <si>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</si>
  <si>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</si>
  <si>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</si>
  <si>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</si>
  <si>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</si>
  <si>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</si>
  <si>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</si>
  <si>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</si>
  <si>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</si>
  <si>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</si>
  <si>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</si>
  <si>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</si>
  <si>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</si>
  <si>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</si>
  <si>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</si>
  <si>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</si>
  <si>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</si>
  <si>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</si>
  <si>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</si>
  <si>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</si>
  <si>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</si>
  <si>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</si>
  <si>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</si>
  <si>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</si>
  <si>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</si>
  <si>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</si>
  <si>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</si>
  <si>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</si>
  <si>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</si>
  <si>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</si>
  <si>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</si>
  <si>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</si>
  <si>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</si>
  <si>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</si>
  <si>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</si>
  <si>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</si>
  <si>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</si>
  <si>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</si>
  <si>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</si>
  <si>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</si>
  <si>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</si>
  <si>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</si>
  <si>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</si>
  <si>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</si>
  <si>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</si>
  <si>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</si>
  <si>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</si>
  <si>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</si>
  <si>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</si>
  <si>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</si>
  <si>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</si>
  <si>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</si>
  <si>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</si>
  <si>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</si>
  <si>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</si>
  <si>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</si>
  <si>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</si>
  <si>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</si>
  <si>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</si>
  <si>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</si>
  <si>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</si>
  <si>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</si>
  <si>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</si>
  <si>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</si>
  <si>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</si>
  <si>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</si>
  <si>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</si>
  <si>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</si>
  <si>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</si>
  <si>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</si>
  <si>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</si>
  <si>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</si>
  <si>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</si>
  <si>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</si>
  <si>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</si>
  <si>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</si>
  <si>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</si>
  <si>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</si>
  <si>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</si>
  <si>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</si>
  <si>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</si>
  <si>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</si>
  <si>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</si>
  <si>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</si>
  <si>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</si>
  <si>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</si>
  <si>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</si>
  <si>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</si>
  <si>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</si>
  <si>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</si>
  <si>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</si>
  <si>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</si>
  <si>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</si>
  <si>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</si>
  <si>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</si>
  <si>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</si>
  <si>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</si>
  <si>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</si>
  <si>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</si>
  <si>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</si>
  <si>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</si>
  <si>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</si>
  <si>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</si>
  <si>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</si>
  <si>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</si>
  <si>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</si>
  <si>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</si>
  <si>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</si>
  <si>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</si>
  <si>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</si>
  <si>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</si>
  <si>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</si>
  <si>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</si>
  <si>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</si>
  <si>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</si>
  <si>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</si>
  <si>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</si>
  <si>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</si>
  <si>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</si>
  <si>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</si>
  <si>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</si>
  <si>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</si>
  <si>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</si>
  <si>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</si>
  <si>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</si>
  <si>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</si>
  <si>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</si>
  <si>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</si>
  <si>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 xml:space="preserve">新規上場  </t>
  </si>
  <si>
    <t xml:space="preserve">New Listing  </t>
  </si>
  <si>
    <t xml:space="preserve">2021/10/29  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</si>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</sst>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5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2115</f>
        <v>2115.0</v>
      </c>
      <c r="L7" s="34" t="s">
        <v>48</v>
      </c>
      <c r="M7" s="33" t="n">
        <f>2147</f>
        <v>2147.0</v>
      </c>
      <c r="N7" s="34" t="s">
        <v>49</v>
      </c>
      <c r="O7" s="33" t="n">
        <f>2028</f>
        <v>2028.0</v>
      </c>
      <c r="P7" s="34" t="s">
        <v>50</v>
      </c>
      <c r="Q7" s="33" t="n">
        <f>2103</f>
        <v>2103.0</v>
      </c>
      <c r="R7" s="34" t="s">
        <v>51</v>
      </c>
      <c r="S7" s="35" t="n">
        <f>2094.52</f>
        <v>2094.52</v>
      </c>
      <c r="T7" s="32" t="n">
        <f>28942450</f>
        <v>2.894245E7</v>
      </c>
      <c r="U7" s="32" t="n">
        <f>20823770</f>
        <v>2.082377E7</v>
      </c>
      <c r="V7" s="32" t="n">
        <f>60380650936</f>
        <v>6.0380650936E10</v>
      </c>
      <c r="W7" s="32" t="n">
        <f>43344456086</f>
        <v>4.3344456086E10</v>
      </c>
      <c r="X7" s="36" t="n">
        <f>21</f>
        <v>21.0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2087</f>
        <v>2087.0</v>
      </c>
      <c r="L8" s="34" t="s">
        <v>48</v>
      </c>
      <c r="M8" s="33" t="n">
        <f>2123</f>
        <v>2123.0</v>
      </c>
      <c r="N8" s="34" t="s">
        <v>49</v>
      </c>
      <c r="O8" s="33" t="n">
        <f>2005</f>
        <v>2005.0</v>
      </c>
      <c r="P8" s="34" t="s">
        <v>50</v>
      </c>
      <c r="Q8" s="33" t="n">
        <f>2082</f>
        <v>2082.0</v>
      </c>
      <c r="R8" s="34" t="s">
        <v>51</v>
      </c>
      <c r="S8" s="35" t="n">
        <f>2070.52</f>
        <v>2070.52</v>
      </c>
      <c r="T8" s="32" t="n">
        <f>65814460</f>
        <v>6.581446E7</v>
      </c>
      <c r="U8" s="32" t="n">
        <f>21174270</f>
        <v>2.117427E7</v>
      </c>
      <c r="V8" s="32" t="n">
        <f>135670778356</f>
        <v>1.35670778356E11</v>
      </c>
      <c r="W8" s="32" t="n">
        <f>43492180796</f>
        <v>4.3492180796E10</v>
      </c>
      <c r="X8" s="36" t="n">
        <f>21</f>
        <v>21.0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2069</f>
        <v>2069.0</v>
      </c>
      <c r="L9" s="34" t="s">
        <v>48</v>
      </c>
      <c r="M9" s="33" t="n">
        <f>2101</f>
        <v>2101.0</v>
      </c>
      <c r="N9" s="34" t="s">
        <v>49</v>
      </c>
      <c r="O9" s="33" t="n">
        <f>1982</f>
        <v>1982.0</v>
      </c>
      <c r="P9" s="34" t="s">
        <v>58</v>
      </c>
      <c r="Q9" s="33" t="n">
        <f>2059</f>
        <v>2059.0</v>
      </c>
      <c r="R9" s="34" t="s">
        <v>51</v>
      </c>
      <c r="S9" s="35" t="n">
        <f>2048</f>
        <v>2048.0</v>
      </c>
      <c r="T9" s="32" t="n">
        <f>23654300</f>
        <v>2.36543E7</v>
      </c>
      <c r="U9" s="32" t="n">
        <f>18980400</f>
        <v>1.89804E7</v>
      </c>
      <c r="V9" s="32" t="n">
        <f>48061533800</f>
        <v>4.80615338E10</v>
      </c>
      <c r="W9" s="32" t="n">
        <f>38512592900</f>
        <v>3.85125929E10</v>
      </c>
      <c r="X9" s="36" t="n">
        <f>21</f>
        <v>21.0</v>
      </c>
    </row>
    <row r="10">
      <c r="A10" s="27" t="s">
        <v>42</v>
      </c>
      <c r="B10" s="27" t="s">
        <v>59</v>
      </c>
      <c r="C10" s="27" t="s">
        <v>60</v>
      </c>
      <c r="D10" s="27" t="s">
        <v>61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42050</f>
        <v>42050.0</v>
      </c>
      <c r="L10" s="34" t="s">
        <v>48</v>
      </c>
      <c r="M10" s="33" t="n">
        <f>45050</f>
        <v>45050.0</v>
      </c>
      <c r="N10" s="34" t="s">
        <v>62</v>
      </c>
      <c r="O10" s="33" t="n">
        <f>40550</f>
        <v>40550.0</v>
      </c>
      <c r="P10" s="34" t="s">
        <v>50</v>
      </c>
      <c r="Q10" s="33" t="n">
        <f>43700</f>
        <v>43700.0</v>
      </c>
      <c r="R10" s="34" t="s">
        <v>51</v>
      </c>
      <c r="S10" s="35" t="n">
        <f>43235.71</f>
        <v>43235.71</v>
      </c>
      <c r="T10" s="32" t="n">
        <f>24169</f>
        <v>24169.0</v>
      </c>
      <c r="U10" s="32" t="str">
        <f>"－"</f>
        <v>－</v>
      </c>
      <c r="V10" s="32" t="n">
        <f>1030653400</f>
        <v>1.0306534E9</v>
      </c>
      <c r="W10" s="32" t="str">
        <f>"－"</f>
        <v>－</v>
      </c>
      <c r="X10" s="36" t="n">
        <f>21</f>
        <v>21.0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945</f>
        <v>945.0</v>
      </c>
      <c r="L11" s="34" t="s">
        <v>48</v>
      </c>
      <c r="M11" s="33" t="n">
        <f>966</f>
        <v>966.0</v>
      </c>
      <c r="N11" s="34" t="s">
        <v>49</v>
      </c>
      <c r="O11" s="33" t="n">
        <f>902</f>
        <v>902.0</v>
      </c>
      <c r="P11" s="34" t="s">
        <v>58</v>
      </c>
      <c r="Q11" s="33" t="n">
        <f>946</f>
        <v>946.0</v>
      </c>
      <c r="R11" s="34" t="s">
        <v>51</v>
      </c>
      <c r="S11" s="35" t="n">
        <f>939.14</f>
        <v>939.14</v>
      </c>
      <c r="T11" s="32" t="n">
        <f>99920</f>
        <v>99920.0</v>
      </c>
      <c r="U11" s="32" t="n">
        <f>70</f>
        <v>70.0</v>
      </c>
      <c r="V11" s="32" t="n">
        <f>93362860</f>
        <v>9.336286E7</v>
      </c>
      <c r="W11" s="32" t="n">
        <f>64540</f>
        <v>64540.0</v>
      </c>
      <c r="X11" s="36" t="n">
        <f>21</f>
        <v>21.0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20640</f>
        <v>20640.0</v>
      </c>
      <c r="L12" s="34" t="s">
        <v>48</v>
      </c>
      <c r="M12" s="33" t="n">
        <f>21820</f>
        <v>21820.0</v>
      </c>
      <c r="N12" s="34" t="s">
        <v>49</v>
      </c>
      <c r="O12" s="33" t="n">
        <f>20070</f>
        <v>20070.0</v>
      </c>
      <c r="P12" s="34" t="s">
        <v>48</v>
      </c>
      <c r="Q12" s="33" t="n">
        <f>21080</f>
        <v>21080.0</v>
      </c>
      <c r="R12" s="34" t="s">
        <v>51</v>
      </c>
      <c r="S12" s="35" t="n">
        <f>20928.1</f>
        <v>20928.1</v>
      </c>
      <c r="T12" s="32" t="n">
        <f>2401</f>
        <v>2401.0</v>
      </c>
      <c r="U12" s="32" t="n">
        <f>3</f>
        <v>3.0</v>
      </c>
      <c r="V12" s="32" t="n">
        <f>50491520</f>
        <v>5.049152E7</v>
      </c>
      <c r="W12" s="32" t="n">
        <f>64700</f>
        <v>64700.0</v>
      </c>
      <c r="X12" s="36" t="n">
        <f>21</f>
        <v>21.0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3830</f>
        <v>3830.0</v>
      </c>
      <c r="L13" s="34" t="s">
        <v>48</v>
      </c>
      <c r="M13" s="33" t="n">
        <f>3960</f>
        <v>3960.0</v>
      </c>
      <c r="N13" s="34" t="s">
        <v>72</v>
      </c>
      <c r="O13" s="33" t="n">
        <f>3700</f>
        <v>3700.0</v>
      </c>
      <c r="P13" s="34" t="s">
        <v>73</v>
      </c>
      <c r="Q13" s="33" t="n">
        <f>3960</f>
        <v>3960.0</v>
      </c>
      <c r="R13" s="34" t="s">
        <v>74</v>
      </c>
      <c r="S13" s="35" t="n">
        <f>3819.17</f>
        <v>3819.17</v>
      </c>
      <c r="T13" s="32" t="n">
        <f>3170</f>
        <v>3170.0</v>
      </c>
      <c r="U13" s="32" t="str">
        <f>"－"</f>
        <v>－</v>
      </c>
      <c r="V13" s="32" t="n">
        <f>12045750</f>
        <v>1.204575E7</v>
      </c>
      <c r="W13" s="32" t="str">
        <f>"－"</f>
        <v>－</v>
      </c>
      <c r="X13" s="36" t="n">
        <f>18</f>
        <v>18.0</v>
      </c>
    </row>
    <row r="14">
      <c r="A14" s="27" t="s">
        <v>42</v>
      </c>
      <c r="B14" s="27" t="s">
        <v>75</v>
      </c>
      <c r="C14" s="27" t="s">
        <v>76</v>
      </c>
      <c r="D14" s="27" t="s">
        <v>77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380</f>
        <v>380.0</v>
      </c>
      <c r="L14" s="34" t="s">
        <v>48</v>
      </c>
      <c r="M14" s="33" t="n">
        <f>382</f>
        <v>382.0</v>
      </c>
      <c r="N14" s="34" t="s">
        <v>78</v>
      </c>
      <c r="O14" s="33" t="n">
        <f>359</f>
        <v>359.0</v>
      </c>
      <c r="P14" s="34" t="s">
        <v>58</v>
      </c>
      <c r="Q14" s="33" t="n">
        <f>375</f>
        <v>375.0</v>
      </c>
      <c r="R14" s="34" t="s">
        <v>51</v>
      </c>
      <c r="S14" s="35" t="n">
        <f>374.68</f>
        <v>374.68</v>
      </c>
      <c r="T14" s="32" t="n">
        <f>98000</f>
        <v>98000.0</v>
      </c>
      <c r="U14" s="32" t="n">
        <f>2000</f>
        <v>2000.0</v>
      </c>
      <c r="V14" s="32" t="n">
        <f>36562000</f>
        <v>3.6562E7</v>
      </c>
      <c r="W14" s="32" t="n">
        <f>759000</f>
        <v>759000.0</v>
      </c>
      <c r="X14" s="36" t="n">
        <f>19</f>
        <v>19.0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30150</f>
        <v>30150.0</v>
      </c>
      <c r="L15" s="34" t="s">
        <v>48</v>
      </c>
      <c r="M15" s="33" t="n">
        <f>30350</f>
        <v>30350.0</v>
      </c>
      <c r="N15" s="34" t="s">
        <v>49</v>
      </c>
      <c r="O15" s="33" t="n">
        <f>28080</f>
        <v>28080.0</v>
      </c>
      <c r="P15" s="34" t="s">
        <v>58</v>
      </c>
      <c r="Q15" s="33" t="n">
        <f>29760</f>
        <v>29760.0</v>
      </c>
      <c r="R15" s="34" t="s">
        <v>51</v>
      </c>
      <c r="S15" s="35" t="n">
        <f>29426.67</f>
        <v>29426.67</v>
      </c>
      <c r="T15" s="32" t="n">
        <f>2269455</f>
        <v>2269455.0</v>
      </c>
      <c r="U15" s="32" t="n">
        <f>101010</f>
        <v>101010.0</v>
      </c>
      <c r="V15" s="32" t="n">
        <f>66485241740</f>
        <v>6.648524174E10</v>
      </c>
      <c r="W15" s="32" t="n">
        <f>2952514200</f>
        <v>2.9525142E9</v>
      </c>
      <c r="X15" s="36" t="n">
        <f>21</f>
        <v>21.0</v>
      </c>
    </row>
    <row r="16">
      <c r="A16" s="27" t="s">
        <v>42</v>
      </c>
      <c r="B16" s="27" t="s">
        <v>82</v>
      </c>
      <c r="C16" s="27" t="s">
        <v>83</v>
      </c>
      <c r="D16" s="27" t="s">
        <v>84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30200</f>
        <v>30200.0</v>
      </c>
      <c r="L16" s="34" t="s">
        <v>48</v>
      </c>
      <c r="M16" s="33" t="n">
        <f>30450</f>
        <v>30450.0</v>
      </c>
      <c r="N16" s="34" t="s">
        <v>49</v>
      </c>
      <c r="O16" s="33" t="n">
        <f>28160</f>
        <v>28160.0</v>
      </c>
      <c r="P16" s="34" t="s">
        <v>58</v>
      </c>
      <c r="Q16" s="33" t="n">
        <f>29840</f>
        <v>29840.0</v>
      </c>
      <c r="R16" s="34" t="s">
        <v>51</v>
      </c>
      <c r="S16" s="35" t="n">
        <f>29500.48</f>
        <v>29500.48</v>
      </c>
      <c r="T16" s="32" t="n">
        <f>7049181</f>
        <v>7049181.0</v>
      </c>
      <c r="U16" s="32" t="n">
        <f>341692</f>
        <v>341692.0</v>
      </c>
      <c r="V16" s="32" t="n">
        <f>207035999779</f>
        <v>2.07035999779E11</v>
      </c>
      <c r="W16" s="32" t="n">
        <f>10068474389</f>
        <v>1.0068474389E10</v>
      </c>
      <c r="X16" s="36" t="n">
        <f>21</f>
        <v>21.0</v>
      </c>
    </row>
    <row r="17">
      <c r="A17" s="27" t="s">
        <v>42</v>
      </c>
      <c r="B17" s="27" t="s">
        <v>85</v>
      </c>
      <c r="C17" s="27" t="s">
        <v>86</v>
      </c>
      <c r="D17" s="27" t="s">
        <v>87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8000</f>
        <v>8000.0</v>
      </c>
      <c r="L17" s="34" t="s">
        <v>48</v>
      </c>
      <c r="M17" s="33" t="n">
        <f>8440</f>
        <v>8440.0</v>
      </c>
      <c r="N17" s="34" t="s">
        <v>72</v>
      </c>
      <c r="O17" s="33" t="n">
        <f>7700</f>
        <v>7700.0</v>
      </c>
      <c r="P17" s="34" t="s">
        <v>58</v>
      </c>
      <c r="Q17" s="33" t="n">
        <f>8200</f>
        <v>8200.0</v>
      </c>
      <c r="R17" s="34" t="s">
        <v>51</v>
      </c>
      <c r="S17" s="35" t="n">
        <f>8134.76</f>
        <v>8134.76</v>
      </c>
      <c r="T17" s="32" t="n">
        <f>24980</f>
        <v>24980.0</v>
      </c>
      <c r="U17" s="32" t="str">
        <f>"－"</f>
        <v>－</v>
      </c>
      <c r="V17" s="32" t="n">
        <f>203692400</f>
        <v>2.036924E8</v>
      </c>
      <c r="W17" s="32" t="str">
        <f>"－"</f>
        <v>－</v>
      </c>
      <c r="X17" s="36" t="n">
        <f>21</f>
        <v>21.0</v>
      </c>
    </row>
    <row r="18">
      <c r="A18" s="27" t="s">
        <v>42</v>
      </c>
      <c r="B18" s="27" t="s">
        <v>88</v>
      </c>
      <c r="C18" s="27" t="s">
        <v>89</v>
      </c>
      <c r="D18" s="27" t="s">
        <v>90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473</f>
        <v>473.0</v>
      </c>
      <c r="L18" s="34" t="s">
        <v>48</v>
      </c>
      <c r="M18" s="33" t="n">
        <f>514</f>
        <v>514.0</v>
      </c>
      <c r="N18" s="34" t="s">
        <v>91</v>
      </c>
      <c r="O18" s="33" t="n">
        <f>452</f>
        <v>452.0</v>
      </c>
      <c r="P18" s="34" t="s">
        <v>50</v>
      </c>
      <c r="Q18" s="33" t="n">
        <f>487</f>
        <v>487.0</v>
      </c>
      <c r="R18" s="34" t="s">
        <v>51</v>
      </c>
      <c r="S18" s="35" t="n">
        <f>477.52</f>
        <v>477.52</v>
      </c>
      <c r="T18" s="32" t="n">
        <f>132900</f>
        <v>132900.0</v>
      </c>
      <c r="U18" s="32" t="str">
        <f>"－"</f>
        <v>－</v>
      </c>
      <c r="V18" s="32" t="n">
        <f>64350300</f>
        <v>6.43503E7</v>
      </c>
      <c r="W18" s="32" t="str">
        <f>"－"</f>
        <v>－</v>
      </c>
      <c r="X18" s="36" t="n">
        <f>21</f>
        <v>21.0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171</f>
        <v>171.0</v>
      </c>
      <c r="L19" s="34" t="s">
        <v>48</v>
      </c>
      <c r="M19" s="33" t="n">
        <f>206</f>
        <v>206.0</v>
      </c>
      <c r="N19" s="34" t="s">
        <v>95</v>
      </c>
      <c r="O19" s="33" t="n">
        <f>169</f>
        <v>169.0</v>
      </c>
      <c r="P19" s="34" t="s">
        <v>48</v>
      </c>
      <c r="Q19" s="33" t="n">
        <f>186</f>
        <v>186.0</v>
      </c>
      <c r="R19" s="34" t="s">
        <v>51</v>
      </c>
      <c r="S19" s="35" t="n">
        <f>185.48</f>
        <v>185.48</v>
      </c>
      <c r="T19" s="32" t="n">
        <f>2073000</f>
        <v>2073000.0</v>
      </c>
      <c r="U19" s="32" t="n">
        <f>100</f>
        <v>100.0</v>
      </c>
      <c r="V19" s="32" t="n">
        <f>397790000</f>
        <v>3.9779E8</v>
      </c>
      <c r="W19" s="32" t="n">
        <f>18800</f>
        <v>18800.0</v>
      </c>
      <c r="X19" s="36" t="n">
        <f>21</f>
        <v>21.0</v>
      </c>
    </row>
    <row r="20">
      <c r="A20" s="27" t="s">
        <v>42</v>
      </c>
      <c r="B20" s="27" t="s">
        <v>96</v>
      </c>
      <c r="C20" s="27" t="s">
        <v>97</v>
      </c>
      <c r="D20" s="27" t="s">
        <v>98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183</f>
        <v>183.0</v>
      </c>
      <c r="L20" s="34" t="s">
        <v>48</v>
      </c>
      <c r="M20" s="33" t="n">
        <f>184</f>
        <v>184.0</v>
      </c>
      <c r="N20" s="34" t="s">
        <v>91</v>
      </c>
      <c r="O20" s="33" t="n">
        <f>171</f>
        <v>171.0</v>
      </c>
      <c r="P20" s="34" t="s">
        <v>51</v>
      </c>
      <c r="Q20" s="33" t="n">
        <f>171</f>
        <v>171.0</v>
      </c>
      <c r="R20" s="34" t="s">
        <v>51</v>
      </c>
      <c r="S20" s="35" t="n">
        <f>178.86</f>
        <v>178.86</v>
      </c>
      <c r="T20" s="32" t="n">
        <f>527000</f>
        <v>527000.0</v>
      </c>
      <c r="U20" s="32" t="str">
        <f>"－"</f>
        <v>－</v>
      </c>
      <c r="V20" s="32" t="n">
        <f>93600900</f>
        <v>9.36009E7</v>
      </c>
      <c r="W20" s="32" t="str">
        <f>"－"</f>
        <v>－</v>
      </c>
      <c r="X20" s="36" t="n">
        <f>21</f>
        <v>21.0</v>
      </c>
    </row>
    <row r="21">
      <c r="A21" s="27" t="s">
        <v>42</v>
      </c>
      <c r="B21" s="27" t="s">
        <v>99</v>
      </c>
      <c r="C21" s="27" t="s">
        <v>100</v>
      </c>
      <c r="D21" s="27" t="s">
        <v>101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18260</f>
        <v>18260.0</v>
      </c>
      <c r="L21" s="34" t="s">
        <v>48</v>
      </c>
      <c r="M21" s="33" t="n">
        <f>19240</f>
        <v>19240.0</v>
      </c>
      <c r="N21" s="34" t="s">
        <v>72</v>
      </c>
      <c r="O21" s="33" t="n">
        <f>18200</f>
        <v>18200.0</v>
      </c>
      <c r="P21" s="34" t="s">
        <v>48</v>
      </c>
      <c r="Q21" s="33" t="n">
        <f>19070</f>
        <v>19070.0</v>
      </c>
      <c r="R21" s="34" t="s">
        <v>51</v>
      </c>
      <c r="S21" s="35" t="n">
        <f>18776.67</f>
        <v>18776.67</v>
      </c>
      <c r="T21" s="32" t="n">
        <f>204258</f>
        <v>204258.0</v>
      </c>
      <c r="U21" s="32" t="str">
        <f>"－"</f>
        <v>－</v>
      </c>
      <c r="V21" s="32" t="n">
        <f>3847354080</f>
        <v>3.84735408E9</v>
      </c>
      <c r="W21" s="32" t="str">
        <f>"－"</f>
        <v>－</v>
      </c>
      <c r="X21" s="36" t="n">
        <f>21</f>
        <v>21.0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 t="s">
        <v>105</v>
      </c>
      <c r="I22" s="31"/>
      <c r="J22" s="32" t="n">
        <v>1.0</v>
      </c>
      <c r="K22" s="33" t="n">
        <f>4300</f>
        <v>4300.0</v>
      </c>
      <c r="L22" s="34" t="s">
        <v>48</v>
      </c>
      <c r="M22" s="33" t="n">
        <f>4925</f>
        <v>4925.0</v>
      </c>
      <c r="N22" s="34" t="s">
        <v>106</v>
      </c>
      <c r="O22" s="33" t="n">
        <f>4285</f>
        <v>4285.0</v>
      </c>
      <c r="P22" s="34" t="s">
        <v>48</v>
      </c>
      <c r="Q22" s="33" t="n">
        <f>4570</f>
        <v>4570.0</v>
      </c>
      <c r="R22" s="34" t="s">
        <v>51</v>
      </c>
      <c r="S22" s="35" t="n">
        <f>4566.19</f>
        <v>4566.19</v>
      </c>
      <c r="T22" s="32" t="n">
        <f>10311</f>
        <v>10311.0</v>
      </c>
      <c r="U22" s="32" t="str">
        <f>"－"</f>
        <v>－</v>
      </c>
      <c r="V22" s="32" t="n">
        <f>47130140</f>
        <v>4.713014E7</v>
      </c>
      <c r="W22" s="32" t="str">
        <f>"－"</f>
        <v>－</v>
      </c>
      <c r="X22" s="36" t="n">
        <f>21</f>
        <v>21.0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4940</f>
        <v>4940.0</v>
      </c>
      <c r="L23" s="34" t="s">
        <v>48</v>
      </c>
      <c r="M23" s="33" t="n">
        <f>5210</f>
        <v>5210.0</v>
      </c>
      <c r="N23" s="34" t="s">
        <v>72</v>
      </c>
      <c r="O23" s="33" t="n">
        <f>4925</f>
        <v>4925.0</v>
      </c>
      <c r="P23" s="34" t="s">
        <v>48</v>
      </c>
      <c r="Q23" s="33" t="n">
        <f>5160</f>
        <v>5160.0</v>
      </c>
      <c r="R23" s="34" t="s">
        <v>51</v>
      </c>
      <c r="S23" s="35" t="n">
        <f>5081.43</f>
        <v>5081.43</v>
      </c>
      <c r="T23" s="32" t="n">
        <f>676600</f>
        <v>676600.0</v>
      </c>
      <c r="U23" s="32" t="n">
        <f>20</f>
        <v>20.0</v>
      </c>
      <c r="V23" s="32" t="n">
        <f>3471143400</f>
        <v>3.4711434E9</v>
      </c>
      <c r="W23" s="32" t="n">
        <f>98850</f>
        <v>98850.0</v>
      </c>
      <c r="X23" s="36" t="n">
        <f>21</f>
        <v>21.0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30350</f>
        <v>30350.0</v>
      </c>
      <c r="L24" s="34" t="s">
        <v>48</v>
      </c>
      <c r="M24" s="33" t="n">
        <f>30600</f>
        <v>30600.0</v>
      </c>
      <c r="N24" s="34" t="s">
        <v>49</v>
      </c>
      <c r="O24" s="33" t="n">
        <f>28280</f>
        <v>28280.0</v>
      </c>
      <c r="P24" s="34" t="s">
        <v>58</v>
      </c>
      <c r="Q24" s="33" t="n">
        <f>29960</f>
        <v>29960.0</v>
      </c>
      <c r="R24" s="34" t="s">
        <v>51</v>
      </c>
      <c r="S24" s="35" t="n">
        <f>29621.43</f>
        <v>29621.43</v>
      </c>
      <c r="T24" s="32" t="n">
        <f>1875484</f>
        <v>1875484.0</v>
      </c>
      <c r="U24" s="32" t="n">
        <f>1241847</f>
        <v>1241847.0</v>
      </c>
      <c r="V24" s="32" t="n">
        <f>55406431010</f>
        <v>5.540643101E10</v>
      </c>
      <c r="W24" s="32" t="n">
        <f>36725013590</f>
        <v>3.672501359E10</v>
      </c>
      <c r="X24" s="36" t="n">
        <f>21</f>
        <v>21.0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30250</f>
        <v>30250.0</v>
      </c>
      <c r="L25" s="34" t="s">
        <v>48</v>
      </c>
      <c r="M25" s="33" t="n">
        <f>30450</f>
        <v>30450.0</v>
      </c>
      <c r="N25" s="34" t="s">
        <v>49</v>
      </c>
      <c r="O25" s="33" t="n">
        <f>28200</f>
        <v>28200.0</v>
      </c>
      <c r="P25" s="34" t="s">
        <v>58</v>
      </c>
      <c r="Q25" s="33" t="n">
        <f>29850</f>
        <v>29850.0</v>
      </c>
      <c r="R25" s="34" t="s">
        <v>51</v>
      </c>
      <c r="S25" s="35" t="n">
        <f>29533.33</f>
        <v>29533.33</v>
      </c>
      <c r="T25" s="32" t="n">
        <f>1503110</f>
        <v>1503110.0</v>
      </c>
      <c r="U25" s="32" t="n">
        <f>127910</f>
        <v>127910.0</v>
      </c>
      <c r="V25" s="32" t="n">
        <f>44146315915</f>
        <v>4.4146315915E10</v>
      </c>
      <c r="W25" s="32" t="n">
        <f>3765612115</f>
        <v>3.765612115E9</v>
      </c>
      <c r="X25" s="36" t="n">
        <f>21</f>
        <v>21.0</v>
      </c>
    </row>
    <row r="26">
      <c r="A26" s="27" t="s">
        <v>42</v>
      </c>
      <c r="B26" s="27" t="s">
        <v>116</v>
      </c>
      <c r="C26" s="27" t="s">
        <v>117</v>
      </c>
      <c r="D26" s="27" t="s">
        <v>118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2237</f>
        <v>2237.0</v>
      </c>
      <c r="L26" s="34" t="s">
        <v>48</v>
      </c>
      <c r="M26" s="33" t="n">
        <f>2273</f>
        <v>2273.0</v>
      </c>
      <c r="N26" s="34" t="s">
        <v>91</v>
      </c>
      <c r="O26" s="33" t="n">
        <f>2136</f>
        <v>2136.0</v>
      </c>
      <c r="P26" s="34" t="s">
        <v>50</v>
      </c>
      <c r="Q26" s="33" t="n">
        <f>2256</f>
        <v>2256.0</v>
      </c>
      <c r="R26" s="34" t="s">
        <v>51</v>
      </c>
      <c r="S26" s="35" t="n">
        <f>2225.67</f>
        <v>2225.67</v>
      </c>
      <c r="T26" s="32" t="n">
        <f>12172760</f>
        <v>1.217276E7</v>
      </c>
      <c r="U26" s="32" t="n">
        <f>292120</f>
        <v>292120.0</v>
      </c>
      <c r="V26" s="32" t="n">
        <f>26809765016</f>
        <v>2.6809765016E10</v>
      </c>
      <c r="W26" s="32" t="n">
        <f>652111786</f>
        <v>6.52111786E8</v>
      </c>
      <c r="X26" s="36" t="n">
        <f>21</f>
        <v>21.0</v>
      </c>
    </row>
    <row r="27">
      <c r="A27" s="27" t="s">
        <v>42</v>
      </c>
      <c r="B27" s="27" t="s">
        <v>119</v>
      </c>
      <c r="C27" s="27" t="s">
        <v>120</v>
      </c>
      <c r="D27" s="27" t="s">
        <v>121</v>
      </c>
      <c r="E27" s="28" t="s">
        <v>122</v>
      </c>
      <c r="F27" s="29" t="s">
        <v>123</v>
      </c>
      <c r="G27" s="30" t="s">
        <v>124</v>
      </c>
      <c r="H27" s="31" t="s">
        <v>105</v>
      </c>
      <c r="I27" s="31"/>
      <c r="J27" s="32" t="n">
        <v>10.0</v>
      </c>
      <c r="K27" s="33" t="n">
        <f>921</f>
        <v>921.0</v>
      </c>
      <c r="L27" s="34" t="s">
        <v>48</v>
      </c>
      <c r="M27" s="33" t="n">
        <f>929</f>
        <v>929.0</v>
      </c>
      <c r="N27" s="34" t="s">
        <v>58</v>
      </c>
      <c r="O27" s="33" t="n">
        <f>921</f>
        <v>921.0</v>
      </c>
      <c r="P27" s="34" t="s">
        <v>48</v>
      </c>
      <c r="Q27" s="33" t="n">
        <f>928</f>
        <v>928.0</v>
      </c>
      <c r="R27" s="34" t="s">
        <v>73</v>
      </c>
      <c r="S27" s="35" t="n">
        <f>926.83</f>
        <v>926.83</v>
      </c>
      <c r="T27" s="32" t="n">
        <f>51720</f>
        <v>51720.0</v>
      </c>
      <c r="U27" s="32" t="str">
        <f>"－"</f>
        <v>－</v>
      </c>
      <c r="V27" s="32" t="n">
        <f>47768680</f>
        <v>4.776868E7</v>
      </c>
      <c r="W27" s="32" t="str">
        <f>"－"</f>
        <v>－</v>
      </c>
      <c r="X27" s="36" t="n">
        <f>6</f>
        <v>6.0</v>
      </c>
    </row>
    <row r="28">
      <c r="A28" s="27" t="s">
        <v>42</v>
      </c>
      <c r="B28" s="27" t="s">
        <v>125</v>
      </c>
      <c r="C28" s="27" t="s">
        <v>126</v>
      </c>
      <c r="D28" s="27" t="s">
        <v>127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2108</f>
        <v>2108.0</v>
      </c>
      <c r="L28" s="34" t="s">
        <v>48</v>
      </c>
      <c r="M28" s="33" t="n">
        <f>2135</f>
        <v>2135.0</v>
      </c>
      <c r="N28" s="34" t="s">
        <v>91</v>
      </c>
      <c r="O28" s="33" t="n">
        <f>2008</f>
        <v>2008.0</v>
      </c>
      <c r="P28" s="34" t="s">
        <v>50</v>
      </c>
      <c r="Q28" s="33" t="n">
        <f>2113</f>
        <v>2113.0</v>
      </c>
      <c r="R28" s="34" t="s">
        <v>51</v>
      </c>
      <c r="S28" s="35" t="n">
        <f>2090.95</f>
        <v>2090.95</v>
      </c>
      <c r="T28" s="32" t="n">
        <f>3214400</f>
        <v>3214400.0</v>
      </c>
      <c r="U28" s="32" t="n">
        <f>168200</f>
        <v>168200.0</v>
      </c>
      <c r="V28" s="32" t="n">
        <f>6692626456</f>
        <v>6.692626456E9</v>
      </c>
      <c r="W28" s="32" t="n">
        <f>352122556</f>
        <v>3.52122556E8</v>
      </c>
      <c r="X28" s="36" t="n">
        <f>21</f>
        <v>21.0</v>
      </c>
    </row>
    <row r="29">
      <c r="A29" s="27" t="s">
        <v>42</v>
      </c>
      <c r="B29" s="27" t="s">
        <v>128</v>
      </c>
      <c r="C29" s="27" t="s">
        <v>129</v>
      </c>
      <c r="D29" s="27" t="s">
        <v>130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30350</f>
        <v>30350.0</v>
      </c>
      <c r="L29" s="34" t="s">
        <v>48</v>
      </c>
      <c r="M29" s="33" t="n">
        <f>30550</f>
        <v>30550.0</v>
      </c>
      <c r="N29" s="34" t="s">
        <v>49</v>
      </c>
      <c r="O29" s="33" t="n">
        <f>28280</f>
        <v>28280.0</v>
      </c>
      <c r="P29" s="34" t="s">
        <v>58</v>
      </c>
      <c r="Q29" s="33" t="n">
        <f>29960</f>
        <v>29960.0</v>
      </c>
      <c r="R29" s="34" t="s">
        <v>51</v>
      </c>
      <c r="S29" s="35" t="n">
        <f>29627.14</f>
        <v>29627.14</v>
      </c>
      <c r="T29" s="32" t="n">
        <f>735480</f>
        <v>735480.0</v>
      </c>
      <c r="U29" s="32" t="n">
        <f>26915</f>
        <v>26915.0</v>
      </c>
      <c r="V29" s="32" t="n">
        <f>21620281899</f>
        <v>2.1620281899E10</v>
      </c>
      <c r="W29" s="32" t="n">
        <f>799572799</f>
        <v>7.99572799E8</v>
      </c>
      <c r="X29" s="36" t="n">
        <f>21</f>
        <v>21.0</v>
      </c>
    </row>
    <row r="30">
      <c r="A30" s="27" t="s">
        <v>42</v>
      </c>
      <c r="B30" s="27" t="s">
        <v>131</v>
      </c>
      <c r="C30" s="27" t="s">
        <v>132</v>
      </c>
      <c r="D30" s="27" t="s">
        <v>133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2092</f>
        <v>2092.0</v>
      </c>
      <c r="L30" s="34" t="s">
        <v>48</v>
      </c>
      <c r="M30" s="33" t="n">
        <f>2125</f>
        <v>2125.0</v>
      </c>
      <c r="N30" s="34" t="s">
        <v>49</v>
      </c>
      <c r="O30" s="33" t="n">
        <f>2005</f>
        <v>2005.0</v>
      </c>
      <c r="P30" s="34" t="s">
        <v>58</v>
      </c>
      <c r="Q30" s="33" t="n">
        <f>2081</f>
        <v>2081.0</v>
      </c>
      <c r="R30" s="34" t="s">
        <v>51</v>
      </c>
      <c r="S30" s="35" t="n">
        <f>2072.05</f>
        <v>2072.05</v>
      </c>
      <c r="T30" s="32" t="n">
        <f>21982270</f>
        <v>2.198227E7</v>
      </c>
      <c r="U30" s="32" t="n">
        <f>18833680</f>
        <v>1.883368E7</v>
      </c>
      <c r="V30" s="32" t="n">
        <f>45141324910</f>
        <v>4.514132491E10</v>
      </c>
      <c r="W30" s="32" t="n">
        <f>38647828510</f>
        <v>3.864782851E10</v>
      </c>
      <c r="X30" s="36" t="n">
        <f>21</f>
        <v>21.0</v>
      </c>
    </row>
    <row r="31">
      <c r="A31" s="27" t="s">
        <v>42</v>
      </c>
      <c r="B31" s="27" t="s">
        <v>134</v>
      </c>
      <c r="C31" s="27" t="s">
        <v>135</v>
      </c>
      <c r="D31" s="27" t="s">
        <v>136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13270</f>
        <v>13270.0</v>
      </c>
      <c r="L31" s="34" t="s">
        <v>48</v>
      </c>
      <c r="M31" s="33" t="n">
        <f>13690</f>
        <v>13690.0</v>
      </c>
      <c r="N31" s="34" t="s">
        <v>49</v>
      </c>
      <c r="O31" s="33" t="n">
        <f>13190</f>
        <v>13190.0</v>
      </c>
      <c r="P31" s="34" t="s">
        <v>78</v>
      </c>
      <c r="Q31" s="33" t="n">
        <f>13500</f>
        <v>13500.0</v>
      </c>
      <c r="R31" s="34" t="s">
        <v>51</v>
      </c>
      <c r="S31" s="35" t="n">
        <f>13429.5</f>
        <v>13429.5</v>
      </c>
      <c r="T31" s="32" t="n">
        <f>1443</f>
        <v>1443.0</v>
      </c>
      <c r="U31" s="32" t="str">
        <f>"－"</f>
        <v>－</v>
      </c>
      <c r="V31" s="32" t="n">
        <f>19258280</f>
        <v>1.925828E7</v>
      </c>
      <c r="W31" s="32" t="str">
        <f>"－"</f>
        <v>－</v>
      </c>
      <c r="X31" s="36" t="n">
        <f>20</f>
        <v>20.0</v>
      </c>
    </row>
    <row r="32">
      <c r="A32" s="27" t="s">
        <v>42</v>
      </c>
      <c r="B32" s="27" t="s">
        <v>137</v>
      </c>
      <c r="C32" s="27" t="s">
        <v>138</v>
      </c>
      <c r="D32" s="27" t="s">
        <v>139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1037</f>
        <v>1037.0</v>
      </c>
      <c r="L32" s="34" t="s">
        <v>48</v>
      </c>
      <c r="M32" s="33" t="n">
        <f>1124</f>
        <v>1124.0</v>
      </c>
      <c r="N32" s="34" t="s">
        <v>50</v>
      </c>
      <c r="O32" s="33" t="n">
        <f>997</f>
        <v>997.0</v>
      </c>
      <c r="P32" s="34" t="s">
        <v>49</v>
      </c>
      <c r="Q32" s="33" t="n">
        <f>1039</f>
        <v>1039.0</v>
      </c>
      <c r="R32" s="34" t="s">
        <v>51</v>
      </c>
      <c r="S32" s="35" t="n">
        <f>1051.38</f>
        <v>1051.38</v>
      </c>
      <c r="T32" s="32" t="n">
        <f>15217500</f>
        <v>1.52175E7</v>
      </c>
      <c r="U32" s="32" t="str">
        <f>"－"</f>
        <v>－</v>
      </c>
      <c r="V32" s="32" t="n">
        <f>16155146640</f>
        <v>1.615514664E10</v>
      </c>
      <c r="W32" s="32" t="str">
        <f>"－"</f>
        <v>－</v>
      </c>
      <c r="X32" s="36" t="n">
        <f>21</f>
        <v>21.0</v>
      </c>
    </row>
    <row r="33">
      <c r="A33" s="27" t="s">
        <v>42</v>
      </c>
      <c r="B33" s="27" t="s">
        <v>140</v>
      </c>
      <c r="C33" s="27" t="s">
        <v>141</v>
      </c>
      <c r="D33" s="27" t="s">
        <v>142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388</f>
        <v>388.0</v>
      </c>
      <c r="L33" s="34" t="s">
        <v>48</v>
      </c>
      <c r="M33" s="33" t="n">
        <f>445</f>
        <v>445.0</v>
      </c>
      <c r="N33" s="34" t="s">
        <v>58</v>
      </c>
      <c r="O33" s="33" t="n">
        <f>378</f>
        <v>378.0</v>
      </c>
      <c r="P33" s="34" t="s">
        <v>49</v>
      </c>
      <c r="Q33" s="33" t="n">
        <f>393</f>
        <v>393.0</v>
      </c>
      <c r="R33" s="34" t="s">
        <v>51</v>
      </c>
      <c r="S33" s="35" t="n">
        <f>404</f>
        <v>404.0</v>
      </c>
      <c r="T33" s="32" t="n">
        <f>1437904919</f>
        <v>1.437904919E9</v>
      </c>
      <c r="U33" s="32" t="n">
        <f>1836848</f>
        <v>1836848.0</v>
      </c>
      <c r="V33" s="32" t="n">
        <f>587295452910</f>
        <v>5.8729545291E11</v>
      </c>
      <c r="W33" s="32" t="n">
        <f>773204175</f>
        <v>7.73204175E8</v>
      </c>
      <c r="X33" s="36" t="n">
        <f>21</f>
        <v>21.0</v>
      </c>
    </row>
    <row r="34">
      <c r="A34" s="27" t="s">
        <v>42</v>
      </c>
      <c r="B34" s="27" t="s">
        <v>143</v>
      </c>
      <c r="C34" s="27" t="s">
        <v>144</v>
      </c>
      <c r="D34" s="27" t="s">
        <v>145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30300</f>
        <v>30300.0</v>
      </c>
      <c r="L34" s="34" t="s">
        <v>48</v>
      </c>
      <c r="M34" s="33" t="n">
        <f>30650</f>
        <v>30650.0</v>
      </c>
      <c r="N34" s="34" t="s">
        <v>49</v>
      </c>
      <c r="O34" s="33" t="n">
        <f>26300</f>
        <v>26300.0</v>
      </c>
      <c r="P34" s="34" t="s">
        <v>58</v>
      </c>
      <c r="Q34" s="33" t="n">
        <f>29460</f>
        <v>29460.0</v>
      </c>
      <c r="R34" s="34" t="s">
        <v>51</v>
      </c>
      <c r="S34" s="35" t="n">
        <f>28861.9</f>
        <v>28861.9</v>
      </c>
      <c r="T34" s="32" t="n">
        <f>773484</f>
        <v>773484.0</v>
      </c>
      <c r="U34" s="32" t="str">
        <f>"－"</f>
        <v>－</v>
      </c>
      <c r="V34" s="32" t="n">
        <f>22151887600</f>
        <v>2.21518876E10</v>
      </c>
      <c r="W34" s="32" t="str">
        <f>"－"</f>
        <v>－</v>
      </c>
      <c r="X34" s="36" t="n">
        <f>21</f>
        <v>21.0</v>
      </c>
    </row>
    <row r="35">
      <c r="A35" s="27" t="s">
        <v>42</v>
      </c>
      <c r="B35" s="27" t="s">
        <v>146</v>
      </c>
      <c r="C35" s="27" t="s">
        <v>147</v>
      </c>
      <c r="D35" s="27" t="s">
        <v>148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948</f>
        <v>948.0</v>
      </c>
      <c r="L35" s="34" t="s">
        <v>48</v>
      </c>
      <c r="M35" s="33" t="n">
        <f>1086</f>
        <v>1086.0</v>
      </c>
      <c r="N35" s="34" t="s">
        <v>58</v>
      </c>
      <c r="O35" s="33" t="n">
        <f>924</f>
        <v>924.0</v>
      </c>
      <c r="P35" s="34" t="s">
        <v>49</v>
      </c>
      <c r="Q35" s="33" t="n">
        <f>959</f>
        <v>959.0</v>
      </c>
      <c r="R35" s="34" t="s">
        <v>51</v>
      </c>
      <c r="S35" s="35" t="n">
        <f>986.19</f>
        <v>986.19</v>
      </c>
      <c r="T35" s="32" t="n">
        <f>367768750</f>
        <v>3.6776875E8</v>
      </c>
      <c r="U35" s="32" t="n">
        <f>750500</f>
        <v>750500.0</v>
      </c>
      <c r="V35" s="32" t="n">
        <f>366682730610</f>
        <v>3.6668273061E11</v>
      </c>
      <c r="W35" s="32" t="n">
        <f>720244500</f>
        <v>7.202445E8</v>
      </c>
      <c r="X35" s="36" t="n">
        <f>21</f>
        <v>21.0</v>
      </c>
    </row>
    <row r="36">
      <c r="A36" s="27" t="s">
        <v>42</v>
      </c>
      <c r="B36" s="27" t="s">
        <v>149</v>
      </c>
      <c r="C36" s="27" t="s">
        <v>150</v>
      </c>
      <c r="D36" s="27" t="s">
        <v>151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18550</f>
        <v>18550.0</v>
      </c>
      <c r="L36" s="34" t="s">
        <v>48</v>
      </c>
      <c r="M36" s="33" t="n">
        <f>18890</f>
        <v>18890.0</v>
      </c>
      <c r="N36" s="34" t="s">
        <v>49</v>
      </c>
      <c r="O36" s="33" t="n">
        <f>17800</f>
        <v>17800.0</v>
      </c>
      <c r="P36" s="34" t="s">
        <v>50</v>
      </c>
      <c r="Q36" s="33" t="n">
        <f>18300</f>
        <v>18300.0</v>
      </c>
      <c r="R36" s="34" t="s">
        <v>51</v>
      </c>
      <c r="S36" s="35" t="n">
        <f>18391.43</f>
        <v>18391.43</v>
      </c>
      <c r="T36" s="32" t="n">
        <f>9301</f>
        <v>9301.0</v>
      </c>
      <c r="U36" s="32" t="str">
        <f>"－"</f>
        <v>－</v>
      </c>
      <c r="V36" s="32" t="n">
        <f>169001880</f>
        <v>1.6900188E8</v>
      </c>
      <c r="W36" s="32" t="str">
        <f>"－"</f>
        <v>－</v>
      </c>
      <c r="X36" s="36" t="n">
        <f>21</f>
        <v>21.0</v>
      </c>
    </row>
    <row r="37">
      <c r="A37" s="27" t="s">
        <v>42</v>
      </c>
      <c r="B37" s="27" t="s">
        <v>152</v>
      </c>
      <c r="C37" s="27" t="s">
        <v>153</v>
      </c>
      <c r="D37" s="27" t="s">
        <v>154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25210</f>
        <v>25210.0</v>
      </c>
      <c r="L37" s="34" t="s">
        <v>48</v>
      </c>
      <c r="M37" s="33" t="n">
        <f>25500</f>
        <v>25500.0</v>
      </c>
      <c r="N37" s="34" t="s">
        <v>49</v>
      </c>
      <c r="O37" s="33" t="n">
        <f>21880</f>
        <v>21880.0</v>
      </c>
      <c r="P37" s="34" t="s">
        <v>58</v>
      </c>
      <c r="Q37" s="33" t="n">
        <f>24490</f>
        <v>24490.0</v>
      </c>
      <c r="R37" s="34" t="s">
        <v>51</v>
      </c>
      <c r="S37" s="35" t="n">
        <f>23993.33</f>
        <v>23993.33</v>
      </c>
      <c r="T37" s="32" t="n">
        <f>2142254</f>
        <v>2142254.0</v>
      </c>
      <c r="U37" s="32" t="str">
        <f>"－"</f>
        <v>－</v>
      </c>
      <c r="V37" s="32" t="n">
        <f>51079782910</f>
        <v>5.107978291E10</v>
      </c>
      <c r="W37" s="32" t="str">
        <f>"－"</f>
        <v>－</v>
      </c>
      <c r="X37" s="36" t="n">
        <f>21</f>
        <v>21.0</v>
      </c>
    </row>
    <row r="38">
      <c r="A38" s="27" t="s">
        <v>42</v>
      </c>
      <c r="B38" s="27" t="s">
        <v>155</v>
      </c>
      <c r="C38" s="27" t="s">
        <v>156</v>
      </c>
      <c r="D38" s="27" t="s">
        <v>157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1011</f>
        <v>1011.0</v>
      </c>
      <c r="L38" s="34" t="s">
        <v>48</v>
      </c>
      <c r="M38" s="33" t="n">
        <f>1160</f>
        <v>1160.0</v>
      </c>
      <c r="N38" s="34" t="s">
        <v>58</v>
      </c>
      <c r="O38" s="33" t="n">
        <f>988</f>
        <v>988.0</v>
      </c>
      <c r="P38" s="34" t="s">
        <v>49</v>
      </c>
      <c r="Q38" s="33" t="n">
        <f>1025</f>
        <v>1025.0</v>
      </c>
      <c r="R38" s="34" t="s">
        <v>51</v>
      </c>
      <c r="S38" s="35" t="n">
        <f>1053.9</f>
        <v>1053.9</v>
      </c>
      <c r="T38" s="32" t="n">
        <f>22143822</f>
        <v>2.2143822E7</v>
      </c>
      <c r="U38" s="32" t="str">
        <f>"－"</f>
        <v>－</v>
      </c>
      <c r="V38" s="32" t="n">
        <f>23546036371</f>
        <v>2.3546036371E10</v>
      </c>
      <c r="W38" s="32" t="str">
        <f>"－"</f>
        <v>－</v>
      </c>
      <c r="X38" s="36" t="n">
        <f>21</f>
        <v>21.0</v>
      </c>
    </row>
    <row r="39">
      <c r="A39" s="27" t="s">
        <v>42</v>
      </c>
      <c r="B39" s="27" t="s">
        <v>158</v>
      </c>
      <c r="C39" s="27" t="s">
        <v>159</v>
      </c>
      <c r="D39" s="27" t="s">
        <v>160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20010</f>
        <v>20010.0</v>
      </c>
      <c r="L39" s="34" t="s">
        <v>48</v>
      </c>
      <c r="M39" s="33" t="n">
        <f>20600</f>
        <v>20600.0</v>
      </c>
      <c r="N39" s="34" t="s">
        <v>49</v>
      </c>
      <c r="O39" s="33" t="n">
        <f>18370</f>
        <v>18370.0</v>
      </c>
      <c r="P39" s="34" t="s">
        <v>58</v>
      </c>
      <c r="Q39" s="33" t="n">
        <f>19790</f>
        <v>19790.0</v>
      </c>
      <c r="R39" s="34" t="s">
        <v>51</v>
      </c>
      <c r="S39" s="35" t="n">
        <f>19610</f>
        <v>19610.0</v>
      </c>
      <c r="T39" s="32" t="n">
        <f>522384</f>
        <v>522384.0</v>
      </c>
      <c r="U39" s="32" t="n">
        <f>2</f>
        <v>2.0</v>
      </c>
      <c r="V39" s="32" t="n">
        <f>10186956660</f>
        <v>1.018695666E10</v>
      </c>
      <c r="W39" s="32" t="n">
        <f>39710</f>
        <v>39710.0</v>
      </c>
      <c r="X39" s="36" t="n">
        <f>21</f>
        <v>21.0</v>
      </c>
    </row>
    <row r="40">
      <c r="A40" s="27" t="s">
        <v>42</v>
      </c>
      <c r="B40" s="27" t="s">
        <v>161</v>
      </c>
      <c r="C40" s="27" t="s">
        <v>162</v>
      </c>
      <c r="D40" s="27" t="s">
        <v>163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1500</f>
        <v>1500.0</v>
      </c>
      <c r="L40" s="34" t="s">
        <v>48</v>
      </c>
      <c r="M40" s="33" t="n">
        <f>1627</f>
        <v>1627.0</v>
      </c>
      <c r="N40" s="34" t="s">
        <v>58</v>
      </c>
      <c r="O40" s="33" t="n">
        <f>1444</f>
        <v>1444.0</v>
      </c>
      <c r="P40" s="34" t="s">
        <v>49</v>
      </c>
      <c r="Q40" s="33" t="n">
        <f>1500</f>
        <v>1500.0</v>
      </c>
      <c r="R40" s="34" t="s">
        <v>51</v>
      </c>
      <c r="S40" s="35" t="n">
        <f>1521.95</f>
        <v>1521.95</v>
      </c>
      <c r="T40" s="32" t="n">
        <f>1491975</f>
        <v>1491975.0</v>
      </c>
      <c r="U40" s="32" t="n">
        <f>85</f>
        <v>85.0</v>
      </c>
      <c r="V40" s="32" t="n">
        <f>2295594119</f>
        <v>2.295594119E9</v>
      </c>
      <c r="W40" s="32" t="n">
        <f>136333</f>
        <v>136333.0</v>
      </c>
      <c r="X40" s="36" t="n">
        <f>21</f>
        <v>21.0</v>
      </c>
    </row>
    <row r="41">
      <c r="A41" s="27" t="s">
        <v>42</v>
      </c>
      <c r="B41" s="27" t="s">
        <v>164</v>
      </c>
      <c r="C41" s="27" t="s">
        <v>165</v>
      </c>
      <c r="D41" s="27" t="s">
        <v>166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29400</f>
        <v>29400.0</v>
      </c>
      <c r="L41" s="34" t="s">
        <v>48</v>
      </c>
      <c r="M41" s="33" t="n">
        <f>29630</f>
        <v>29630.0</v>
      </c>
      <c r="N41" s="34" t="s">
        <v>49</v>
      </c>
      <c r="O41" s="33" t="n">
        <f>27430</f>
        <v>27430.0</v>
      </c>
      <c r="P41" s="34" t="s">
        <v>58</v>
      </c>
      <c r="Q41" s="33" t="n">
        <f>28990</f>
        <v>28990.0</v>
      </c>
      <c r="R41" s="34" t="s">
        <v>51</v>
      </c>
      <c r="S41" s="35" t="n">
        <f>28719.05</f>
        <v>28719.05</v>
      </c>
      <c r="T41" s="32" t="n">
        <f>307578</f>
        <v>307578.0</v>
      </c>
      <c r="U41" s="32" t="n">
        <f>107000</f>
        <v>107000.0</v>
      </c>
      <c r="V41" s="32" t="n">
        <f>8815065790</f>
        <v>8.81506579E9</v>
      </c>
      <c r="W41" s="32" t="n">
        <f>3092344400</f>
        <v>3.0923444E9</v>
      </c>
      <c r="X41" s="36" t="n">
        <f>21</f>
        <v>21.0</v>
      </c>
    </row>
    <row r="42">
      <c r="A42" s="27" t="s">
        <v>42</v>
      </c>
      <c r="B42" s="27" t="s">
        <v>167</v>
      </c>
      <c r="C42" s="27" t="s">
        <v>168</v>
      </c>
      <c r="D42" s="27" t="s">
        <v>169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5310</f>
        <v>5310.0</v>
      </c>
      <c r="L42" s="34" t="s">
        <v>48</v>
      </c>
      <c r="M42" s="33" t="n">
        <f>5660</f>
        <v>5660.0</v>
      </c>
      <c r="N42" s="34" t="s">
        <v>72</v>
      </c>
      <c r="O42" s="33" t="n">
        <f>5210</f>
        <v>5210.0</v>
      </c>
      <c r="P42" s="34" t="s">
        <v>78</v>
      </c>
      <c r="Q42" s="33" t="n">
        <f>5640</f>
        <v>5640.0</v>
      </c>
      <c r="R42" s="34" t="s">
        <v>51</v>
      </c>
      <c r="S42" s="35" t="n">
        <f>5459.05</f>
        <v>5459.05</v>
      </c>
      <c r="T42" s="32" t="n">
        <f>4010</f>
        <v>4010.0</v>
      </c>
      <c r="U42" s="32" t="str">
        <f>"－"</f>
        <v>－</v>
      </c>
      <c r="V42" s="32" t="n">
        <f>21986890</f>
        <v>2.198689E7</v>
      </c>
      <c r="W42" s="32" t="str">
        <f>"－"</f>
        <v>－</v>
      </c>
      <c r="X42" s="36" t="n">
        <f>21</f>
        <v>21.0</v>
      </c>
    </row>
    <row r="43">
      <c r="A43" s="27" t="s">
        <v>42</v>
      </c>
      <c r="B43" s="27" t="s">
        <v>170</v>
      </c>
      <c r="C43" s="27" t="s">
        <v>171</v>
      </c>
      <c r="D43" s="27" t="s">
        <v>172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9520</f>
        <v>9520.0</v>
      </c>
      <c r="L43" s="34" t="s">
        <v>48</v>
      </c>
      <c r="M43" s="33" t="n">
        <f>10240</f>
        <v>10240.0</v>
      </c>
      <c r="N43" s="34" t="s">
        <v>72</v>
      </c>
      <c r="O43" s="33" t="n">
        <f>9380</f>
        <v>9380.0</v>
      </c>
      <c r="P43" s="34" t="s">
        <v>48</v>
      </c>
      <c r="Q43" s="33" t="n">
        <f>10140</f>
        <v>10140.0</v>
      </c>
      <c r="R43" s="34" t="s">
        <v>51</v>
      </c>
      <c r="S43" s="35" t="n">
        <f>9853.81</f>
        <v>9853.81</v>
      </c>
      <c r="T43" s="32" t="n">
        <f>1890</f>
        <v>1890.0</v>
      </c>
      <c r="U43" s="32" t="str">
        <f>"－"</f>
        <v>－</v>
      </c>
      <c r="V43" s="32" t="n">
        <f>18805230</f>
        <v>1.880523E7</v>
      </c>
      <c r="W43" s="32" t="str">
        <f>"－"</f>
        <v>－</v>
      </c>
      <c r="X43" s="36" t="n">
        <f>21</f>
        <v>21.0</v>
      </c>
    </row>
    <row r="44">
      <c r="A44" s="27" t="s">
        <v>42</v>
      </c>
      <c r="B44" s="27" t="s">
        <v>173</v>
      </c>
      <c r="C44" s="27" t="s">
        <v>174</v>
      </c>
      <c r="D44" s="27" t="s">
        <v>175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19020</f>
        <v>19020.0</v>
      </c>
      <c r="L44" s="34" t="s">
        <v>48</v>
      </c>
      <c r="M44" s="33" t="n">
        <f>20140</f>
        <v>20140.0</v>
      </c>
      <c r="N44" s="34" t="s">
        <v>62</v>
      </c>
      <c r="O44" s="33" t="n">
        <f>18600</f>
        <v>18600.0</v>
      </c>
      <c r="P44" s="34" t="s">
        <v>78</v>
      </c>
      <c r="Q44" s="33" t="n">
        <f>19850</f>
        <v>19850.0</v>
      </c>
      <c r="R44" s="34" t="s">
        <v>51</v>
      </c>
      <c r="S44" s="35" t="n">
        <f>19437.06</f>
        <v>19437.06</v>
      </c>
      <c r="T44" s="32" t="n">
        <f>315</f>
        <v>315.0</v>
      </c>
      <c r="U44" s="32" t="n">
        <f>1</f>
        <v>1.0</v>
      </c>
      <c r="V44" s="32" t="n">
        <f>6060010</f>
        <v>6060010.0</v>
      </c>
      <c r="W44" s="32" t="n">
        <f>18860</f>
        <v>18860.0</v>
      </c>
      <c r="X44" s="36" t="n">
        <f>17</f>
        <v>17.0</v>
      </c>
    </row>
    <row r="45">
      <c r="A45" s="27" t="s">
        <v>42</v>
      </c>
      <c r="B45" s="27" t="s">
        <v>176</v>
      </c>
      <c r="C45" s="27" t="s">
        <v>177</v>
      </c>
      <c r="D45" s="27" t="s">
        <v>178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16500</f>
        <v>16500.0</v>
      </c>
      <c r="L45" s="34" t="s">
        <v>48</v>
      </c>
      <c r="M45" s="33" t="n">
        <f>18000</f>
        <v>18000.0</v>
      </c>
      <c r="N45" s="34" t="s">
        <v>179</v>
      </c>
      <c r="O45" s="33" t="n">
        <f>16500</f>
        <v>16500.0</v>
      </c>
      <c r="P45" s="34" t="s">
        <v>48</v>
      </c>
      <c r="Q45" s="33" t="n">
        <f>18000</f>
        <v>18000.0</v>
      </c>
      <c r="R45" s="34" t="s">
        <v>51</v>
      </c>
      <c r="S45" s="35" t="n">
        <f>17491.43</f>
        <v>17491.43</v>
      </c>
      <c r="T45" s="32" t="n">
        <f>91</f>
        <v>91.0</v>
      </c>
      <c r="U45" s="32" t="str">
        <f>"－"</f>
        <v>－</v>
      </c>
      <c r="V45" s="32" t="n">
        <f>1576980</f>
        <v>1576980.0</v>
      </c>
      <c r="W45" s="32" t="str">
        <f>"－"</f>
        <v>－</v>
      </c>
      <c r="X45" s="36" t="n">
        <f>7</f>
        <v>7.0</v>
      </c>
    </row>
    <row r="46">
      <c r="A46" s="27" t="s">
        <v>42</v>
      </c>
      <c r="B46" s="27" t="s">
        <v>180</v>
      </c>
      <c r="C46" s="27" t="s">
        <v>181</v>
      </c>
      <c r="D46" s="27" t="s">
        <v>182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9870</f>
        <v>9870.0</v>
      </c>
      <c r="L46" s="34" t="s">
        <v>48</v>
      </c>
      <c r="M46" s="33" t="n">
        <f>10730</f>
        <v>10730.0</v>
      </c>
      <c r="N46" s="34" t="s">
        <v>49</v>
      </c>
      <c r="O46" s="33" t="n">
        <f>9750</f>
        <v>9750.0</v>
      </c>
      <c r="P46" s="34" t="s">
        <v>48</v>
      </c>
      <c r="Q46" s="33" t="n">
        <f>10560</f>
        <v>10560.0</v>
      </c>
      <c r="R46" s="34" t="s">
        <v>51</v>
      </c>
      <c r="S46" s="35" t="n">
        <f>10275.71</f>
        <v>10275.71</v>
      </c>
      <c r="T46" s="32" t="n">
        <f>1647</f>
        <v>1647.0</v>
      </c>
      <c r="U46" s="32" t="str">
        <f>"－"</f>
        <v>－</v>
      </c>
      <c r="V46" s="32" t="n">
        <f>16977510</f>
        <v>1.697751E7</v>
      </c>
      <c r="W46" s="32" t="str">
        <f>"－"</f>
        <v>－</v>
      </c>
      <c r="X46" s="36" t="n">
        <f>21</f>
        <v>21.0</v>
      </c>
    </row>
    <row r="47">
      <c r="A47" s="27" t="s">
        <v>42</v>
      </c>
      <c r="B47" s="27" t="s">
        <v>183</v>
      </c>
      <c r="C47" s="27" t="s">
        <v>184</v>
      </c>
      <c r="D47" s="27" t="s">
        <v>185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5220</f>
        <v>5220.0</v>
      </c>
      <c r="L47" s="34" t="s">
        <v>48</v>
      </c>
      <c r="M47" s="33" t="n">
        <f>5650</f>
        <v>5650.0</v>
      </c>
      <c r="N47" s="34" t="s">
        <v>95</v>
      </c>
      <c r="O47" s="33" t="n">
        <f>5030</f>
        <v>5030.0</v>
      </c>
      <c r="P47" s="34" t="s">
        <v>48</v>
      </c>
      <c r="Q47" s="33" t="n">
        <f>5560</f>
        <v>5560.0</v>
      </c>
      <c r="R47" s="34" t="s">
        <v>51</v>
      </c>
      <c r="S47" s="35" t="n">
        <f>5437.14</f>
        <v>5437.14</v>
      </c>
      <c r="T47" s="32" t="n">
        <f>2881</f>
        <v>2881.0</v>
      </c>
      <c r="U47" s="32" t="str">
        <f>"－"</f>
        <v>－</v>
      </c>
      <c r="V47" s="32" t="n">
        <f>15508840</f>
        <v>1.550884E7</v>
      </c>
      <c r="W47" s="32" t="str">
        <f>"－"</f>
        <v>－</v>
      </c>
      <c r="X47" s="36" t="n">
        <f>21</f>
        <v>21.0</v>
      </c>
    </row>
    <row r="48">
      <c r="A48" s="27" t="s">
        <v>42</v>
      </c>
      <c r="B48" s="27" t="s">
        <v>186</v>
      </c>
      <c r="C48" s="27" t="s">
        <v>187</v>
      </c>
      <c r="D48" s="27" t="s">
        <v>188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2731</f>
        <v>2731.0</v>
      </c>
      <c r="L48" s="34" t="s">
        <v>48</v>
      </c>
      <c r="M48" s="33" t="n">
        <f>2976</f>
        <v>2976.0</v>
      </c>
      <c r="N48" s="34" t="s">
        <v>74</v>
      </c>
      <c r="O48" s="33" t="n">
        <f>2672</f>
        <v>2672.0</v>
      </c>
      <c r="P48" s="34" t="s">
        <v>48</v>
      </c>
      <c r="Q48" s="33" t="n">
        <f>2913</f>
        <v>2913.0</v>
      </c>
      <c r="R48" s="34" t="s">
        <v>51</v>
      </c>
      <c r="S48" s="35" t="n">
        <f>2816.71</f>
        <v>2816.71</v>
      </c>
      <c r="T48" s="32" t="n">
        <f>6951</f>
        <v>6951.0</v>
      </c>
      <c r="U48" s="32" t="str">
        <f>"－"</f>
        <v>－</v>
      </c>
      <c r="V48" s="32" t="n">
        <f>19937513</f>
        <v>1.9937513E7</v>
      </c>
      <c r="W48" s="32" t="str">
        <f>"－"</f>
        <v>－</v>
      </c>
      <c r="X48" s="36" t="n">
        <f>21</f>
        <v>21.0</v>
      </c>
    </row>
    <row r="49">
      <c r="A49" s="27" t="s">
        <v>42</v>
      </c>
      <c r="B49" s="27" t="s">
        <v>189</v>
      </c>
      <c r="C49" s="27" t="s">
        <v>190</v>
      </c>
      <c r="D49" s="27" t="s">
        <v>191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2648</f>
        <v>2648.0</v>
      </c>
      <c r="L49" s="34" t="s">
        <v>48</v>
      </c>
      <c r="M49" s="33" t="n">
        <f>2849</f>
        <v>2849.0</v>
      </c>
      <c r="N49" s="34" t="s">
        <v>192</v>
      </c>
      <c r="O49" s="33" t="n">
        <f>2599</f>
        <v>2599.0</v>
      </c>
      <c r="P49" s="34" t="s">
        <v>48</v>
      </c>
      <c r="Q49" s="33" t="n">
        <f>2800</f>
        <v>2800.0</v>
      </c>
      <c r="R49" s="34" t="s">
        <v>51</v>
      </c>
      <c r="S49" s="35" t="n">
        <f>2737.14</f>
        <v>2737.14</v>
      </c>
      <c r="T49" s="32" t="n">
        <f>5687</f>
        <v>5687.0</v>
      </c>
      <c r="U49" s="32" t="str">
        <f>"－"</f>
        <v>－</v>
      </c>
      <c r="V49" s="32" t="n">
        <f>15567582</f>
        <v>1.5567582E7</v>
      </c>
      <c r="W49" s="32" t="str">
        <f>"－"</f>
        <v>－</v>
      </c>
      <c r="X49" s="36" t="n">
        <f>21</f>
        <v>21.0</v>
      </c>
    </row>
    <row r="50">
      <c r="A50" s="27" t="s">
        <v>42</v>
      </c>
      <c r="B50" s="27" t="s">
        <v>193</v>
      </c>
      <c r="C50" s="27" t="s">
        <v>194</v>
      </c>
      <c r="D50" s="27" t="s">
        <v>195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48350</f>
        <v>48350.0</v>
      </c>
      <c r="L50" s="34" t="s">
        <v>48</v>
      </c>
      <c r="M50" s="33" t="n">
        <f>52000</f>
        <v>52000.0</v>
      </c>
      <c r="N50" s="34" t="s">
        <v>74</v>
      </c>
      <c r="O50" s="33" t="n">
        <f>47900</f>
        <v>47900.0</v>
      </c>
      <c r="P50" s="34" t="s">
        <v>50</v>
      </c>
      <c r="Q50" s="33" t="n">
        <f>51700</f>
        <v>51700.0</v>
      </c>
      <c r="R50" s="34" t="s">
        <v>51</v>
      </c>
      <c r="S50" s="35" t="n">
        <f>49985.71</f>
        <v>49985.71</v>
      </c>
      <c r="T50" s="32" t="n">
        <f>1243</f>
        <v>1243.0</v>
      </c>
      <c r="U50" s="32" t="str">
        <f>"－"</f>
        <v>－</v>
      </c>
      <c r="V50" s="32" t="n">
        <f>61994550</f>
        <v>6.199455E7</v>
      </c>
      <c r="W50" s="32" t="str">
        <f>"－"</f>
        <v>－</v>
      </c>
      <c r="X50" s="36" t="n">
        <f>21</f>
        <v>21.0</v>
      </c>
    </row>
    <row r="51">
      <c r="A51" s="27" t="s">
        <v>42</v>
      </c>
      <c r="B51" s="27" t="s">
        <v>196</v>
      </c>
      <c r="C51" s="27" t="s">
        <v>197</v>
      </c>
      <c r="D51" s="27" t="s">
        <v>198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34050</f>
        <v>34050.0</v>
      </c>
      <c r="L51" s="34" t="s">
        <v>48</v>
      </c>
      <c r="M51" s="33" t="n">
        <f>37000</f>
        <v>37000.0</v>
      </c>
      <c r="N51" s="34" t="s">
        <v>72</v>
      </c>
      <c r="O51" s="33" t="n">
        <f>33650</f>
        <v>33650.0</v>
      </c>
      <c r="P51" s="34" t="s">
        <v>48</v>
      </c>
      <c r="Q51" s="33" t="n">
        <f>37000</f>
        <v>37000.0</v>
      </c>
      <c r="R51" s="34" t="s">
        <v>192</v>
      </c>
      <c r="S51" s="35" t="n">
        <f>35319.23</f>
        <v>35319.23</v>
      </c>
      <c r="T51" s="32" t="n">
        <f>138</f>
        <v>138.0</v>
      </c>
      <c r="U51" s="32" t="str">
        <f>"－"</f>
        <v>－</v>
      </c>
      <c r="V51" s="32" t="n">
        <f>4757550</f>
        <v>4757550.0</v>
      </c>
      <c r="W51" s="32" t="str">
        <f>"－"</f>
        <v>－</v>
      </c>
      <c r="X51" s="36" t="n">
        <f>13</f>
        <v>13.0</v>
      </c>
    </row>
    <row r="52">
      <c r="A52" s="27" t="s">
        <v>42</v>
      </c>
      <c r="B52" s="27" t="s">
        <v>199</v>
      </c>
      <c r="C52" s="27" t="s">
        <v>200</v>
      </c>
      <c r="D52" s="27" t="s">
        <v>201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29680</f>
        <v>29680.0</v>
      </c>
      <c r="L52" s="34" t="s">
        <v>48</v>
      </c>
      <c r="M52" s="33" t="n">
        <f>29840</f>
        <v>29840.0</v>
      </c>
      <c r="N52" s="34" t="s">
        <v>48</v>
      </c>
      <c r="O52" s="33" t="n">
        <f>27730</f>
        <v>27730.0</v>
      </c>
      <c r="P52" s="34" t="s">
        <v>58</v>
      </c>
      <c r="Q52" s="33" t="n">
        <f>29160</f>
        <v>29160.0</v>
      </c>
      <c r="R52" s="34" t="s">
        <v>51</v>
      </c>
      <c r="S52" s="35" t="n">
        <f>28876.84</f>
        <v>28876.84</v>
      </c>
      <c r="T52" s="32" t="n">
        <f>26900</f>
        <v>26900.0</v>
      </c>
      <c r="U52" s="32" t="str">
        <f>"－"</f>
        <v>－</v>
      </c>
      <c r="V52" s="32" t="n">
        <f>775072450</f>
        <v>7.7507245E8</v>
      </c>
      <c r="W52" s="32" t="str">
        <f>"－"</f>
        <v>－</v>
      </c>
      <c r="X52" s="36" t="n">
        <f>19</f>
        <v>19.0</v>
      </c>
    </row>
    <row r="53">
      <c r="A53" s="27" t="s">
        <v>42</v>
      </c>
      <c r="B53" s="27" t="s">
        <v>202</v>
      </c>
      <c r="C53" s="27" t="s">
        <v>203</v>
      </c>
      <c r="D53" s="27" t="s">
        <v>204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2125</f>
        <v>2125.0</v>
      </c>
      <c r="L53" s="34" t="s">
        <v>48</v>
      </c>
      <c r="M53" s="33" t="n">
        <f>2150</f>
        <v>2150.0</v>
      </c>
      <c r="N53" s="34" t="s">
        <v>91</v>
      </c>
      <c r="O53" s="33" t="n">
        <f>2045</f>
        <v>2045.0</v>
      </c>
      <c r="P53" s="34" t="s">
        <v>50</v>
      </c>
      <c r="Q53" s="33" t="n">
        <f>2127</f>
        <v>2127.0</v>
      </c>
      <c r="R53" s="34" t="s">
        <v>51</v>
      </c>
      <c r="S53" s="35" t="n">
        <f>2109.62</f>
        <v>2109.62</v>
      </c>
      <c r="T53" s="32" t="n">
        <f>500610</f>
        <v>500610.0</v>
      </c>
      <c r="U53" s="32" t="n">
        <f>113140</f>
        <v>113140.0</v>
      </c>
      <c r="V53" s="32" t="n">
        <f>1055597549</f>
        <v>1.055597549E9</v>
      </c>
      <c r="W53" s="32" t="n">
        <f>238787419</f>
        <v>2.38787419E8</v>
      </c>
      <c r="X53" s="36" t="n">
        <f>21</f>
        <v>21.0</v>
      </c>
    </row>
    <row r="54">
      <c r="A54" s="27" t="s">
        <v>42</v>
      </c>
      <c r="B54" s="27" t="s">
        <v>205</v>
      </c>
      <c r="C54" s="27" t="s">
        <v>206</v>
      </c>
      <c r="D54" s="27" t="s">
        <v>207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1587</f>
        <v>1587.0</v>
      </c>
      <c r="L54" s="34" t="s">
        <v>48</v>
      </c>
      <c r="M54" s="33" t="n">
        <f>1589</f>
        <v>1589.0</v>
      </c>
      <c r="N54" s="34" t="s">
        <v>78</v>
      </c>
      <c r="O54" s="33" t="n">
        <f>1540</f>
        <v>1540.0</v>
      </c>
      <c r="P54" s="34" t="s">
        <v>208</v>
      </c>
      <c r="Q54" s="33" t="n">
        <f>1541</f>
        <v>1541.0</v>
      </c>
      <c r="R54" s="34" t="s">
        <v>51</v>
      </c>
      <c r="S54" s="35" t="n">
        <f>1563.89</f>
        <v>1563.89</v>
      </c>
      <c r="T54" s="32" t="n">
        <f>7580</f>
        <v>7580.0</v>
      </c>
      <c r="U54" s="32" t="str">
        <f>"－"</f>
        <v>－</v>
      </c>
      <c r="V54" s="32" t="n">
        <f>11842900</f>
        <v>1.18429E7</v>
      </c>
      <c r="W54" s="32" t="str">
        <f>"－"</f>
        <v>－</v>
      </c>
      <c r="X54" s="36" t="n">
        <f>18</f>
        <v>18.0</v>
      </c>
    </row>
    <row r="55">
      <c r="A55" s="27" t="s">
        <v>42</v>
      </c>
      <c r="B55" s="27" t="s">
        <v>209</v>
      </c>
      <c r="C55" s="27" t="s">
        <v>210</v>
      </c>
      <c r="D55" s="27" t="s">
        <v>211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4225</f>
        <v>4225.0</v>
      </c>
      <c r="L55" s="34" t="s">
        <v>48</v>
      </c>
      <c r="M55" s="33" t="n">
        <f>4510</f>
        <v>4510.0</v>
      </c>
      <c r="N55" s="34" t="s">
        <v>58</v>
      </c>
      <c r="O55" s="33" t="n">
        <f>4175</f>
        <v>4175.0</v>
      </c>
      <c r="P55" s="34" t="s">
        <v>49</v>
      </c>
      <c r="Q55" s="33" t="n">
        <f>4250</f>
        <v>4250.0</v>
      </c>
      <c r="R55" s="34" t="s">
        <v>51</v>
      </c>
      <c r="S55" s="35" t="n">
        <f>4307.38</f>
        <v>4307.38</v>
      </c>
      <c r="T55" s="32" t="n">
        <f>1379154</f>
        <v>1379154.0</v>
      </c>
      <c r="U55" s="32" t="n">
        <f>98800</f>
        <v>98800.0</v>
      </c>
      <c r="V55" s="32" t="n">
        <f>5992229600</f>
        <v>5.9922296E9</v>
      </c>
      <c r="W55" s="32" t="n">
        <f>431988580</f>
        <v>4.3198858E8</v>
      </c>
      <c r="X55" s="36" t="n">
        <f>21</f>
        <v>21.0</v>
      </c>
    </row>
    <row r="56">
      <c r="A56" s="27" t="s">
        <v>42</v>
      </c>
      <c r="B56" s="27" t="s">
        <v>212</v>
      </c>
      <c r="C56" s="27" t="s">
        <v>213</v>
      </c>
      <c r="D56" s="27" t="s">
        <v>214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5070</f>
        <v>5070.0</v>
      </c>
      <c r="L56" s="34" t="s">
        <v>48</v>
      </c>
      <c r="M56" s="33" t="n">
        <f>5280</f>
        <v>5280.0</v>
      </c>
      <c r="N56" s="34" t="s">
        <v>50</v>
      </c>
      <c r="O56" s="33" t="n">
        <f>4975</f>
        <v>4975.0</v>
      </c>
      <c r="P56" s="34" t="s">
        <v>49</v>
      </c>
      <c r="Q56" s="33" t="n">
        <f>5090</f>
        <v>5090.0</v>
      </c>
      <c r="R56" s="34" t="s">
        <v>51</v>
      </c>
      <c r="S56" s="35" t="n">
        <f>5105.71</f>
        <v>5105.71</v>
      </c>
      <c r="T56" s="32" t="n">
        <f>221251</f>
        <v>221251.0</v>
      </c>
      <c r="U56" s="32" t="n">
        <f>81200</f>
        <v>81200.0</v>
      </c>
      <c r="V56" s="32" t="n">
        <f>1136316869</f>
        <v>1.136316869E9</v>
      </c>
      <c r="W56" s="32" t="n">
        <f>415384904</f>
        <v>4.15384904E8</v>
      </c>
      <c r="X56" s="36" t="n">
        <f>21</f>
        <v>21.0</v>
      </c>
    </row>
    <row r="57">
      <c r="A57" s="27" t="s">
        <v>42</v>
      </c>
      <c r="B57" s="27" t="s">
        <v>215</v>
      </c>
      <c r="C57" s="27" t="s">
        <v>216</v>
      </c>
      <c r="D57" s="27" t="s">
        <v>217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19120</f>
        <v>19120.0</v>
      </c>
      <c r="L57" s="34" t="s">
        <v>48</v>
      </c>
      <c r="M57" s="33" t="n">
        <f>19360</f>
        <v>19360.0</v>
      </c>
      <c r="N57" s="34" t="s">
        <v>49</v>
      </c>
      <c r="O57" s="33" t="n">
        <f>16590</f>
        <v>16590.0</v>
      </c>
      <c r="P57" s="34" t="s">
        <v>58</v>
      </c>
      <c r="Q57" s="33" t="n">
        <f>18580</f>
        <v>18580.0</v>
      </c>
      <c r="R57" s="34" t="s">
        <v>51</v>
      </c>
      <c r="S57" s="35" t="n">
        <f>18206.19</f>
        <v>18206.19</v>
      </c>
      <c r="T57" s="32" t="n">
        <f>26723331</f>
        <v>2.6723331E7</v>
      </c>
      <c r="U57" s="32" t="n">
        <f>34066</f>
        <v>34066.0</v>
      </c>
      <c r="V57" s="32" t="n">
        <f>488047452470</f>
        <v>4.8804745247E11</v>
      </c>
      <c r="W57" s="32" t="n">
        <f>593893030</f>
        <v>5.9389303E8</v>
      </c>
      <c r="X57" s="36" t="n">
        <f>21</f>
        <v>21.0</v>
      </c>
    </row>
    <row r="58">
      <c r="A58" s="27" t="s">
        <v>42</v>
      </c>
      <c r="B58" s="27" t="s">
        <v>218</v>
      </c>
      <c r="C58" s="27" t="s">
        <v>219</v>
      </c>
      <c r="D58" s="27" t="s">
        <v>220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1552</f>
        <v>1552.0</v>
      </c>
      <c r="L58" s="34" t="s">
        <v>48</v>
      </c>
      <c r="M58" s="33" t="n">
        <f>1777</f>
        <v>1777.0</v>
      </c>
      <c r="N58" s="34" t="s">
        <v>58</v>
      </c>
      <c r="O58" s="33" t="n">
        <f>1513</f>
        <v>1513.0</v>
      </c>
      <c r="P58" s="34" t="s">
        <v>49</v>
      </c>
      <c r="Q58" s="33" t="n">
        <f>1571</f>
        <v>1571.0</v>
      </c>
      <c r="R58" s="34" t="s">
        <v>51</v>
      </c>
      <c r="S58" s="35" t="n">
        <f>1614.71</f>
        <v>1614.71</v>
      </c>
      <c r="T58" s="32" t="n">
        <f>206507386</f>
        <v>2.06507386E8</v>
      </c>
      <c r="U58" s="32" t="n">
        <f>350239</f>
        <v>350239.0</v>
      </c>
      <c r="V58" s="32" t="n">
        <f>336595994604</f>
        <v>3.36595994604E11</v>
      </c>
      <c r="W58" s="32" t="n">
        <f>590325336</f>
        <v>5.90325336E8</v>
      </c>
      <c r="X58" s="36" t="n">
        <f>21</f>
        <v>21.0</v>
      </c>
    </row>
    <row r="59">
      <c r="A59" s="27" t="s">
        <v>42</v>
      </c>
      <c r="B59" s="27" t="s">
        <v>221</v>
      </c>
      <c r="C59" s="27" t="s">
        <v>222</v>
      </c>
      <c r="D59" s="27" t="s">
        <v>223</v>
      </c>
      <c r="E59" s="28" t="s">
        <v>122</v>
      </c>
      <c r="F59" s="29" t="s">
        <v>123</v>
      </c>
      <c r="G59" s="30" t="s">
        <v>124</v>
      </c>
      <c r="H59" s="31" t="s">
        <v>105</v>
      </c>
      <c r="I59" s="31"/>
      <c r="J59" s="32" t="n">
        <v>1.0</v>
      </c>
      <c r="K59" s="33" t="n">
        <f>26290</f>
        <v>26290.0</v>
      </c>
      <c r="L59" s="34" t="s">
        <v>48</v>
      </c>
      <c r="M59" s="33" t="n">
        <f>26450</f>
        <v>26450.0</v>
      </c>
      <c r="N59" s="34" t="s">
        <v>73</v>
      </c>
      <c r="O59" s="33" t="n">
        <f>26270</f>
        <v>26270.0</v>
      </c>
      <c r="P59" s="34" t="s">
        <v>48</v>
      </c>
      <c r="Q59" s="33" t="n">
        <f>26450</f>
        <v>26450.0</v>
      </c>
      <c r="R59" s="34" t="s">
        <v>73</v>
      </c>
      <c r="S59" s="35" t="n">
        <f>26340</f>
        <v>26340.0</v>
      </c>
      <c r="T59" s="32" t="n">
        <f>102</f>
        <v>102.0</v>
      </c>
      <c r="U59" s="32" t="str">
        <f>"－"</f>
        <v>－</v>
      </c>
      <c r="V59" s="32" t="n">
        <f>2693070</f>
        <v>2693070.0</v>
      </c>
      <c r="W59" s="32" t="str">
        <f>"－"</f>
        <v>－</v>
      </c>
      <c r="X59" s="36" t="n">
        <f>3</f>
        <v>3.0</v>
      </c>
    </row>
    <row r="60">
      <c r="A60" s="27" t="s">
        <v>42</v>
      </c>
      <c r="B60" s="27" t="s">
        <v>224</v>
      </c>
      <c r="C60" s="27" t="s">
        <v>225</v>
      </c>
      <c r="D60" s="27" t="s">
        <v>226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15980</f>
        <v>15980.0</v>
      </c>
      <c r="L60" s="34" t="s">
        <v>48</v>
      </c>
      <c r="M60" s="33" t="n">
        <f>16430</f>
        <v>16430.0</v>
      </c>
      <c r="N60" s="34" t="s">
        <v>49</v>
      </c>
      <c r="O60" s="33" t="n">
        <f>14580</f>
        <v>14580.0</v>
      </c>
      <c r="P60" s="34" t="s">
        <v>50</v>
      </c>
      <c r="Q60" s="33" t="n">
        <f>15760</f>
        <v>15760.0</v>
      </c>
      <c r="R60" s="34" t="s">
        <v>51</v>
      </c>
      <c r="S60" s="35" t="n">
        <f>15611.9</f>
        <v>15611.9</v>
      </c>
      <c r="T60" s="32" t="n">
        <f>4525</f>
        <v>4525.0</v>
      </c>
      <c r="U60" s="32" t="str">
        <f>"－"</f>
        <v>－</v>
      </c>
      <c r="V60" s="32" t="n">
        <f>70027560</f>
        <v>7.002756E7</v>
      </c>
      <c r="W60" s="32" t="str">
        <f>"－"</f>
        <v>－</v>
      </c>
      <c r="X60" s="36" t="n">
        <f>21</f>
        <v>21.0</v>
      </c>
    </row>
    <row r="61">
      <c r="A61" s="27" t="s">
        <v>42</v>
      </c>
      <c r="B61" s="27" t="s">
        <v>227</v>
      </c>
      <c r="C61" s="27" t="s">
        <v>228</v>
      </c>
      <c r="D61" s="27" t="s">
        <v>229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4885</f>
        <v>4885.0</v>
      </c>
      <c r="L61" s="34" t="s">
        <v>48</v>
      </c>
      <c r="M61" s="33" t="n">
        <f>5130</f>
        <v>5130.0</v>
      </c>
      <c r="N61" s="34" t="s">
        <v>50</v>
      </c>
      <c r="O61" s="33" t="n">
        <f>4865</f>
        <v>4865.0</v>
      </c>
      <c r="P61" s="34" t="s">
        <v>91</v>
      </c>
      <c r="Q61" s="33" t="n">
        <f>4930</f>
        <v>4930.0</v>
      </c>
      <c r="R61" s="34" t="s">
        <v>192</v>
      </c>
      <c r="S61" s="35" t="n">
        <f>4965.42</f>
        <v>4965.42</v>
      </c>
      <c r="T61" s="32" t="n">
        <f>818</f>
        <v>818.0</v>
      </c>
      <c r="U61" s="32" t="str">
        <f>"－"</f>
        <v>－</v>
      </c>
      <c r="V61" s="32" t="n">
        <f>4071340</f>
        <v>4071340.0</v>
      </c>
      <c r="W61" s="32" t="str">
        <f>"－"</f>
        <v>－</v>
      </c>
      <c r="X61" s="36" t="n">
        <f>12</f>
        <v>12.0</v>
      </c>
    </row>
    <row r="62">
      <c r="A62" s="27" t="s">
        <v>42</v>
      </c>
      <c r="B62" s="27" t="s">
        <v>230</v>
      </c>
      <c r="C62" s="27" t="s">
        <v>231</v>
      </c>
      <c r="D62" s="27" t="s">
        <v>232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1975</f>
        <v>1975.0</v>
      </c>
      <c r="L62" s="34" t="s">
        <v>48</v>
      </c>
      <c r="M62" s="33" t="n">
        <f>2114</f>
        <v>2114.0</v>
      </c>
      <c r="N62" s="34" t="s">
        <v>50</v>
      </c>
      <c r="O62" s="33" t="n">
        <f>1867</f>
        <v>1867.0</v>
      </c>
      <c r="P62" s="34" t="s">
        <v>49</v>
      </c>
      <c r="Q62" s="33" t="n">
        <f>1954</f>
        <v>1954.0</v>
      </c>
      <c r="R62" s="34" t="s">
        <v>51</v>
      </c>
      <c r="S62" s="35" t="n">
        <f>1972.62</f>
        <v>1972.62</v>
      </c>
      <c r="T62" s="32" t="n">
        <f>52151</f>
        <v>52151.0</v>
      </c>
      <c r="U62" s="32" t="str">
        <f>"－"</f>
        <v>－</v>
      </c>
      <c r="V62" s="32" t="n">
        <f>103595585</f>
        <v>1.03595585E8</v>
      </c>
      <c r="W62" s="32" t="str">
        <f>"－"</f>
        <v>－</v>
      </c>
      <c r="X62" s="36" t="n">
        <f>21</f>
        <v>21.0</v>
      </c>
    </row>
    <row r="63">
      <c r="A63" s="27" t="s">
        <v>42</v>
      </c>
      <c r="B63" s="27" t="s">
        <v>233</v>
      </c>
      <c r="C63" s="27" t="s">
        <v>234</v>
      </c>
      <c r="D63" s="27" t="s">
        <v>235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15290</f>
        <v>15290.0</v>
      </c>
      <c r="L63" s="34" t="s">
        <v>48</v>
      </c>
      <c r="M63" s="33" t="n">
        <f>15400</f>
        <v>15400.0</v>
      </c>
      <c r="N63" s="34" t="s">
        <v>58</v>
      </c>
      <c r="O63" s="33" t="n">
        <f>13810</f>
        <v>13810.0</v>
      </c>
      <c r="P63" s="34" t="s">
        <v>50</v>
      </c>
      <c r="Q63" s="33" t="n">
        <f>14760</f>
        <v>14760.0</v>
      </c>
      <c r="R63" s="34" t="s">
        <v>51</v>
      </c>
      <c r="S63" s="35" t="n">
        <f>14683.53</f>
        <v>14683.53</v>
      </c>
      <c r="T63" s="32" t="n">
        <f>8930</f>
        <v>8930.0</v>
      </c>
      <c r="U63" s="32" t="n">
        <f>10</f>
        <v>10.0</v>
      </c>
      <c r="V63" s="32" t="n">
        <f>131777600</f>
        <v>1.317776E8</v>
      </c>
      <c r="W63" s="32" t="n">
        <f>145800</f>
        <v>145800.0</v>
      </c>
      <c r="X63" s="36" t="n">
        <f>17</f>
        <v>17.0</v>
      </c>
    </row>
    <row r="64">
      <c r="A64" s="27" t="s">
        <v>42</v>
      </c>
      <c r="B64" s="27" t="s">
        <v>236</v>
      </c>
      <c r="C64" s="27" t="s">
        <v>237</v>
      </c>
      <c r="D64" s="27" t="s">
        <v>238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4760</f>
        <v>4760.0</v>
      </c>
      <c r="L64" s="34" t="s">
        <v>48</v>
      </c>
      <c r="M64" s="33" t="n">
        <f>4900</f>
        <v>4900.0</v>
      </c>
      <c r="N64" s="34" t="s">
        <v>50</v>
      </c>
      <c r="O64" s="33" t="n">
        <f>4675</f>
        <v>4675.0</v>
      </c>
      <c r="P64" s="34" t="s">
        <v>95</v>
      </c>
      <c r="Q64" s="33" t="n">
        <f>4720</f>
        <v>4720.0</v>
      </c>
      <c r="R64" s="34" t="s">
        <v>74</v>
      </c>
      <c r="S64" s="35" t="n">
        <f>4784.44</f>
        <v>4784.44</v>
      </c>
      <c r="T64" s="32" t="n">
        <f>380</f>
        <v>380.0</v>
      </c>
      <c r="U64" s="32" t="str">
        <f>"－"</f>
        <v>－</v>
      </c>
      <c r="V64" s="32" t="n">
        <f>1833750</f>
        <v>1833750.0</v>
      </c>
      <c r="W64" s="32" t="str">
        <f>"－"</f>
        <v>－</v>
      </c>
      <c r="X64" s="36" t="n">
        <f>9</f>
        <v>9.0</v>
      </c>
    </row>
    <row r="65">
      <c r="A65" s="27" t="s">
        <v>42</v>
      </c>
      <c r="B65" s="27" t="s">
        <v>239</v>
      </c>
      <c r="C65" s="27" t="s">
        <v>240</v>
      </c>
      <c r="D65" s="27" t="s">
        <v>241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1929</f>
        <v>1929.0</v>
      </c>
      <c r="L65" s="34" t="s">
        <v>48</v>
      </c>
      <c r="M65" s="33" t="n">
        <f>2095</f>
        <v>2095.0</v>
      </c>
      <c r="N65" s="34" t="s">
        <v>58</v>
      </c>
      <c r="O65" s="33" t="n">
        <f>1854</f>
        <v>1854.0</v>
      </c>
      <c r="P65" s="34" t="s">
        <v>49</v>
      </c>
      <c r="Q65" s="33" t="n">
        <f>1939</f>
        <v>1939.0</v>
      </c>
      <c r="R65" s="34" t="s">
        <v>51</v>
      </c>
      <c r="S65" s="35" t="n">
        <f>1951.95</f>
        <v>1951.95</v>
      </c>
      <c r="T65" s="32" t="n">
        <f>84910</f>
        <v>84910.0</v>
      </c>
      <c r="U65" s="32" t="str">
        <f>"－"</f>
        <v>－</v>
      </c>
      <c r="V65" s="32" t="n">
        <f>167334330</f>
        <v>1.6733433E8</v>
      </c>
      <c r="W65" s="32" t="str">
        <f>"－"</f>
        <v>－</v>
      </c>
      <c r="X65" s="36" t="n">
        <f>21</f>
        <v>21.0</v>
      </c>
    </row>
    <row r="66">
      <c r="A66" s="27" t="s">
        <v>42</v>
      </c>
      <c r="B66" s="27" t="s">
        <v>242</v>
      </c>
      <c r="C66" s="27" t="s">
        <v>243</v>
      </c>
      <c r="D66" s="27" t="s">
        <v>244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3220</f>
        <v>3220.0</v>
      </c>
      <c r="L66" s="34" t="s">
        <v>48</v>
      </c>
      <c r="M66" s="33" t="n">
        <f>3330</f>
        <v>3330.0</v>
      </c>
      <c r="N66" s="34" t="s">
        <v>208</v>
      </c>
      <c r="O66" s="33" t="n">
        <f>3150</f>
        <v>3150.0</v>
      </c>
      <c r="P66" s="34" t="s">
        <v>49</v>
      </c>
      <c r="Q66" s="33" t="n">
        <f>3230</f>
        <v>3230.0</v>
      </c>
      <c r="R66" s="34" t="s">
        <v>51</v>
      </c>
      <c r="S66" s="35" t="n">
        <f>3223.33</f>
        <v>3223.33</v>
      </c>
      <c r="T66" s="32" t="n">
        <f>2135</f>
        <v>2135.0</v>
      </c>
      <c r="U66" s="32" t="str">
        <f>"－"</f>
        <v>－</v>
      </c>
      <c r="V66" s="32" t="n">
        <f>6932815</f>
        <v>6932815.0</v>
      </c>
      <c r="W66" s="32" t="str">
        <f>"－"</f>
        <v>－</v>
      </c>
      <c r="X66" s="36" t="n">
        <f>15</f>
        <v>15.0</v>
      </c>
    </row>
    <row r="67">
      <c r="A67" s="27" t="s">
        <v>42</v>
      </c>
      <c r="B67" s="27" t="s">
        <v>245</v>
      </c>
      <c r="C67" s="27" t="s">
        <v>246</v>
      </c>
      <c r="D67" s="27" t="s">
        <v>247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776</f>
        <v>776.0</v>
      </c>
      <c r="L67" s="34" t="s">
        <v>48</v>
      </c>
      <c r="M67" s="33" t="n">
        <f>842</f>
        <v>842.0</v>
      </c>
      <c r="N67" s="34" t="s">
        <v>50</v>
      </c>
      <c r="O67" s="33" t="n">
        <f>735</f>
        <v>735.0</v>
      </c>
      <c r="P67" s="34" t="s">
        <v>95</v>
      </c>
      <c r="Q67" s="33" t="n">
        <f>781</f>
        <v>781.0</v>
      </c>
      <c r="R67" s="34" t="s">
        <v>51</v>
      </c>
      <c r="S67" s="35" t="n">
        <f>787.62</f>
        <v>787.62</v>
      </c>
      <c r="T67" s="32" t="n">
        <f>47832</f>
        <v>47832.0</v>
      </c>
      <c r="U67" s="32" t="str">
        <f>"－"</f>
        <v>－</v>
      </c>
      <c r="V67" s="32" t="n">
        <f>37947989</f>
        <v>3.7947989E7</v>
      </c>
      <c r="W67" s="32" t="str">
        <f>"－"</f>
        <v>－</v>
      </c>
      <c r="X67" s="36" t="n">
        <f>21</f>
        <v>21.0</v>
      </c>
    </row>
    <row r="68">
      <c r="A68" s="27" t="s">
        <v>42</v>
      </c>
      <c r="B68" s="27" t="s">
        <v>248</v>
      </c>
      <c r="C68" s="27" t="s">
        <v>249</v>
      </c>
      <c r="D68" s="27" t="s">
        <v>250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10.0</v>
      </c>
      <c r="K68" s="33" t="n">
        <f>2053</f>
        <v>2053.0</v>
      </c>
      <c r="L68" s="34" t="s">
        <v>48</v>
      </c>
      <c r="M68" s="33" t="n">
        <f>2080</f>
        <v>2080.0</v>
      </c>
      <c r="N68" s="34" t="s">
        <v>49</v>
      </c>
      <c r="O68" s="33" t="n">
        <f>1968</f>
        <v>1968.0</v>
      </c>
      <c r="P68" s="34" t="s">
        <v>58</v>
      </c>
      <c r="Q68" s="33" t="n">
        <f>2039</f>
        <v>2039.0</v>
      </c>
      <c r="R68" s="34" t="s">
        <v>51</v>
      </c>
      <c r="S68" s="35" t="n">
        <f>2032.1</f>
        <v>2032.1</v>
      </c>
      <c r="T68" s="32" t="n">
        <f>39903750</f>
        <v>3.990375E7</v>
      </c>
      <c r="U68" s="32" t="n">
        <f>39338460</f>
        <v>3.933846E7</v>
      </c>
      <c r="V68" s="32" t="n">
        <f>81291531640</f>
        <v>8.129153164E10</v>
      </c>
      <c r="W68" s="32" t="n">
        <f>80149471670</f>
        <v>8.014947167E10</v>
      </c>
      <c r="X68" s="36" t="n">
        <f>21</f>
        <v>21.0</v>
      </c>
    </row>
    <row r="69">
      <c r="A69" s="27" t="s">
        <v>42</v>
      </c>
      <c r="B69" s="27" t="s">
        <v>251</v>
      </c>
      <c r="C69" s="27" t="s">
        <v>252</v>
      </c>
      <c r="D69" s="27" t="s">
        <v>253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18420</f>
        <v>18420.0</v>
      </c>
      <c r="L69" s="34" t="s">
        <v>48</v>
      </c>
      <c r="M69" s="33" t="n">
        <f>18580</f>
        <v>18580.0</v>
      </c>
      <c r="N69" s="34" t="s">
        <v>91</v>
      </c>
      <c r="O69" s="33" t="n">
        <f>17650</f>
        <v>17650.0</v>
      </c>
      <c r="P69" s="34" t="s">
        <v>58</v>
      </c>
      <c r="Q69" s="33" t="n">
        <f>18280</f>
        <v>18280.0</v>
      </c>
      <c r="R69" s="34" t="s">
        <v>51</v>
      </c>
      <c r="S69" s="35" t="n">
        <f>18223.33</f>
        <v>18223.33</v>
      </c>
      <c r="T69" s="32" t="n">
        <f>60534</f>
        <v>60534.0</v>
      </c>
      <c r="U69" s="32" t="n">
        <f>10000</f>
        <v>10000.0</v>
      </c>
      <c r="V69" s="32" t="n">
        <f>1107391980</f>
        <v>1.10739198E9</v>
      </c>
      <c r="W69" s="32" t="n">
        <f>180040000</f>
        <v>1.8004E8</v>
      </c>
      <c r="X69" s="36" t="n">
        <f>21</f>
        <v>21.0</v>
      </c>
    </row>
    <row r="70">
      <c r="A70" s="27" t="s">
        <v>42</v>
      </c>
      <c r="B70" s="27" t="s">
        <v>254</v>
      </c>
      <c r="C70" s="27" t="s">
        <v>255</v>
      </c>
      <c r="D70" s="27" t="s">
        <v>256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2064</f>
        <v>2064.0</v>
      </c>
      <c r="L70" s="34" t="s">
        <v>48</v>
      </c>
      <c r="M70" s="33" t="n">
        <f>2095</f>
        <v>2095.0</v>
      </c>
      <c r="N70" s="34" t="s">
        <v>49</v>
      </c>
      <c r="O70" s="33" t="n">
        <f>1977</f>
        <v>1977.0</v>
      </c>
      <c r="P70" s="34" t="s">
        <v>58</v>
      </c>
      <c r="Q70" s="33" t="n">
        <f>2052</f>
        <v>2052.0</v>
      </c>
      <c r="R70" s="34" t="s">
        <v>51</v>
      </c>
      <c r="S70" s="35" t="n">
        <f>2043.19</f>
        <v>2043.19</v>
      </c>
      <c r="T70" s="32" t="n">
        <f>20661485</f>
        <v>2.0661485E7</v>
      </c>
      <c r="U70" s="32" t="n">
        <f>15955436</f>
        <v>1.5955436E7</v>
      </c>
      <c r="V70" s="32" t="n">
        <f>41878422632</f>
        <v>4.1878422632E10</v>
      </c>
      <c r="W70" s="32" t="n">
        <f>32295126475</f>
        <v>3.2295126475E10</v>
      </c>
      <c r="X70" s="36" t="n">
        <f>21</f>
        <v>21.0</v>
      </c>
    </row>
    <row r="71">
      <c r="A71" s="27" t="s">
        <v>42</v>
      </c>
      <c r="B71" s="27" t="s">
        <v>257</v>
      </c>
      <c r="C71" s="27" t="s">
        <v>258</v>
      </c>
      <c r="D71" s="27" t="s">
        <v>259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2152</f>
        <v>2152.0</v>
      </c>
      <c r="L71" s="34" t="s">
        <v>48</v>
      </c>
      <c r="M71" s="33" t="n">
        <f>2182</f>
        <v>2182.0</v>
      </c>
      <c r="N71" s="34" t="s">
        <v>91</v>
      </c>
      <c r="O71" s="33" t="n">
        <f>2050</f>
        <v>2050.0</v>
      </c>
      <c r="P71" s="34" t="s">
        <v>50</v>
      </c>
      <c r="Q71" s="33" t="n">
        <f>2164</f>
        <v>2164.0</v>
      </c>
      <c r="R71" s="34" t="s">
        <v>51</v>
      </c>
      <c r="S71" s="35" t="n">
        <f>2136.29</f>
        <v>2136.29</v>
      </c>
      <c r="T71" s="32" t="n">
        <f>3119849</f>
        <v>3119849.0</v>
      </c>
      <c r="U71" s="32" t="n">
        <f>476641</f>
        <v>476641.0</v>
      </c>
      <c r="V71" s="32" t="n">
        <f>6616722104</f>
        <v>6.616722104E9</v>
      </c>
      <c r="W71" s="32" t="n">
        <f>1000576663</f>
        <v>1.000576663E9</v>
      </c>
      <c r="X71" s="36" t="n">
        <f>21</f>
        <v>21.0</v>
      </c>
    </row>
    <row r="72">
      <c r="A72" s="27" t="s">
        <v>42</v>
      </c>
      <c r="B72" s="27" t="s">
        <v>260</v>
      </c>
      <c r="C72" s="27" t="s">
        <v>261</v>
      </c>
      <c r="D72" s="27" t="s">
        <v>262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1938</f>
        <v>1938.0</v>
      </c>
      <c r="L72" s="34" t="s">
        <v>48</v>
      </c>
      <c r="M72" s="33" t="n">
        <f>1972</f>
        <v>1972.0</v>
      </c>
      <c r="N72" s="34" t="s">
        <v>78</v>
      </c>
      <c r="O72" s="33" t="n">
        <f>1868</f>
        <v>1868.0</v>
      </c>
      <c r="P72" s="34" t="s">
        <v>58</v>
      </c>
      <c r="Q72" s="33" t="n">
        <f>1900</f>
        <v>1900.0</v>
      </c>
      <c r="R72" s="34" t="s">
        <v>51</v>
      </c>
      <c r="S72" s="35" t="n">
        <f>1904.9</f>
        <v>1904.9</v>
      </c>
      <c r="T72" s="32" t="n">
        <f>43887</f>
        <v>43887.0</v>
      </c>
      <c r="U72" s="32" t="n">
        <f>37487</f>
        <v>37487.0</v>
      </c>
      <c r="V72" s="32" t="n">
        <f>83424808</f>
        <v>8.3424808E7</v>
      </c>
      <c r="W72" s="32" t="n">
        <f>71267668</f>
        <v>7.1267668E7</v>
      </c>
      <c r="X72" s="36" t="n">
        <f>21</f>
        <v>21.0</v>
      </c>
    </row>
    <row r="73">
      <c r="A73" s="27" t="s">
        <v>42</v>
      </c>
      <c r="B73" s="27" t="s">
        <v>263</v>
      </c>
      <c r="C73" s="27" t="s">
        <v>264</v>
      </c>
      <c r="D73" s="27" t="s">
        <v>265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2207</f>
        <v>2207.0</v>
      </c>
      <c r="L73" s="34" t="s">
        <v>48</v>
      </c>
      <c r="M73" s="33" t="n">
        <f>2253</f>
        <v>2253.0</v>
      </c>
      <c r="N73" s="34" t="s">
        <v>95</v>
      </c>
      <c r="O73" s="33" t="n">
        <f>2161</f>
        <v>2161.0</v>
      </c>
      <c r="P73" s="34" t="s">
        <v>58</v>
      </c>
      <c r="Q73" s="33" t="n">
        <f>2211</f>
        <v>2211.0</v>
      </c>
      <c r="R73" s="34" t="s">
        <v>51</v>
      </c>
      <c r="S73" s="35" t="n">
        <f>2210.24</f>
        <v>2210.24</v>
      </c>
      <c r="T73" s="32" t="n">
        <f>130294</f>
        <v>130294.0</v>
      </c>
      <c r="U73" s="32" t="n">
        <f>45744</f>
        <v>45744.0</v>
      </c>
      <c r="V73" s="32" t="n">
        <f>286389543</f>
        <v>2.86389543E8</v>
      </c>
      <c r="W73" s="32" t="n">
        <f>99912134</f>
        <v>9.9912134E7</v>
      </c>
      <c r="X73" s="36" t="n">
        <f>21</f>
        <v>21.0</v>
      </c>
    </row>
    <row r="74">
      <c r="A74" s="27" t="s">
        <v>42</v>
      </c>
      <c r="B74" s="27" t="s">
        <v>266</v>
      </c>
      <c r="C74" s="27" t="s">
        <v>267</v>
      </c>
      <c r="D74" s="27" t="s">
        <v>268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24920</f>
        <v>24920.0</v>
      </c>
      <c r="L74" s="34" t="s">
        <v>48</v>
      </c>
      <c r="M74" s="33" t="n">
        <f>25420</f>
        <v>25420.0</v>
      </c>
      <c r="N74" s="34" t="s">
        <v>49</v>
      </c>
      <c r="O74" s="33" t="n">
        <f>23790</f>
        <v>23790.0</v>
      </c>
      <c r="P74" s="34" t="s">
        <v>50</v>
      </c>
      <c r="Q74" s="33" t="n">
        <f>24960</f>
        <v>24960.0</v>
      </c>
      <c r="R74" s="34" t="s">
        <v>51</v>
      </c>
      <c r="S74" s="35" t="n">
        <f>24774.71</f>
        <v>24774.71</v>
      </c>
      <c r="T74" s="32" t="n">
        <f>56</f>
        <v>56.0</v>
      </c>
      <c r="U74" s="32" t="str">
        <f>"－"</f>
        <v>－</v>
      </c>
      <c r="V74" s="32" t="n">
        <f>1390590</f>
        <v>1390590.0</v>
      </c>
      <c r="W74" s="32" t="str">
        <f>"－"</f>
        <v>－</v>
      </c>
      <c r="X74" s="36" t="n">
        <f>17</f>
        <v>17.0</v>
      </c>
    </row>
    <row r="75">
      <c r="A75" s="27" t="s">
        <v>42</v>
      </c>
      <c r="B75" s="27" t="s">
        <v>269</v>
      </c>
      <c r="C75" s="27" t="s">
        <v>270</v>
      </c>
      <c r="D75" s="27" t="s">
        <v>271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20290</f>
        <v>20290.0</v>
      </c>
      <c r="L75" s="34" t="s">
        <v>78</v>
      </c>
      <c r="M75" s="33" t="n">
        <f>20580</f>
        <v>20580.0</v>
      </c>
      <c r="N75" s="34" t="s">
        <v>95</v>
      </c>
      <c r="O75" s="33" t="n">
        <f>19600</f>
        <v>19600.0</v>
      </c>
      <c r="P75" s="34" t="s">
        <v>50</v>
      </c>
      <c r="Q75" s="33" t="n">
        <f>20000</f>
        <v>20000.0</v>
      </c>
      <c r="R75" s="34" t="s">
        <v>51</v>
      </c>
      <c r="S75" s="35" t="n">
        <f>20035</f>
        <v>20035.0</v>
      </c>
      <c r="T75" s="32" t="n">
        <f>854</f>
        <v>854.0</v>
      </c>
      <c r="U75" s="32" t="str">
        <f>"－"</f>
        <v>－</v>
      </c>
      <c r="V75" s="32" t="n">
        <f>17181730</f>
        <v>1.718173E7</v>
      </c>
      <c r="W75" s="32" t="str">
        <f>"－"</f>
        <v>－</v>
      </c>
      <c r="X75" s="36" t="n">
        <f>12</f>
        <v>12.0</v>
      </c>
    </row>
    <row r="76">
      <c r="A76" s="27" t="s">
        <v>42</v>
      </c>
      <c r="B76" s="27" t="s">
        <v>272</v>
      </c>
      <c r="C76" s="27" t="s">
        <v>273</v>
      </c>
      <c r="D76" s="27" t="s">
        <v>274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2017</f>
        <v>2017.0</v>
      </c>
      <c r="L76" s="34" t="s">
        <v>48</v>
      </c>
      <c r="M76" s="33" t="n">
        <f>2033</f>
        <v>2033.0</v>
      </c>
      <c r="N76" s="34" t="s">
        <v>72</v>
      </c>
      <c r="O76" s="33" t="n">
        <f>1935</f>
        <v>1935.0</v>
      </c>
      <c r="P76" s="34" t="s">
        <v>50</v>
      </c>
      <c r="Q76" s="33" t="n">
        <f>1981</f>
        <v>1981.0</v>
      </c>
      <c r="R76" s="34" t="s">
        <v>51</v>
      </c>
      <c r="S76" s="35" t="n">
        <f>1990.47</f>
        <v>1990.47</v>
      </c>
      <c r="T76" s="32" t="n">
        <f>2016</f>
        <v>2016.0</v>
      </c>
      <c r="U76" s="32" t="str">
        <f>"－"</f>
        <v>－</v>
      </c>
      <c r="V76" s="32" t="n">
        <f>3991482</f>
        <v>3991482.0</v>
      </c>
      <c r="W76" s="32" t="str">
        <f>"－"</f>
        <v>－</v>
      </c>
      <c r="X76" s="36" t="n">
        <f>19</f>
        <v>19.0</v>
      </c>
    </row>
    <row r="77">
      <c r="A77" s="27" t="s">
        <v>42</v>
      </c>
      <c r="B77" s="27" t="s">
        <v>275</v>
      </c>
      <c r="C77" s="27" t="s">
        <v>276</v>
      </c>
      <c r="D77" s="27" t="s">
        <v>277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2350</f>
        <v>2350.0</v>
      </c>
      <c r="L77" s="34" t="s">
        <v>48</v>
      </c>
      <c r="M77" s="33" t="n">
        <f>2361</f>
        <v>2361.0</v>
      </c>
      <c r="N77" s="34" t="s">
        <v>78</v>
      </c>
      <c r="O77" s="33" t="n">
        <f>2306</f>
        <v>2306.0</v>
      </c>
      <c r="P77" s="34" t="s">
        <v>62</v>
      </c>
      <c r="Q77" s="33" t="n">
        <f>2323</f>
        <v>2323.0</v>
      </c>
      <c r="R77" s="34" t="s">
        <v>51</v>
      </c>
      <c r="S77" s="35" t="n">
        <f>2328.95</f>
        <v>2328.95</v>
      </c>
      <c r="T77" s="32" t="n">
        <f>4876033</f>
        <v>4876033.0</v>
      </c>
      <c r="U77" s="32" t="n">
        <f>1400000</f>
        <v>1400000.0</v>
      </c>
      <c r="V77" s="32" t="n">
        <f>11355042286</f>
        <v>1.1355042286E10</v>
      </c>
      <c r="W77" s="32" t="n">
        <f>3249604112</f>
        <v>3.249604112E9</v>
      </c>
      <c r="X77" s="36" t="n">
        <f>21</f>
        <v>21.0</v>
      </c>
    </row>
    <row r="78">
      <c r="A78" s="27" t="s">
        <v>42</v>
      </c>
      <c r="B78" s="27" t="s">
        <v>278</v>
      </c>
      <c r="C78" s="27" t="s">
        <v>279</v>
      </c>
      <c r="D78" s="27" t="s">
        <v>280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2013</f>
        <v>2013.0</v>
      </c>
      <c r="L78" s="34" t="s">
        <v>48</v>
      </c>
      <c r="M78" s="33" t="n">
        <f>2300</f>
        <v>2300.0</v>
      </c>
      <c r="N78" s="34" t="s">
        <v>95</v>
      </c>
      <c r="O78" s="33" t="n">
        <f>1925</f>
        <v>1925.0</v>
      </c>
      <c r="P78" s="34" t="s">
        <v>58</v>
      </c>
      <c r="Q78" s="33" t="n">
        <f>2000</f>
        <v>2000.0</v>
      </c>
      <c r="R78" s="34" t="s">
        <v>51</v>
      </c>
      <c r="S78" s="35" t="n">
        <f>1994.5</f>
        <v>1994.5</v>
      </c>
      <c r="T78" s="32" t="n">
        <f>1887</f>
        <v>1887.0</v>
      </c>
      <c r="U78" s="32" t="str">
        <f>"－"</f>
        <v>－</v>
      </c>
      <c r="V78" s="32" t="n">
        <f>3840945</f>
        <v>3840945.0</v>
      </c>
      <c r="W78" s="32" t="str">
        <f>"－"</f>
        <v>－</v>
      </c>
      <c r="X78" s="36" t="n">
        <f>20</f>
        <v>20.0</v>
      </c>
    </row>
    <row r="79">
      <c r="A79" s="27" t="s">
        <v>42</v>
      </c>
      <c r="B79" s="27" t="s">
        <v>281</v>
      </c>
      <c r="C79" s="27" t="s">
        <v>282</v>
      </c>
      <c r="D79" s="27" t="s">
        <v>283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1987</f>
        <v>1987.0</v>
      </c>
      <c r="L79" s="34" t="s">
        <v>48</v>
      </c>
      <c r="M79" s="33" t="n">
        <f>2012</f>
        <v>2012.0</v>
      </c>
      <c r="N79" s="34" t="s">
        <v>49</v>
      </c>
      <c r="O79" s="33" t="n">
        <f>1904</f>
        <v>1904.0</v>
      </c>
      <c r="P79" s="34" t="s">
        <v>58</v>
      </c>
      <c r="Q79" s="33" t="n">
        <f>1972</f>
        <v>1972.0</v>
      </c>
      <c r="R79" s="34" t="s">
        <v>51</v>
      </c>
      <c r="S79" s="35" t="n">
        <f>1964.67</f>
        <v>1964.67</v>
      </c>
      <c r="T79" s="32" t="n">
        <f>78810</f>
        <v>78810.0</v>
      </c>
      <c r="U79" s="32" t="str">
        <f>"－"</f>
        <v>－</v>
      </c>
      <c r="V79" s="32" t="n">
        <f>156245970</f>
        <v>1.5624597E8</v>
      </c>
      <c r="W79" s="32" t="str">
        <f>"－"</f>
        <v>－</v>
      </c>
      <c r="X79" s="36" t="n">
        <f>21</f>
        <v>21.0</v>
      </c>
    </row>
    <row r="80">
      <c r="A80" s="27" t="s">
        <v>42</v>
      </c>
      <c r="B80" s="27" t="s">
        <v>284</v>
      </c>
      <c r="C80" s="27" t="s">
        <v>285</v>
      </c>
      <c r="D80" s="27" t="s">
        <v>286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29600</f>
        <v>29600.0</v>
      </c>
      <c r="L80" s="34" t="s">
        <v>48</v>
      </c>
      <c r="M80" s="33" t="n">
        <f>31450</f>
        <v>31450.0</v>
      </c>
      <c r="N80" s="34" t="s">
        <v>50</v>
      </c>
      <c r="O80" s="33" t="n">
        <f>29600</f>
        <v>29600.0</v>
      </c>
      <c r="P80" s="34" t="s">
        <v>48</v>
      </c>
      <c r="Q80" s="33" t="n">
        <f>31450</f>
        <v>31450.0</v>
      </c>
      <c r="R80" s="34" t="s">
        <v>50</v>
      </c>
      <c r="S80" s="35" t="n">
        <f>30366.67</f>
        <v>30366.67</v>
      </c>
      <c r="T80" s="32" t="n">
        <f>7</f>
        <v>7.0</v>
      </c>
      <c r="U80" s="32" t="str">
        <f>"－"</f>
        <v>－</v>
      </c>
      <c r="V80" s="32" t="n">
        <f>215050</f>
        <v>215050.0</v>
      </c>
      <c r="W80" s="32" t="str">
        <f>"－"</f>
        <v>－</v>
      </c>
      <c r="X80" s="36" t="n">
        <f>3</f>
        <v>3.0</v>
      </c>
    </row>
    <row r="81">
      <c r="A81" s="27" t="s">
        <v>42</v>
      </c>
      <c r="B81" s="27" t="s">
        <v>287</v>
      </c>
      <c r="C81" s="27" t="s">
        <v>288</v>
      </c>
      <c r="D81" s="27" t="s">
        <v>289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21580</f>
        <v>21580.0</v>
      </c>
      <c r="L81" s="34" t="s">
        <v>48</v>
      </c>
      <c r="M81" s="33" t="n">
        <f>22050</f>
        <v>22050.0</v>
      </c>
      <c r="N81" s="34" t="s">
        <v>106</v>
      </c>
      <c r="O81" s="33" t="n">
        <f>21480</f>
        <v>21480.0</v>
      </c>
      <c r="P81" s="34" t="s">
        <v>73</v>
      </c>
      <c r="Q81" s="33" t="n">
        <f>21850</f>
        <v>21850.0</v>
      </c>
      <c r="R81" s="34" t="s">
        <v>51</v>
      </c>
      <c r="S81" s="35" t="n">
        <f>21754.76</f>
        <v>21754.76</v>
      </c>
      <c r="T81" s="32" t="n">
        <f>231558</f>
        <v>231558.0</v>
      </c>
      <c r="U81" s="32" t="n">
        <f>151377</f>
        <v>151377.0</v>
      </c>
      <c r="V81" s="32" t="n">
        <f>5058829073</f>
        <v>5.058829073E9</v>
      </c>
      <c r="W81" s="32" t="n">
        <f>3309947403</f>
        <v>3.309947403E9</v>
      </c>
      <c r="X81" s="36" t="n">
        <f>21</f>
        <v>21.0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18270</f>
        <v>18270.0</v>
      </c>
      <c r="L82" s="34" t="s">
        <v>48</v>
      </c>
      <c r="M82" s="33" t="n">
        <f>18360</f>
        <v>18360.0</v>
      </c>
      <c r="N82" s="34" t="s">
        <v>78</v>
      </c>
      <c r="O82" s="33" t="n">
        <f>18000</f>
        <v>18000.0</v>
      </c>
      <c r="P82" s="34" t="s">
        <v>62</v>
      </c>
      <c r="Q82" s="33" t="n">
        <f>18130</f>
        <v>18130.0</v>
      </c>
      <c r="R82" s="34" t="s">
        <v>51</v>
      </c>
      <c r="S82" s="35" t="n">
        <f>18160.95</f>
        <v>18160.95</v>
      </c>
      <c r="T82" s="32" t="n">
        <f>179570</f>
        <v>179570.0</v>
      </c>
      <c r="U82" s="32" t="n">
        <f>57682</f>
        <v>57682.0</v>
      </c>
      <c r="V82" s="32" t="n">
        <f>3251508914</f>
        <v>3.251508914E9</v>
      </c>
      <c r="W82" s="32" t="n">
        <f>1043807494</f>
        <v>1.043807494E9</v>
      </c>
      <c r="X82" s="36" t="n">
        <f>21</f>
        <v>21.0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2137</f>
        <v>2137.0</v>
      </c>
      <c r="L83" s="34" t="s">
        <v>48</v>
      </c>
      <c r="M83" s="33" t="n">
        <f>2170</f>
        <v>2170.0</v>
      </c>
      <c r="N83" s="34" t="s">
        <v>91</v>
      </c>
      <c r="O83" s="33" t="n">
        <f>2042</f>
        <v>2042.0</v>
      </c>
      <c r="P83" s="34" t="s">
        <v>50</v>
      </c>
      <c r="Q83" s="33" t="n">
        <f>2155</f>
        <v>2155.0</v>
      </c>
      <c r="R83" s="34" t="s">
        <v>51</v>
      </c>
      <c r="S83" s="35" t="n">
        <f>2124.57</f>
        <v>2124.57</v>
      </c>
      <c r="T83" s="32" t="n">
        <f>1264750</f>
        <v>1264750.0</v>
      </c>
      <c r="U83" s="32" t="n">
        <f>275020</f>
        <v>275020.0</v>
      </c>
      <c r="V83" s="32" t="n">
        <f>2675064140</f>
        <v>2.67506414E9</v>
      </c>
      <c r="W83" s="32" t="n">
        <f>577998080</f>
        <v>5.7799808E8</v>
      </c>
      <c r="X83" s="36" t="n">
        <f>21</f>
        <v>21.0</v>
      </c>
    </row>
    <row r="84">
      <c r="A84" s="27" t="s">
        <v>42</v>
      </c>
      <c r="B84" s="27" t="s">
        <v>296</v>
      </c>
      <c r="C84" s="27" t="s">
        <v>297</v>
      </c>
      <c r="D84" s="27" t="s">
        <v>298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37800</f>
        <v>37800.0</v>
      </c>
      <c r="L84" s="34" t="s">
        <v>48</v>
      </c>
      <c r="M84" s="33" t="n">
        <f>38700</f>
        <v>38700.0</v>
      </c>
      <c r="N84" s="34" t="s">
        <v>78</v>
      </c>
      <c r="O84" s="33" t="n">
        <f>36300</f>
        <v>36300.0</v>
      </c>
      <c r="P84" s="34" t="s">
        <v>51</v>
      </c>
      <c r="Q84" s="33" t="n">
        <f>36700</f>
        <v>36700.0</v>
      </c>
      <c r="R84" s="34" t="s">
        <v>51</v>
      </c>
      <c r="S84" s="35" t="n">
        <f>37380.95</f>
        <v>37380.95</v>
      </c>
      <c r="T84" s="32" t="n">
        <f>27642</f>
        <v>27642.0</v>
      </c>
      <c r="U84" s="32" t="n">
        <f>123</f>
        <v>123.0</v>
      </c>
      <c r="V84" s="32" t="n">
        <f>1034456000</f>
        <v>1.034456E9</v>
      </c>
      <c r="W84" s="32" t="n">
        <f>4577600</f>
        <v>4577600.0</v>
      </c>
      <c r="X84" s="36" t="n">
        <f>21</f>
        <v>21.0</v>
      </c>
    </row>
    <row r="85">
      <c r="A85" s="27" t="s">
        <v>42</v>
      </c>
      <c r="B85" s="27" t="s">
        <v>299</v>
      </c>
      <c r="C85" s="27" t="s">
        <v>300</v>
      </c>
      <c r="D85" s="27" t="s">
        <v>301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7320</f>
        <v>7320.0</v>
      </c>
      <c r="L85" s="34" t="s">
        <v>179</v>
      </c>
      <c r="M85" s="33" t="n">
        <f>7540</f>
        <v>7540.0</v>
      </c>
      <c r="N85" s="34" t="s">
        <v>192</v>
      </c>
      <c r="O85" s="33" t="n">
        <f>7320</f>
        <v>7320.0</v>
      </c>
      <c r="P85" s="34" t="s">
        <v>179</v>
      </c>
      <c r="Q85" s="33" t="n">
        <f>7540</f>
        <v>7540.0</v>
      </c>
      <c r="R85" s="34" t="s">
        <v>192</v>
      </c>
      <c r="S85" s="35" t="n">
        <f>7430</f>
        <v>7430.0</v>
      </c>
      <c r="T85" s="32" t="n">
        <f>27030</f>
        <v>27030.0</v>
      </c>
      <c r="U85" s="32" t="n">
        <f>27000</f>
        <v>27000.0</v>
      </c>
      <c r="V85" s="32" t="n">
        <f>202243000</f>
        <v>2.02243E8</v>
      </c>
      <c r="W85" s="32" t="n">
        <f>202021200</f>
        <v>2.020212E8</v>
      </c>
      <c r="X85" s="36" t="n">
        <f>2</f>
        <v>2.0</v>
      </c>
    </row>
    <row r="86">
      <c r="A86" s="27" t="s">
        <v>42</v>
      </c>
      <c r="B86" s="27" t="s">
        <v>302</v>
      </c>
      <c r="C86" s="27" t="s">
        <v>303</v>
      </c>
      <c r="D86" s="27" t="s">
        <v>304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17130</f>
        <v>17130.0</v>
      </c>
      <c r="L86" s="34" t="s">
        <v>48</v>
      </c>
      <c r="M86" s="33" t="n">
        <f>17630</f>
        <v>17630.0</v>
      </c>
      <c r="N86" s="34" t="s">
        <v>49</v>
      </c>
      <c r="O86" s="33" t="n">
        <f>16420</f>
        <v>16420.0</v>
      </c>
      <c r="P86" s="34" t="s">
        <v>58</v>
      </c>
      <c r="Q86" s="33" t="n">
        <f>17260</f>
        <v>17260.0</v>
      </c>
      <c r="R86" s="34" t="s">
        <v>51</v>
      </c>
      <c r="S86" s="35" t="n">
        <f>16942.5</f>
        <v>16942.5</v>
      </c>
      <c r="T86" s="32" t="n">
        <f>1227</f>
        <v>1227.0</v>
      </c>
      <c r="U86" s="32" t="str">
        <f>"－"</f>
        <v>－</v>
      </c>
      <c r="V86" s="32" t="n">
        <f>20785470</f>
        <v>2.078547E7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16920</f>
        <v>16920.0</v>
      </c>
      <c r="L87" s="34" t="s">
        <v>48</v>
      </c>
      <c r="M87" s="33" t="n">
        <f>17080</f>
        <v>17080.0</v>
      </c>
      <c r="N87" s="34" t="s">
        <v>49</v>
      </c>
      <c r="O87" s="33" t="n">
        <f>16260</f>
        <v>16260.0</v>
      </c>
      <c r="P87" s="34" t="s">
        <v>50</v>
      </c>
      <c r="Q87" s="33" t="n">
        <f>16790</f>
        <v>16790.0</v>
      </c>
      <c r="R87" s="34" t="s">
        <v>51</v>
      </c>
      <c r="S87" s="35" t="n">
        <f>16704.76</f>
        <v>16704.76</v>
      </c>
      <c r="T87" s="32" t="n">
        <f>2515</f>
        <v>2515.0</v>
      </c>
      <c r="U87" s="32" t="str">
        <f>"－"</f>
        <v>－</v>
      </c>
      <c r="V87" s="32" t="n">
        <f>41568880</f>
        <v>4.156888E7</v>
      </c>
      <c r="W87" s="32" t="str">
        <f>"－"</f>
        <v>－</v>
      </c>
      <c r="X87" s="36" t="n">
        <f>21</f>
        <v>21.0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19430</f>
        <v>19430.0</v>
      </c>
      <c r="L88" s="34" t="s">
        <v>48</v>
      </c>
      <c r="M88" s="33" t="n">
        <f>19590</f>
        <v>19590.0</v>
      </c>
      <c r="N88" s="34" t="s">
        <v>58</v>
      </c>
      <c r="O88" s="33" t="n">
        <f>18860</f>
        <v>18860.0</v>
      </c>
      <c r="P88" s="34" t="s">
        <v>51</v>
      </c>
      <c r="Q88" s="33" t="n">
        <f>19030</f>
        <v>19030.0</v>
      </c>
      <c r="R88" s="34" t="s">
        <v>51</v>
      </c>
      <c r="S88" s="35" t="n">
        <f>19268.1</f>
        <v>19268.1</v>
      </c>
      <c r="T88" s="32" t="n">
        <f>11352</f>
        <v>11352.0</v>
      </c>
      <c r="U88" s="32" t="n">
        <f>36</f>
        <v>36.0</v>
      </c>
      <c r="V88" s="32" t="n">
        <f>219269150</f>
        <v>2.1926915E8</v>
      </c>
      <c r="W88" s="32" t="n">
        <f>645120</f>
        <v>645120.0</v>
      </c>
      <c r="X88" s="36" t="n">
        <f>21</f>
        <v>21.0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10040</f>
        <v>10040.0</v>
      </c>
      <c r="L89" s="34" t="s">
        <v>48</v>
      </c>
      <c r="M89" s="33" t="n">
        <f>10500</f>
        <v>10500.0</v>
      </c>
      <c r="N89" s="34" t="s">
        <v>51</v>
      </c>
      <c r="O89" s="33" t="n">
        <f>9990</f>
        <v>9990.0</v>
      </c>
      <c r="P89" s="34" t="s">
        <v>78</v>
      </c>
      <c r="Q89" s="33" t="n">
        <f>10500</f>
        <v>10500.0</v>
      </c>
      <c r="R89" s="34" t="s">
        <v>51</v>
      </c>
      <c r="S89" s="35" t="n">
        <f>10227.14</f>
        <v>10227.14</v>
      </c>
      <c r="T89" s="32" t="n">
        <f>8900</f>
        <v>8900.0</v>
      </c>
      <c r="U89" s="32" t="n">
        <f>10</f>
        <v>10.0</v>
      </c>
      <c r="V89" s="32" t="n">
        <f>91357800</f>
        <v>9.13578E7</v>
      </c>
      <c r="W89" s="32" t="n">
        <f>100200</f>
        <v>100200.0</v>
      </c>
      <c r="X89" s="36" t="n">
        <f>21</f>
        <v>21.0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2591</f>
        <v>2591.0</v>
      </c>
      <c r="L90" s="34" t="s">
        <v>48</v>
      </c>
      <c r="M90" s="33" t="n">
        <f>2600</f>
        <v>2600.0</v>
      </c>
      <c r="N90" s="34" t="s">
        <v>78</v>
      </c>
      <c r="O90" s="33" t="n">
        <f>2539</f>
        <v>2539.0</v>
      </c>
      <c r="P90" s="34" t="s">
        <v>317</v>
      </c>
      <c r="Q90" s="33" t="n">
        <f>2571</f>
        <v>2571.0</v>
      </c>
      <c r="R90" s="34" t="s">
        <v>51</v>
      </c>
      <c r="S90" s="35" t="n">
        <f>2568.86</f>
        <v>2568.86</v>
      </c>
      <c r="T90" s="32" t="n">
        <f>334095</f>
        <v>334095.0</v>
      </c>
      <c r="U90" s="32" t="n">
        <f>248093</f>
        <v>248093.0</v>
      </c>
      <c r="V90" s="32" t="n">
        <f>856213402</f>
        <v>8.56213402E8</v>
      </c>
      <c r="W90" s="32" t="n">
        <f>636356333</f>
        <v>6.36356333E8</v>
      </c>
      <c r="X90" s="36" t="n">
        <f>21</f>
        <v>21.0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2380</f>
        <v>2380.0</v>
      </c>
      <c r="L91" s="34" t="s">
        <v>48</v>
      </c>
      <c r="M91" s="33" t="n">
        <f>2388</f>
        <v>2388.0</v>
      </c>
      <c r="N91" s="34" t="s">
        <v>78</v>
      </c>
      <c r="O91" s="33" t="n">
        <f>2332</f>
        <v>2332.0</v>
      </c>
      <c r="P91" s="34" t="s">
        <v>321</v>
      </c>
      <c r="Q91" s="33" t="n">
        <f>2349</f>
        <v>2349.0</v>
      </c>
      <c r="R91" s="34" t="s">
        <v>51</v>
      </c>
      <c r="S91" s="35" t="n">
        <f>2352.67</f>
        <v>2352.67</v>
      </c>
      <c r="T91" s="32" t="n">
        <f>220647</f>
        <v>220647.0</v>
      </c>
      <c r="U91" s="32" t="n">
        <f>63202</f>
        <v>63202.0</v>
      </c>
      <c r="V91" s="32" t="n">
        <f>520657506</f>
        <v>5.20657506E8</v>
      </c>
      <c r="W91" s="32" t="n">
        <f>149787122</f>
        <v>1.49787122E8</v>
      </c>
      <c r="X91" s="36" t="n">
        <f>21</f>
        <v>21.0</v>
      </c>
    </row>
    <row r="92">
      <c r="A92" s="27" t="s">
        <v>42</v>
      </c>
      <c r="B92" s="27" t="s">
        <v>322</v>
      </c>
      <c r="C92" s="27" t="s">
        <v>323</v>
      </c>
      <c r="D92" s="27" t="s">
        <v>324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15470</f>
        <v>15470.0</v>
      </c>
      <c r="L92" s="34" t="s">
        <v>48</v>
      </c>
      <c r="M92" s="33" t="n">
        <f>16050</f>
        <v>16050.0</v>
      </c>
      <c r="N92" s="34" t="s">
        <v>49</v>
      </c>
      <c r="O92" s="33" t="n">
        <f>14840</f>
        <v>14840.0</v>
      </c>
      <c r="P92" s="34" t="s">
        <v>58</v>
      </c>
      <c r="Q92" s="33" t="n">
        <f>15520</f>
        <v>15520.0</v>
      </c>
      <c r="R92" s="34" t="s">
        <v>51</v>
      </c>
      <c r="S92" s="35" t="n">
        <f>15399.52</f>
        <v>15399.52</v>
      </c>
      <c r="T92" s="32" t="n">
        <f>27260</f>
        <v>27260.0</v>
      </c>
      <c r="U92" s="32" t="n">
        <f>9807</f>
        <v>9807.0</v>
      </c>
      <c r="V92" s="32" t="n">
        <f>420298786</f>
        <v>4.20298786E8</v>
      </c>
      <c r="W92" s="32" t="n">
        <f>149882346</f>
        <v>1.49882346E8</v>
      </c>
      <c r="X92" s="36" t="n">
        <f>21</f>
        <v>21.0</v>
      </c>
    </row>
    <row r="93">
      <c r="A93" s="27" t="s">
        <v>42</v>
      </c>
      <c r="B93" s="27" t="s">
        <v>325</v>
      </c>
      <c r="C93" s="27" t="s">
        <v>326</v>
      </c>
      <c r="D93" s="27" t="s">
        <v>327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8300</f>
        <v>8300.0</v>
      </c>
      <c r="L93" s="34" t="s">
        <v>48</v>
      </c>
      <c r="M93" s="33" t="n">
        <f>8300</f>
        <v>8300.0</v>
      </c>
      <c r="N93" s="34" t="s">
        <v>48</v>
      </c>
      <c r="O93" s="33" t="n">
        <f>7930</f>
        <v>7930.0</v>
      </c>
      <c r="P93" s="34" t="s">
        <v>317</v>
      </c>
      <c r="Q93" s="33" t="n">
        <f>8140</f>
        <v>8140.0</v>
      </c>
      <c r="R93" s="34" t="s">
        <v>51</v>
      </c>
      <c r="S93" s="35" t="n">
        <f>8186.19</f>
        <v>8186.19</v>
      </c>
      <c r="T93" s="32" t="n">
        <f>2703</f>
        <v>2703.0</v>
      </c>
      <c r="U93" s="32" t="n">
        <f>10</f>
        <v>10.0</v>
      </c>
      <c r="V93" s="32" t="n">
        <f>22054290</f>
        <v>2.205429E7</v>
      </c>
      <c r="W93" s="32" t="n">
        <f>81960</f>
        <v>81960.0</v>
      </c>
      <c r="X93" s="36" t="n">
        <f>21</f>
        <v>21.0</v>
      </c>
    </row>
    <row r="94">
      <c r="A94" s="27" t="s">
        <v>42</v>
      </c>
      <c r="B94" s="27" t="s">
        <v>328</v>
      </c>
      <c r="C94" s="27" t="s">
        <v>329</v>
      </c>
      <c r="D94" s="27" t="s">
        <v>330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6000</f>
        <v>6000.0</v>
      </c>
      <c r="L94" s="34" t="s">
        <v>48</v>
      </c>
      <c r="M94" s="33" t="n">
        <f>6290</f>
        <v>6290.0</v>
      </c>
      <c r="N94" s="34" t="s">
        <v>72</v>
      </c>
      <c r="O94" s="33" t="n">
        <f>5970</f>
        <v>5970.0</v>
      </c>
      <c r="P94" s="34" t="s">
        <v>48</v>
      </c>
      <c r="Q94" s="33" t="n">
        <f>6190</f>
        <v>6190.0</v>
      </c>
      <c r="R94" s="34" t="s">
        <v>51</v>
      </c>
      <c r="S94" s="35" t="n">
        <f>6140.95</f>
        <v>6140.95</v>
      </c>
      <c r="T94" s="32" t="n">
        <f>2805592</f>
        <v>2805592.0</v>
      </c>
      <c r="U94" s="32" t="n">
        <f>123395</f>
        <v>123395.0</v>
      </c>
      <c r="V94" s="32" t="n">
        <f>17309058549</f>
        <v>1.7309058549E10</v>
      </c>
      <c r="W94" s="32" t="n">
        <f>766832569</f>
        <v>7.66832569E8</v>
      </c>
      <c r="X94" s="36" t="n">
        <f>21</f>
        <v>21.0</v>
      </c>
    </row>
    <row r="95">
      <c r="A95" s="27" t="s">
        <v>42</v>
      </c>
      <c r="B95" s="27" t="s">
        <v>331</v>
      </c>
      <c r="C95" s="27" t="s">
        <v>332</v>
      </c>
      <c r="D95" s="27" t="s">
        <v>333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3225</f>
        <v>3225.0</v>
      </c>
      <c r="L95" s="34" t="s">
        <v>48</v>
      </c>
      <c r="M95" s="33" t="n">
        <f>3625</f>
        <v>3625.0</v>
      </c>
      <c r="N95" s="34" t="s">
        <v>334</v>
      </c>
      <c r="O95" s="33" t="n">
        <f>3190</f>
        <v>3190.0</v>
      </c>
      <c r="P95" s="34" t="s">
        <v>48</v>
      </c>
      <c r="Q95" s="33" t="n">
        <f>3460</f>
        <v>3460.0</v>
      </c>
      <c r="R95" s="34" t="s">
        <v>51</v>
      </c>
      <c r="S95" s="35" t="n">
        <f>3436.43</f>
        <v>3436.43</v>
      </c>
      <c r="T95" s="32" t="n">
        <f>918233</f>
        <v>918233.0</v>
      </c>
      <c r="U95" s="32" t="n">
        <f>70</f>
        <v>70.0</v>
      </c>
      <c r="V95" s="32" t="n">
        <f>3170015985</f>
        <v>3.170015985E9</v>
      </c>
      <c r="W95" s="32" t="n">
        <f>231700</f>
        <v>231700.0</v>
      </c>
      <c r="X95" s="36" t="n">
        <f>21</f>
        <v>21.0</v>
      </c>
    </row>
    <row r="96">
      <c r="A96" s="27" t="s">
        <v>42</v>
      </c>
      <c r="B96" s="27" t="s">
        <v>335</v>
      </c>
      <c r="C96" s="27" t="s">
        <v>336</v>
      </c>
      <c r="D96" s="27" t="s">
        <v>337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7420</f>
        <v>7420.0</v>
      </c>
      <c r="L96" s="34" t="s">
        <v>48</v>
      </c>
      <c r="M96" s="33" t="n">
        <f>8420</f>
        <v>8420.0</v>
      </c>
      <c r="N96" s="34" t="s">
        <v>72</v>
      </c>
      <c r="O96" s="33" t="n">
        <f>7360</f>
        <v>7360.0</v>
      </c>
      <c r="P96" s="34" t="s">
        <v>48</v>
      </c>
      <c r="Q96" s="33" t="n">
        <f>8150</f>
        <v>8150.0</v>
      </c>
      <c r="R96" s="34" t="s">
        <v>51</v>
      </c>
      <c r="S96" s="35" t="n">
        <f>7928.57</f>
        <v>7928.57</v>
      </c>
      <c r="T96" s="32" t="n">
        <f>222922</f>
        <v>222922.0</v>
      </c>
      <c r="U96" s="32" t="n">
        <f>8</f>
        <v>8.0</v>
      </c>
      <c r="V96" s="32" t="n">
        <f>1785672920</f>
        <v>1.78567292E9</v>
      </c>
      <c r="W96" s="32" t="n">
        <f>59820</f>
        <v>59820.0</v>
      </c>
      <c r="X96" s="36" t="n">
        <f>21</f>
        <v>21.0</v>
      </c>
    </row>
    <row r="97">
      <c r="A97" s="27" t="s">
        <v>42</v>
      </c>
      <c r="B97" s="27" t="s">
        <v>338</v>
      </c>
      <c r="C97" s="27" t="s">
        <v>339</v>
      </c>
      <c r="D97" s="27" t="s">
        <v>340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63600</f>
        <v>63600.0</v>
      </c>
      <c r="L97" s="34" t="s">
        <v>48</v>
      </c>
      <c r="M97" s="33" t="n">
        <f>78300</f>
        <v>78300.0</v>
      </c>
      <c r="N97" s="34" t="s">
        <v>321</v>
      </c>
      <c r="O97" s="33" t="n">
        <f>63500</f>
        <v>63500.0</v>
      </c>
      <c r="P97" s="34" t="s">
        <v>50</v>
      </c>
      <c r="Q97" s="33" t="n">
        <f>67200</f>
        <v>67200.0</v>
      </c>
      <c r="R97" s="34" t="s">
        <v>51</v>
      </c>
      <c r="S97" s="35" t="n">
        <f>69138.1</f>
        <v>69138.1</v>
      </c>
      <c r="T97" s="32" t="n">
        <f>14387</f>
        <v>14387.0</v>
      </c>
      <c r="U97" s="32" t="n">
        <f>255</f>
        <v>255.0</v>
      </c>
      <c r="V97" s="32" t="n">
        <f>1044905600</f>
        <v>1.0449056E9</v>
      </c>
      <c r="W97" s="32" t="n">
        <f>19004600</f>
        <v>1.90046E7</v>
      </c>
      <c r="X97" s="36" t="n">
        <f>21</f>
        <v>21.0</v>
      </c>
    </row>
    <row r="98">
      <c r="A98" s="27" t="s">
        <v>42</v>
      </c>
      <c r="B98" s="27" t="s">
        <v>341</v>
      </c>
      <c r="C98" s="27" t="s">
        <v>342</v>
      </c>
      <c r="D98" s="27" t="s">
        <v>343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16640</f>
        <v>16640.0</v>
      </c>
      <c r="L98" s="34" t="s">
        <v>48</v>
      </c>
      <c r="M98" s="33" t="n">
        <f>18060</f>
        <v>18060.0</v>
      </c>
      <c r="N98" s="34" t="s">
        <v>51</v>
      </c>
      <c r="O98" s="33" t="n">
        <f>16220</f>
        <v>16220.0</v>
      </c>
      <c r="P98" s="34" t="s">
        <v>50</v>
      </c>
      <c r="Q98" s="33" t="n">
        <f>18000</f>
        <v>18000.0</v>
      </c>
      <c r="R98" s="34" t="s">
        <v>51</v>
      </c>
      <c r="S98" s="35" t="n">
        <f>17275.24</f>
        <v>17275.24</v>
      </c>
      <c r="T98" s="32" t="n">
        <f>1667749</f>
        <v>1667749.0</v>
      </c>
      <c r="U98" s="32" t="n">
        <f>35225</f>
        <v>35225.0</v>
      </c>
      <c r="V98" s="32" t="n">
        <f>28653409041</f>
        <v>2.8653409041E10</v>
      </c>
      <c r="W98" s="32" t="n">
        <f>602418351</f>
        <v>6.02418351E8</v>
      </c>
      <c r="X98" s="36" t="n">
        <f>21</f>
        <v>21.0</v>
      </c>
    </row>
    <row r="99">
      <c r="A99" s="27" t="s">
        <v>42</v>
      </c>
      <c r="B99" s="27" t="s">
        <v>344</v>
      </c>
      <c r="C99" s="27" t="s">
        <v>345</v>
      </c>
      <c r="D99" s="27" t="s">
        <v>346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36850</f>
        <v>36850.0</v>
      </c>
      <c r="L99" s="34" t="s">
        <v>48</v>
      </c>
      <c r="M99" s="33" t="n">
        <f>39850</f>
        <v>39850.0</v>
      </c>
      <c r="N99" s="34" t="s">
        <v>74</v>
      </c>
      <c r="O99" s="33" t="n">
        <f>36450</f>
        <v>36450.0</v>
      </c>
      <c r="P99" s="34" t="s">
        <v>48</v>
      </c>
      <c r="Q99" s="33" t="n">
        <f>39500</f>
        <v>39500.0</v>
      </c>
      <c r="R99" s="34" t="s">
        <v>51</v>
      </c>
      <c r="S99" s="35" t="n">
        <f>38528.57</f>
        <v>38528.57</v>
      </c>
      <c r="T99" s="32" t="n">
        <f>198279</f>
        <v>198279.0</v>
      </c>
      <c r="U99" s="32" t="n">
        <f>20250</f>
        <v>20250.0</v>
      </c>
      <c r="V99" s="32" t="n">
        <f>7636446585</f>
        <v>7.636446585E9</v>
      </c>
      <c r="W99" s="32" t="n">
        <f>799434185</f>
        <v>7.99434185E8</v>
      </c>
      <c r="X99" s="36" t="n">
        <f>21</f>
        <v>21.0</v>
      </c>
    </row>
    <row r="100">
      <c r="A100" s="27" t="s">
        <v>42</v>
      </c>
      <c r="B100" s="27" t="s">
        <v>347</v>
      </c>
      <c r="C100" s="27" t="s">
        <v>348</v>
      </c>
      <c r="D100" s="27" t="s">
        <v>349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5250</f>
        <v>5250.0</v>
      </c>
      <c r="L100" s="34" t="s">
        <v>48</v>
      </c>
      <c r="M100" s="33" t="n">
        <f>5700</f>
        <v>5700.0</v>
      </c>
      <c r="N100" s="34" t="s">
        <v>74</v>
      </c>
      <c r="O100" s="33" t="n">
        <f>5170</f>
        <v>5170.0</v>
      </c>
      <c r="P100" s="34" t="s">
        <v>50</v>
      </c>
      <c r="Q100" s="33" t="n">
        <f>5660</f>
        <v>5660.0</v>
      </c>
      <c r="R100" s="34" t="s">
        <v>51</v>
      </c>
      <c r="S100" s="35" t="n">
        <f>5475.24</f>
        <v>5475.24</v>
      </c>
      <c r="T100" s="32" t="n">
        <f>1649360</f>
        <v>1649360.0</v>
      </c>
      <c r="U100" s="32" t="n">
        <f>382810</f>
        <v>382810.0</v>
      </c>
      <c r="V100" s="32" t="n">
        <f>8975900180</f>
        <v>8.97590018E9</v>
      </c>
      <c r="W100" s="32" t="n">
        <f>2055133680</f>
        <v>2.05513368E9</v>
      </c>
      <c r="X100" s="36" t="n">
        <f>21</f>
        <v>21.0</v>
      </c>
    </row>
    <row r="101">
      <c r="A101" s="27" t="s">
        <v>42</v>
      </c>
      <c r="B101" s="27" t="s">
        <v>350</v>
      </c>
      <c r="C101" s="27" t="s">
        <v>351</v>
      </c>
      <c r="D101" s="27" t="s">
        <v>352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3435</f>
        <v>3435.0</v>
      </c>
      <c r="L101" s="34" t="s">
        <v>48</v>
      </c>
      <c r="M101" s="33" t="n">
        <f>3730</f>
        <v>3730.0</v>
      </c>
      <c r="N101" s="34" t="s">
        <v>74</v>
      </c>
      <c r="O101" s="33" t="n">
        <f>3395</f>
        <v>3395.0</v>
      </c>
      <c r="P101" s="34" t="s">
        <v>50</v>
      </c>
      <c r="Q101" s="33" t="n">
        <f>3715</f>
        <v>3715.0</v>
      </c>
      <c r="R101" s="34" t="s">
        <v>51</v>
      </c>
      <c r="S101" s="35" t="n">
        <f>3582.62</f>
        <v>3582.62</v>
      </c>
      <c r="T101" s="32" t="n">
        <f>166000</f>
        <v>166000.0</v>
      </c>
      <c r="U101" s="32" t="n">
        <f>40020</f>
        <v>40020.0</v>
      </c>
      <c r="V101" s="32" t="n">
        <f>594785930</f>
        <v>5.9478593E8</v>
      </c>
      <c r="W101" s="32" t="n">
        <f>144194530</f>
        <v>1.4419453E8</v>
      </c>
      <c r="X101" s="36" t="n">
        <f>21</f>
        <v>21.0</v>
      </c>
    </row>
    <row r="102">
      <c r="A102" s="27" t="s">
        <v>42</v>
      </c>
      <c r="B102" s="27" t="s">
        <v>353</v>
      </c>
      <c r="C102" s="27" t="s">
        <v>354</v>
      </c>
      <c r="D102" s="27" t="s">
        <v>355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5460</f>
        <v>5460.0</v>
      </c>
      <c r="L102" s="34" t="s">
        <v>48</v>
      </c>
      <c r="M102" s="33" t="n">
        <f>5760</f>
        <v>5760.0</v>
      </c>
      <c r="N102" s="34" t="s">
        <v>49</v>
      </c>
      <c r="O102" s="33" t="n">
        <f>5170</f>
        <v>5170.0</v>
      </c>
      <c r="P102" s="34" t="s">
        <v>50</v>
      </c>
      <c r="Q102" s="33" t="n">
        <f>5640</f>
        <v>5640.0</v>
      </c>
      <c r="R102" s="34" t="s">
        <v>51</v>
      </c>
      <c r="S102" s="35" t="n">
        <f>5436.67</f>
        <v>5436.67</v>
      </c>
      <c r="T102" s="32" t="n">
        <f>16530</f>
        <v>16530.0</v>
      </c>
      <c r="U102" s="32" t="str">
        <f>"－"</f>
        <v>－</v>
      </c>
      <c r="V102" s="32" t="n">
        <f>88816300</f>
        <v>8.88163E7</v>
      </c>
      <c r="W102" s="32" t="str">
        <f>"－"</f>
        <v>－</v>
      </c>
      <c r="X102" s="36" t="n">
        <f>21</f>
        <v>21.0</v>
      </c>
    </row>
    <row r="103">
      <c r="A103" s="27" t="s">
        <v>42</v>
      </c>
      <c r="B103" s="27" t="s">
        <v>356</v>
      </c>
      <c r="C103" s="27" t="s">
        <v>357</v>
      </c>
      <c r="D103" s="27" t="s">
        <v>358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2445</f>
        <v>2445.0</v>
      </c>
      <c r="L103" s="34" t="s">
        <v>48</v>
      </c>
      <c r="M103" s="33" t="n">
        <f>2547</f>
        <v>2547.0</v>
      </c>
      <c r="N103" s="34" t="s">
        <v>48</v>
      </c>
      <c r="O103" s="33" t="n">
        <f>1911</f>
        <v>1911.0</v>
      </c>
      <c r="P103" s="34" t="s">
        <v>72</v>
      </c>
      <c r="Q103" s="33" t="n">
        <f>1979</f>
        <v>1979.0</v>
      </c>
      <c r="R103" s="34" t="s">
        <v>51</v>
      </c>
      <c r="S103" s="35" t="n">
        <f>2165.52</f>
        <v>2165.52</v>
      </c>
      <c r="T103" s="32" t="n">
        <f>36650888</f>
        <v>3.6650888E7</v>
      </c>
      <c r="U103" s="32" t="n">
        <f>16055</f>
        <v>16055.0</v>
      </c>
      <c r="V103" s="32" t="n">
        <f>81091862293</f>
        <v>8.1091862293E10</v>
      </c>
      <c r="W103" s="32" t="n">
        <f>35233773</f>
        <v>3.5233773E7</v>
      </c>
      <c r="X103" s="36" t="n">
        <f>21</f>
        <v>21.0</v>
      </c>
    </row>
    <row r="104">
      <c r="A104" s="27" t="s">
        <v>42</v>
      </c>
      <c r="B104" s="27" t="s">
        <v>359</v>
      </c>
      <c r="C104" s="27" t="s">
        <v>360</v>
      </c>
      <c r="D104" s="27" t="s">
        <v>361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2960</f>
        <v>2960.0</v>
      </c>
      <c r="L104" s="34" t="s">
        <v>48</v>
      </c>
      <c r="M104" s="33" t="n">
        <f>3200</f>
        <v>3200.0</v>
      </c>
      <c r="N104" s="34" t="s">
        <v>72</v>
      </c>
      <c r="O104" s="33" t="n">
        <f>2913</f>
        <v>2913.0</v>
      </c>
      <c r="P104" s="34" t="s">
        <v>50</v>
      </c>
      <c r="Q104" s="33" t="n">
        <f>3180</f>
        <v>3180.0</v>
      </c>
      <c r="R104" s="34" t="s">
        <v>51</v>
      </c>
      <c r="S104" s="35" t="n">
        <f>3083.43</f>
        <v>3083.43</v>
      </c>
      <c r="T104" s="32" t="n">
        <f>168610</f>
        <v>168610.0</v>
      </c>
      <c r="U104" s="32" t="str">
        <f>"－"</f>
        <v>－</v>
      </c>
      <c r="V104" s="32" t="n">
        <f>520890610</f>
        <v>5.2089061E8</v>
      </c>
      <c r="W104" s="32" t="str">
        <f>"－"</f>
        <v>－</v>
      </c>
      <c r="X104" s="36" t="n">
        <f>21</f>
        <v>21.0</v>
      </c>
    </row>
    <row r="105">
      <c r="A105" s="27" t="s">
        <v>42</v>
      </c>
      <c r="B105" s="27" t="s">
        <v>362</v>
      </c>
      <c r="C105" s="27" t="s">
        <v>363</v>
      </c>
      <c r="D105" s="27" t="s">
        <v>364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1700</f>
        <v>1700.0</v>
      </c>
      <c r="L105" s="34" t="s">
        <v>48</v>
      </c>
      <c r="M105" s="33" t="n">
        <f>1893</f>
        <v>1893.0</v>
      </c>
      <c r="N105" s="34" t="s">
        <v>72</v>
      </c>
      <c r="O105" s="33" t="n">
        <f>1661</f>
        <v>1661.0</v>
      </c>
      <c r="P105" s="34" t="s">
        <v>50</v>
      </c>
      <c r="Q105" s="33" t="n">
        <f>1834</f>
        <v>1834.0</v>
      </c>
      <c r="R105" s="34" t="s">
        <v>51</v>
      </c>
      <c r="S105" s="35" t="n">
        <f>1784.52</f>
        <v>1784.52</v>
      </c>
      <c r="T105" s="32" t="n">
        <f>158800</f>
        <v>158800.0</v>
      </c>
      <c r="U105" s="32" t="n">
        <f>20</f>
        <v>20.0</v>
      </c>
      <c r="V105" s="32" t="n">
        <f>282919630</f>
        <v>2.8291963E8</v>
      </c>
      <c r="W105" s="32" t="n">
        <f>35870</f>
        <v>35870.0</v>
      </c>
      <c r="X105" s="36" t="n">
        <f>21</f>
        <v>21.0</v>
      </c>
    </row>
    <row r="106">
      <c r="A106" s="27" t="s">
        <v>42</v>
      </c>
      <c r="B106" s="27" t="s">
        <v>365</v>
      </c>
      <c r="C106" s="27" t="s">
        <v>366</v>
      </c>
      <c r="D106" s="27" t="s">
        <v>367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47950</f>
        <v>47950.0</v>
      </c>
      <c r="L106" s="34" t="s">
        <v>48</v>
      </c>
      <c r="M106" s="33" t="n">
        <f>52200</f>
        <v>52200.0</v>
      </c>
      <c r="N106" s="34" t="s">
        <v>74</v>
      </c>
      <c r="O106" s="33" t="n">
        <f>47350</f>
        <v>47350.0</v>
      </c>
      <c r="P106" s="34" t="s">
        <v>50</v>
      </c>
      <c r="Q106" s="33" t="n">
        <f>51900</f>
        <v>51900.0</v>
      </c>
      <c r="R106" s="34" t="s">
        <v>51</v>
      </c>
      <c r="S106" s="35" t="n">
        <f>50161.9</f>
        <v>50161.9</v>
      </c>
      <c r="T106" s="32" t="n">
        <f>297022</f>
        <v>297022.0</v>
      </c>
      <c r="U106" s="32" t="n">
        <f>44840</f>
        <v>44840.0</v>
      </c>
      <c r="V106" s="32" t="n">
        <f>14742038448</f>
        <v>1.4742038448E10</v>
      </c>
      <c r="W106" s="32" t="n">
        <f>2317604248</f>
        <v>2.317604248E9</v>
      </c>
      <c r="X106" s="36" t="n">
        <f>21</f>
        <v>21.0</v>
      </c>
    </row>
    <row r="107">
      <c r="A107" s="27" t="s">
        <v>42</v>
      </c>
      <c r="B107" s="27" t="s">
        <v>368</v>
      </c>
      <c r="C107" s="27" t="s">
        <v>369</v>
      </c>
      <c r="D107" s="27" t="s">
        <v>370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2999</f>
        <v>2999.0</v>
      </c>
      <c r="L107" s="34" t="s">
        <v>48</v>
      </c>
      <c r="M107" s="33" t="n">
        <f>3125</f>
        <v>3125.0</v>
      </c>
      <c r="N107" s="34" t="s">
        <v>91</v>
      </c>
      <c r="O107" s="33" t="n">
        <f>2950</f>
        <v>2950.0</v>
      </c>
      <c r="P107" s="34" t="s">
        <v>179</v>
      </c>
      <c r="Q107" s="33" t="n">
        <f>3075</f>
        <v>3075.0</v>
      </c>
      <c r="R107" s="34" t="s">
        <v>51</v>
      </c>
      <c r="S107" s="35" t="n">
        <f>3057.57</f>
        <v>3057.57</v>
      </c>
      <c r="T107" s="32" t="n">
        <f>14860</f>
        <v>14860.0</v>
      </c>
      <c r="U107" s="32" t="str">
        <f>"－"</f>
        <v>－</v>
      </c>
      <c r="V107" s="32" t="n">
        <f>45418631</f>
        <v>4.5418631E7</v>
      </c>
      <c r="W107" s="32" t="str">
        <f>"－"</f>
        <v>－</v>
      </c>
      <c r="X107" s="36" t="n">
        <f>21</f>
        <v>21.0</v>
      </c>
    </row>
    <row r="108">
      <c r="A108" s="27" t="s">
        <v>42</v>
      </c>
      <c r="B108" s="27" t="s">
        <v>371</v>
      </c>
      <c r="C108" s="27" t="s">
        <v>372</v>
      </c>
      <c r="D108" s="27" t="s">
        <v>373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3980</f>
        <v>3980.0</v>
      </c>
      <c r="L108" s="34" t="s">
        <v>48</v>
      </c>
      <c r="M108" s="33" t="n">
        <f>4380</f>
        <v>4380.0</v>
      </c>
      <c r="N108" s="34" t="s">
        <v>95</v>
      </c>
      <c r="O108" s="33" t="n">
        <f>3955</f>
        <v>3955.0</v>
      </c>
      <c r="P108" s="34" t="s">
        <v>50</v>
      </c>
      <c r="Q108" s="33" t="n">
        <f>4220</f>
        <v>4220.0</v>
      </c>
      <c r="R108" s="34" t="s">
        <v>51</v>
      </c>
      <c r="S108" s="35" t="n">
        <f>4189.76</f>
        <v>4189.76</v>
      </c>
      <c r="T108" s="32" t="n">
        <f>7947</f>
        <v>7947.0</v>
      </c>
      <c r="U108" s="32" t="str">
        <f>"－"</f>
        <v>－</v>
      </c>
      <c r="V108" s="32" t="n">
        <f>33274980</f>
        <v>3.327498E7</v>
      </c>
      <c r="W108" s="32" t="str">
        <f>"－"</f>
        <v>－</v>
      </c>
      <c r="X108" s="36" t="n">
        <f>21</f>
        <v>21.0</v>
      </c>
    </row>
    <row r="109">
      <c r="A109" s="27" t="s">
        <v>42</v>
      </c>
      <c r="B109" s="27" t="s">
        <v>374</v>
      </c>
      <c r="C109" s="27" t="s">
        <v>375</v>
      </c>
      <c r="D109" s="27" t="s">
        <v>376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4520</f>
        <v>4520.0</v>
      </c>
      <c r="L109" s="34" t="s">
        <v>48</v>
      </c>
      <c r="M109" s="33" t="n">
        <f>4565</f>
        <v>4565.0</v>
      </c>
      <c r="N109" s="34" t="s">
        <v>48</v>
      </c>
      <c r="O109" s="33" t="n">
        <f>4090</f>
        <v>4090.0</v>
      </c>
      <c r="P109" s="34" t="s">
        <v>58</v>
      </c>
      <c r="Q109" s="33" t="n">
        <f>4315</f>
        <v>4315.0</v>
      </c>
      <c r="R109" s="34" t="s">
        <v>51</v>
      </c>
      <c r="S109" s="35" t="n">
        <f>4252.86</f>
        <v>4252.86</v>
      </c>
      <c r="T109" s="32" t="n">
        <f>243832</f>
        <v>243832.0</v>
      </c>
      <c r="U109" s="32" t="n">
        <f>1377</f>
        <v>1377.0</v>
      </c>
      <c r="V109" s="32" t="n">
        <f>1040962685</f>
        <v>1.040962685E9</v>
      </c>
      <c r="W109" s="32" t="n">
        <f>5452770</f>
        <v>5452770.0</v>
      </c>
      <c r="X109" s="36" t="n">
        <f>21</f>
        <v>21.0</v>
      </c>
    </row>
    <row r="110">
      <c r="A110" s="27" t="s">
        <v>42</v>
      </c>
      <c r="B110" s="27" t="s">
        <v>377</v>
      </c>
      <c r="C110" s="27" t="s">
        <v>378</v>
      </c>
      <c r="D110" s="27" t="s">
        <v>379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43600</f>
        <v>43600.0</v>
      </c>
      <c r="L110" s="34" t="s">
        <v>48</v>
      </c>
      <c r="M110" s="33" t="n">
        <f>44600</f>
        <v>44600.0</v>
      </c>
      <c r="N110" s="34" t="s">
        <v>49</v>
      </c>
      <c r="O110" s="33" t="n">
        <f>43200</f>
        <v>43200.0</v>
      </c>
      <c r="P110" s="34" t="s">
        <v>50</v>
      </c>
      <c r="Q110" s="33" t="n">
        <f>43700</f>
        <v>43700.0</v>
      </c>
      <c r="R110" s="34" t="s">
        <v>51</v>
      </c>
      <c r="S110" s="35" t="n">
        <f>43885.71</f>
        <v>43885.71</v>
      </c>
      <c r="T110" s="32" t="n">
        <f>17864</f>
        <v>17864.0</v>
      </c>
      <c r="U110" s="32" t="n">
        <f>798</f>
        <v>798.0</v>
      </c>
      <c r="V110" s="32" t="n">
        <f>783582720</f>
        <v>7.8358272E8</v>
      </c>
      <c r="W110" s="32" t="n">
        <f>35032320</f>
        <v>3.503232E7</v>
      </c>
      <c r="X110" s="36" t="n">
        <f>21</f>
        <v>21.0</v>
      </c>
    </row>
    <row r="111">
      <c r="A111" s="27" t="s">
        <v>42</v>
      </c>
      <c r="B111" s="27" t="s">
        <v>380</v>
      </c>
      <c r="C111" s="27" t="s">
        <v>381</v>
      </c>
      <c r="D111" s="27" t="s">
        <v>382</v>
      </c>
      <c r="E111" s="28" t="s">
        <v>122</v>
      </c>
      <c r="F111" s="29" t="s">
        <v>123</v>
      </c>
      <c r="G111" s="30" t="s">
        <v>124</v>
      </c>
      <c r="H111" s="31" t="s">
        <v>105</v>
      </c>
      <c r="I111" s="31"/>
      <c r="J111" s="32" t="n">
        <v>10.0</v>
      </c>
      <c r="K111" s="33" t="n">
        <f>1307</f>
        <v>1307.0</v>
      </c>
      <c r="L111" s="34" t="s">
        <v>48</v>
      </c>
      <c r="M111" s="33" t="n">
        <f>1315</f>
        <v>1315.0</v>
      </c>
      <c r="N111" s="34" t="s">
        <v>73</v>
      </c>
      <c r="O111" s="33" t="n">
        <f>1307</f>
        <v>1307.0</v>
      </c>
      <c r="P111" s="34" t="s">
        <v>48</v>
      </c>
      <c r="Q111" s="33" t="n">
        <f>1315</f>
        <v>1315.0</v>
      </c>
      <c r="R111" s="34" t="s">
        <v>73</v>
      </c>
      <c r="S111" s="35" t="n">
        <f>1309.6</f>
        <v>1309.6</v>
      </c>
      <c r="T111" s="32" t="n">
        <f>3400</f>
        <v>3400.0</v>
      </c>
      <c r="U111" s="32" t="str">
        <f>"－"</f>
        <v>－</v>
      </c>
      <c r="V111" s="32" t="n">
        <f>4462750</f>
        <v>4462750.0</v>
      </c>
      <c r="W111" s="32" t="str">
        <f>"－"</f>
        <v>－</v>
      </c>
      <c r="X111" s="36" t="n">
        <f>5</f>
        <v>5.0</v>
      </c>
    </row>
    <row r="112">
      <c r="A112" s="27" t="s">
        <v>42</v>
      </c>
      <c r="B112" s="27" t="s">
        <v>383</v>
      </c>
      <c r="C112" s="27" t="s">
        <v>384</v>
      </c>
      <c r="D112" s="27" t="s">
        <v>385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25840</f>
        <v>25840.0</v>
      </c>
      <c r="L112" s="34" t="s">
        <v>48</v>
      </c>
      <c r="M112" s="33" t="n">
        <f>26530</f>
        <v>26530.0</v>
      </c>
      <c r="N112" s="34" t="s">
        <v>49</v>
      </c>
      <c r="O112" s="33" t="n">
        <f>23660</f>
        <v>23660.0</v>
      </c>
      <c r="P112" s="34" t="s">
        <v>58</v>
      </c>
      <c r="Q112" s="33" t="n">
        <f>25430</f>
        <v>25430.0</v>
      </c>
      <c r="R112" s="34" t="s">
        <v>51</v>
      </c>
      <c r="S112" s="35" t="n">
        <f>25241.9</f>
        <v>25241.9</v>
      </c>
      <c r="T112" s="32" t="n">
        <f>3603090</f>
        <v>3603090.0</v>
      </c>
      <c r="U112" s="32" t="n">
        <f>30</f>
        <v>30.0</v>
      </c>
      <c r="V112" s="32" t="n">
        <f>90507887400</f>
        <v>9.05078874E10</v>
      </c>
      <c r="W112" s="32" t="n">
        <f>764400</f>
        <v>764400.0</v>
      </c>
      <c r="X112" s="36" t="n">
        <f>21</f>
        <v>21.0</v>
      </c>
    </row>
    <row r="113">
      <c r="A113" s="27" t="s">
        <v>42</v>
      </c>
      <c r="B113" s="27" t="s">
        <v>386</v>
      </c>
      <c r="C113" s="27" t="s">
        <v>387</v>
      </c>
      <c r="D113" s="27" t="s">
        <v>388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2123</f>
        <v>2123.0</v>
      </c>
      <c r="L113" s="34" t="s">
        <v>48</v>
      </c>
      <c r="M113" s="33" t="n">
        <f>2212</f>
        <v>2212.0</v>
      </c>
      <c r="N113" s="34" t="s">
        <v>58</v>
      </c>
      <c r="O113" s="33" t="n">
        <f>2085</f>
        <v>2085.0</v>
      </c>
      <c r="P113" s="34" t="s">
        <v>49</v>
      </c>
      <c r="Q113" s="33" t="n">
        <f>2127</f>
        <v>2127.0</v>
      </c>
      <c r="R113" s="34" t="s">
        <v>51</v>
      </c>
      <c r="S113" s="35" t="n">
        <f>2138.95</f>
        <v>2138.95</v>
      </c>
      <c r="T113" s="32" t="n">
        <f>540560</f>
        <v>540560.0</v>
      </c>
      <c r="U113" s="32" t="n">
        <f>110000</f>
        <v>110000.0</v>
      </c>
      <c r="V113" s="32" t="n">
        <f>1167504717</f>
        <v>1.167504717E9</v>
      </c>
      <c r="W113" s="32" t="n">
        <f>238706287</f>
        <v>2.38706287E8</v>
      </c>
      <c r="X113" s="36" t="n">
        <f>21</f>
        <v>21.0</v>
      </c>
    </row>
    <row r="114">
      <c r="A114" s="27" t="s">
        <v>42</v>
      </c>
      <c r="B114" s="27" t="s">
        <v>389</v>
      </c>
      <c r="C114" s="27" t="s">
        <v>390</v>
      </c>
      <c r="D114" s="27" t="s">
        <v>391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16340</f>
        <v>16340.0</v>
      </c>
      <c r="L114" s="34" t="s">
        <v>48</v>
      </c>
      <c r="M114" s="33" t="n">
        <f>16540</f>
        <v>16540.0</v>
      </c>
      <c r="N114" s="34" t="s">
        <v>49</v>
      </c>
      <c r="O114" s="33" t="n">
        <f>14190</f>
        <v>14190.0</v>
      </c>
      <c r="P114" s="34" t="s">
        <v>58</v>
      </c>
      <c r="Q114" s="33" t="n">
        <f>15880</f>
        <v>15880.0</v>
      </c>
      <c r="R114" s="34" t="s">
        <v>51</v>
      </c>
      <c r="S114" s="35" t="n">
        <f>15558.57</f>
        <v>15558.57</v>
      </c>
      <c r="T114" s="32" t="n">
        <f>199376427</f>
        <v>1.99376427E8</v>
      </c>
      <c r="U114" s="32" t="n">
        <f>160027</f>
        <v>160027.0</v>
      </c>
      <c r="V114" s="32" t="n">
        <f>3088107030174</f>
        <v>3.088107030174E12</v>
      </c>
      <c r="W114" s="32" t="n">
        <f>2488409324</f>
        <v>2.488409324E9</v>
      </c>
      <c r="X114" s="36" t="n">
        <f>21</f>
        <v>21.0</v>
      </c>
    </row>
    <row r="115">
      <c r="A115" s="27" t="s">
        <v>42</v>
      </c>
      <c r="B115" s="27" t="s">
        <v>392</v>
      </c>
      <c r="C115" s="27" t="s">
        <v>393</v>
      </c>
      <c r="D115" s="27" t="s">
        <v>394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980</f>
        <v>980.0</v>
      </c>
      <c r="L115" s="34" t="s">
        <v>48</v>
      </c>
      <c r="M115" s="33" t="n">
        <f>1050</f>
        <v>1050.0</v>
      </c>
      <c r="N115" s="34" t="s">
        <v>58</v>
      </c>
      <c r="O115" s="33" t="n">
        <f>970</f>
        <v>970.0</v>
      </c>
      <c r="P115" s="34" t="s">
        <v>49</v>
      </c>
      <c r="Q115" s="33" t="n">
        <f>988</f>
        <v>988.0</v>
      </c>
      <c r="R115" s="34" t="s">
        <v>51</v>
      </c>
      <c r="S115" s="35" t="n">
        <f>1001.48</f>
        <v>1001.48</v>
      </c>
      <c r="T115" s="32" t="n">
        <f>18223803</f>
        <v>1.8223803E7</v>
      </c>
      <c r="U115" s="32" t="n">
        <f>10</f>
        <v>10.0</v>
      </c>
      <c r="V115" s="32" t="n">
        <f>18385575054</f>
        <v>1.8385575054E10</v>
      </c>
      <c r="W115" s="32" t="n">
        <f>9970</f>
        <v>9970.0</v>
      </c>
      <c r="X115" s="36" t="n">
        <f>21</f>
        <v>21.0</v>
      </c>
    </row>
    <row r="116">
      <c r="A116" s="27" t="s">
        <v>42</v>
      </c>
      <c r="B116" s="27" t="s">
        <v>395</v>
      </c>
      <c r="C116" s="27" t="s">
        <v>396</v>
      </c>
      <c r="D116" s="27" t="s">
        <v>397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7620</f>
        <v>7620.0</v>
      </c>
      <c r="L116" s="34" t="s">
        <v>48</v>
      </c>
      <c r="M116" s="33" t="n">
        <f>9060</f>
        <v>9060.0</v>
      </c>
      <c r="N116" s="34" t="s">
        <v>62</v>
      </c>
      <c r="O116" s="33" t="n">
        <f>7120</f>
        <v>7120.0</v>
      </c>
      <c r="P116" s="34" t="s">
        <v>58</v>
      </c>
      <c r="Q116" s="33" t="n">
        <f>8250</f>
        <v>8250.0</v>
      </c>
      <c r="R116" s="34" t="s">
        <v>51</v>
      </c>
      <c r="S116" s="35" t="n">
        <f>8185.24</f>
        <v>8185.24</v>
      </c>
      <c r="T116" s="32" t="n">
        <f>59370</f>
        <v>59370.0</v>
      </c>
      <c r="U116" s="32" t="str">
        <f>"－"</f>
        <v>－</v>
      </c>
      <c r="V116" s="32" t="n">
        <f>487614000</f>
        <v>4.87614E8</v>
      </c>
      <c r="W116" s="32" t="str">
        <f>"－"</f>
        <v>－</v>
      </c>
      <c r="X116" s="36" t="n">
        <f>21</f>
        <v>21.0</v>
      </c>
    </row>
    <row r="117">
      <c r="A117" s="27" t="s">
        <v>42</v>
      </c>
      <c r="B117" s="27" t="s">
        <v>398</v>
      </c>
      <c r="C117" s="27" t="s">
        <v>399</v>
      </c>
      <c r="D117" s="27" t="s">
        <v>400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8190</f>
        <v>8190.0</v>
      </c>
      <c r="L117" s="34" t="s">
        <v>48</v>
      </c>
      <c r="M117" s="33" t="n">
        <f>8440</f>
        <v>8440.0</v>
      </c>
      <c r="N117" s="34" t="s">
        <v>78</v>
      </c>
      <c r="O117" s="33" t="n">
        <f>7560</f>
        <v>7560.0</v>
      </c>
      <c r="P117" s="34" t="s">
        <v>62</v>
      </c>
      <c r="Q117" s="33" t="n">
        <f>7850</f>
        <v>7850.0</v>
      </c>
      <c r="R117" s="34" t="s">
        <v>51</v>
      </c>
      <c r="S117" s="35" t="n">
        <f>7978.1</f>
        <v>7978.1</v>
      </c>
      <c r="T117" s="32" t="n">
        <f>41350</f>
        <v>41350.0</v>
      </c>
      <c r="U117" s="32" t="n">
        <f>20</f>
        <v>20.0</v>
      </c>
      <c r="V117" s="32" t="n">
        <f>332521700</f>
        <v>3.325217E8</v>
      </c>
      <c r="W117" s="32" t="n">
        <f>156000</f>
        <v>156000.0</v>
      </c>
      <c r="X117" s="36" t="n">
        <f>21</f>
        <v>21.0</v>
      </c>
    </row>
    <row r="118">
      <c r="A118" s="27" t="s">
        <v>42</v>
      </c>
      <c r="B118" s="27" t="s">
        <v>401</v>
      </c>
      <c r="C118" s="27" t="s">
        <v>402</v>
      </c>
      <c r="D118" s="27" t="s">
        <v>403</v>
      </c>
      <c r="E118" s="28" t="s">
        <v>122</v>
      </c>
      <c r="F118" s="29" t="s">
        <v>123</v>
      </c>
      <c r="G118" s="30" t="s">
        <v>124</v>
      </c>
      <c r="H118" s="31" t="s">
        <v>105</v>
      </c>
      <c r="I118" s="31"/>
      <c r="J118" s="32" t="n">
        <v>10.0</v>
      </c>
      <c r="K118" s="33" t="n">
        <f>1790</f>
        <v>1790.0</v>
      </c>
      <c r="L118" s="34" t="s">
        <v>48</v>
      </c>
      <c r="M118" s="33" t="n">
        <f>1800</f>
        <v>1800.0</v>
      </c>
      <c r="N118" s="34" t="s">
        <v>48</v>
      </c>
      <c r="O118" s="33" t="n">
        <f>1786</f>
        <v>1786.0</v>
      </c>
      <c r="P118" s="34" t="s">
        <v>48</v>
      </c>
      <c r="Q118" s="33" t="n">
        <f>1792</f>
        <v>1792.0</v>
      </c>
      <c r="R118" s="34" t="s">
        <v>73</v>
      </c>
      <c r="S118" s="35" t="n">
        <f>1788.5</f>
        <v>1788.5</v>
      </c>
      <c r="T118" s="32" t="n">
        <f>3770</f>
        <v>3770.0</v>
      </c>
      <c r="U118" s="32" t="str">
        <f>"－"</f>
        <v>－</v>
      </c>
      <c r="V118" s="32" t="n">
        <f>6754680</f>
        <v>6754680.0</v>
      </c>
      <c r="W118" s="32" t="str">
        <f>"－"</f>
        <v>－</v>
      </c>
      <c r="X118" s="36" t="n">
        <f>4</f>
        <v>4.0</v>
      </c>
    </row>
    <row r="119">
      <c r="A119" s="27" t="s">
        <v>42</v>
      </c>
      <c r="B119" s="27" t="s">
        <v>404</v>
      </c>
      <c r="C119" s="27" t="s">
        <v>405</v>
      </c>
      <c r="D119" s="27" t="s">
        <v>406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732</f>
        <v>732.0</v>
      </c>
      <c r="L119" s="34" t="s">
        <v>48</v>
      </c>
      <c r="M119" s="33" t="n">
        <f>850</f>
        <v>850.0</v>
      </c>
      <c r="N119" s="34" t="s">
        <v>95</v>
      </c>
      <c r="O119" s="33" t="n">
        <f>716</f>
        <v>716.0</v>
      </c>
      <c r="P119" s="34" t="s">
        <v>58</v>
      </c>
      <c r="Q119" s="33" t="n">
        <f>788</f>
        <v>788.0</v>
      </c>
      <c r="R119" s="34" t="s">
        <v>51</v>
      </c>
      <c r="S119" s="35" t="n">
        <f>762.43</f>
        <v>762.43</v>
      </c>
      <c r="T119" s="32" t="n">
        <f>23810</f>
        <v>23810.0</v>
      </c>
      <c r="U119" s="32" t="str">
        <f>"－"</f>
        <v>－</v>
      </c>
      <c r="V119" s="32" t="n">
        <f>18275110</f>
        <v>1.827511E7</v>
      </c>
      <c r="W119" s="32" t="str">
        <f>"－"</f>
        <v>－</v>
      </c>
      <c r="X119" s="36" t="n">
        <f>21</f>
        <v>21.0</v>
      </c>
    </row>
    <row r="120">
      <c r="A120" s="27" t="s">
        <v>42</v>
      </c>
      <c r="B120" s="27" t="s">
        <v>407</v>
      </c>
      <c r="C120" s="27" t="s">
        <v>408</v>
      </c>
      <c r="D120" s="27" t="s">
        <v>409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23610</f>
        <v>23610.0</v>
      </c>
      <c r="L120" s="34" t="s">
        <v>48</v>
      </c>
      <c r="M120" s="33" t="n">
        <f>23920</f>
        <v>23920.0</v>
      </c>
      <c r="N120" s="34" t="s">
        <v>78</v>
      </c>
      <c r="O120" s="33" t="n">
        <f>22850</f>
        <v>22850.0</v>
      </c>
      <c r="P120" s="34" t="s">
        <v>51</v>
      </c>
      <c r="Q120" s="33" t="n">
        <f>23090</f>
        <v>23090.0</v>
      </c>
      <c r="R120" s="34" t="s">
        <v>51</v>
      </c>
      <c r="S120" s="35" t="n">
        <f>23439.05</f>
        <v>23439.05</v>
      </c>
      <c r="T120" s="32" t="n">
        <f>39577</f>
        <v>39577.0</v>
      </c>
      <c r="U120" s="32" t="n">
        <f>5</f>
        <v>5.0</v>
      </c>
      <c r="V120" s="32" t="n">
        <f>925380620</f>
        <v>9.2538062E8</v>
      </c>
      <c r="W120" s="32" t="n">
        <f>117510</f>
        <v>117510.0</v>
      </c>
      <c r="X120" s="36" t="n">
        <f>21</f>
        <v>21.0</v>
      </c>
    </row>
    <row r="121">
      <c r="A121" s="27" t="s">
        <v>42</v>
      </c>
      <c r="B121" s="27" t="s">
        <v>410</v>
      </c>
      <c r="C121" s="27" t="s">
        <v>411</v>
      </c>
      <c r="D121" s="27" t="s">
        <v>412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2346</f>
        <v>2346.0</v>
      </c>
      <c r="L121" s="34" t="s">
        <v>48</v>
      </c>
      <c r="M121" s="33" t="n">
        <f>2360</f>
        <v>2360.0</v>
      </c>
      <c r="N121" s="34" t="s">
        <v>49</v>
      </c>
      <c r="O121" s="33" t="n">
        <f>2190</f>
        <v>2190.0</v>
      </c>
      <c r="P121" s="34" t="s">
        <v>58</v>
      </c>
      <c r="Q121" s="33" t="n">
        <f>2318</f>
        <v>2318.0</v>
      </c>
      <c r="R121" s="34" t="s">
        <v>51</v>
      </c>
      <c r="S121" s="35" t="n">
        <f>2292.19</f>
        <v>2292.19</v>
      </c>
      <c r="T121" s="32" t="n">
        <f>30558</f>
        <v>30558.0</v>
      </c>
      <c r="U121" s="32" t="n">
        <f>2</f>
        <v>2.0</v>
      </c>
      <c r="V121" s="32" t="n">
        <f>69745483</f>
        <v>6.9745483E7</v>
      </c>
      <c r="W121" s="32" t="n">
        <f>4432</f>
        <v>4432.0</v>
      </c>
      <c r="X121" s="36" t="n">
        <f>21</f>
        <v>21.0</v>
      </c>
    </row>
    <row r="122">
      <c r="A122" s="27" t="s">
        <v>42</v>
      </c>
      <c r="B122" s="27" t="s">
        <v>413</v>
      </c>
      <c r="C122" s="27" t="s">
        <v>414</v>
      </c>
      <c r="D122" s="27" t="s">
        <v>415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10.0</v>
      </c>
      <c r="K122" s="33" t="n">
        <f>17470</f>
        <v>17470.0</v>
      </c>
      <c r="L122" s="34" t="s">
        <v>48</v>
      </c>
      <c r="M122" s="33" t="n">
        <f>17680</f>
        <v>17680.0</v>
      </c>
      <c r="N122" s="34" t="s">
        <v>49</v>
      </c>
      <c r="O122" s="33" t="n">
        <f>15150</f>
        <v>15150.0</v>
      </c>
      <c r="P122" s="34" t="s">
        <v>58</v>
      </c>
      <c r="Q122" s="33" t="n">
        <f>16970</f>
        <v>16970.0</v>
      </c>
      <c r="R122" s="34" t="s">
        <v>51</v>
      </c>
      <c r="S122" s="35" t="n">
        <f>16629.52</f>
        <v>16629.52</v>
      </c>
      <c r="T122" s="32" t="n">
        <f>19571010</f>
        <v>1.957101E7</v>
      </c>
      <c r="U122" s="32" t="n">
        <f>30</f>
        <v>30.0</v>
      </c>
      <c r="V122" s="32" t="n">
        <f>323517190200</f>
        <v>3.235171902E11</v>
      </c>
      <c r="W122" s="32" t="n">
        <f>478600</f>
        <v>478600.0</v>
      </c>
      <c r="X122" s="36" t="n">
        <f>21</f>
        <v>21.0</v>
      </c>
    </row>
    <row r="123">
      <c r="A123" s="27" t="s">
        <v>42</v>
      </c>
      <c r="B123" s="27" t="s">
        <v>416</v>
      </c>
      <c r="C123" s="27" t="s">
        <v>417</v>
      </c>
      <c r="D123" s="27" t="s">
        <v>418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2615</f>
        <v>2615.0</v>
      </c>
      <c r="L123" s="34" t="s">
        <v>48</v>
      </c>
      <c r="M123" s="33" t="n">
        <f>2796</f>
        <v>2796.0</v>
      </c>
      <c r="N123" s="34" t="s">
        <v>58</v>
      </c>
      <c r="O123" s="33" t="n">
        <f>2583</f>
        <v>2583.0</v>
      </c>
      <c r="P123" s="34" t="s">
        <v>49</v>
      </c>
      <c r="Q123" s="33" t="n">
        <f>2631</f>
        <v>2631.0</v>
      </c>
      <c r="R123" s="34" t="s">
        <v>51</v>
      </c>
      <c r="S123" s="35" t="n">
        <f>2668</f>
        <v>2668.0</v>
      </c>
      <c r="T123" s="32" t="n">
        <f>2685270</f>
        <v>2685270.0</v>
      </c>
      <c r="U123" s="32" t="str">
        <f>"－"</f>
        <v>－</v>
      </c>
      <c r="V123" s="32" t="n">
        <f>7205357110</f>
        <v>7.20535711E9</v>
      </c>
      <c r="W123" s="32" t="str">
        <f>"－"</f>
        <v>－</v>
      </c>
      <c r="X123" s="36" t="n">
        <f>21</f>
        <v>21.0</v>
      </c>
    </row>
    <row r="124">
      <c r="A124" s="27" t="s">
        <v>42</v>
      </c>
      <c r="B124" s="27" t="s">
        <v>419</v>
      </c>
      <c r="C124" s="27" t="s">
        <v>420</v>
      </c>
      <c r="D124" s="27" t="s">
        <v>421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940</f>
        <v>940.0</v>
      </c>
      <c r="L124" s="34" t="s">
        <v>78</v>
      </c>
      <c r="M124" s="33" t="n">
        <f>975</f>
        <v>975.0</v>
      </c>
      <c r="N124" s="34" t="s">
        <v>62</v>
      </c>
      <c r="O124" s="33" t="n">
        <f>904</f>
        <v>904.0</v>
      </c>
      <c r="P124" s="34" t="s">
        <v>321</v>
      </c>
      <c r="Q124" s="33" t="n">
        <f>970</f>
        <v>970.0</v>
      </c>
      <c r="R124" s="34" t="s">
        <v>51</v>
      </c>
      <c r="S124" s="35" t="n">
        <f>947.5</f>
        <v>947.5</v>
      </c>
      <c r="T124" s="32" t="n">
        <f>6460</f>
        <v>6460.0</v>
      </c>
      <c r="U124" s="32" t="str">
        <f>"－"</f>
        <v>－</v>
      </c>
      <c r="V124" s="32" t="n">
        <f>6052140</f>
        <v>6052140.0</v>
      </c>
      <c r="W124" s="32" t="str">
        <f>"－"</f>
        <v>－</v>
      </c>
      <c r="X124" s="36" t="n">
        <f>18</f>
        <v>18.0</v>
      </c>
    </row>
    <row r="125">
      <c r="A125" s="27" t="s">
        <v>42</v>
      </c>
      <c r="B125" s="27" t="s">
        <v>422</v>
      </c>
      <c r="C125" s="27" t="s">
        <v>423</v>
      </c>
      <c r="D125" s="27" t="s">
        <v>424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1593</f>
        <v>1593.0</v>
      </c>
      <c r="L125" s="34" t="s">
        <v>48</v>
      </c>
      <c r="M125" s="33" t="n">
        <f>1604</f>
        <v>1604.0</v>
      </c>
      <c r="N125" s="34" t="s">
        <v>95</v>
      </c>
      <c r="O125" s="33" t="n">
        <f>1542</f>
        <v>1542.0</v>
      </c>
      <c r="P125" s="34" t="s">
        <v>50</v>
      </c>
      <c r="Q125" s="33" t="n">
        <f>1604</f>
        <v>1604.0</v>
      </c>
      <c r="R125" s="34" t="s">
        <v>95</v>
      </c>
      <c r="S125" s="35" t="n">
        <f>1580.5</f>
        <v>1580.5</v>
      </c>
      <c r="T125" s="32" t="n">
        <f>340</f>
        <v>340.0</v>
      </c>
      <c r="U125" s="32" t="str">
        <f>"－"</f>
        <v>－</v>
      </c>
      <c r="V125" s="32" t="n">
        <f>532000</f>
        <v>532000.0</v>
      </c>
      <c r="W125" s="32" t="str">
        <f>"－"</f>
        <v>－</v>
      </c>
      <c r="X125" s="36" t="n">
        <f>6</f>
        <v>6.0</v>
      </c>
    </row>
    <row r="126">
      <c r="A126" s="27" t="s">
        <v>42</v>
      </c>
      <c r="B126" s="27" t="s">
        <v>425</v>
      </c>
      <c r="C126" s="27" t="s">
        <v>426</v>
      </c>
      <c r="D126" s="27" t="s">
        <v>427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1868</f>
        <v>1868.0</v>
      </c>
      <c r="L126" s="34" t="s">
        <v>48</v>
      </c>
      <c r="M126" s="33" t="n">
        <f>1868</f>
        <v>1868.0</v>
      </c>
      <c r="N126" s="34" t="s">
        <v>48</v>
      </c>
      <c r="O126" s="33" t="n">
        <f>1745</f>
        <v>1745.0</v>
      </c>
      <c r="P126" s="34" t="s">
        <v>73</v>
      </c>
      <c r="Q126" s="33" t="n">
        <f>1793</f>
        <v>1793.0</v>
      </c>
      <c r="R126" s="34" t="s">
        <v>51</v>
      </c>
      <c r="S126" s="35" t="n">
        <f>1785.75</f>
        <v>1785.75</v>
      </c>
      <c r="T126" s="32" t="n">
        <f>2078</f>
        <v>2078.0</v>
      </c>
      <c r="U126" s="32" t="str">
        <f>"－"</f>
        <v>－</v>
      </c>
      <c r="V126" s="32" t="n">
        <f>3782047</f>
        <v>3782047.0</v>
      </c>
      <c r="W126" s="32" t="str">
        <f>"－"</f>
        <v>－</v>
      </c>
      <c r="X126" s="36" t="n">
        <f>20</f>
        <v>20.0</v>
      </c>
    </row>
    <row r="127">
      <c r="A127" s="27" t="s">
        <v>42</v>
      </c>
      <c r="B127" s="27" t="s">
        <v>428</v>
      </c>
      <c r="C127" s="27" t="s">
        <v>429</v>
      </c>
      <c r="D127" s="27" t="s">
        <v>430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18360</f>
        <v>18360.0</v>
      </c>
      <c r="L127" s="34" t="s">
        <v>48</v>
      </c>
      <c r="M127" s="33" t="n">
        <f>18450</f>
        <v>18450.0</v>
      </c>
      <c r="N127" s="34" t="s">
        <v>49</v>
      </c>
      <c r="O127" s="33" t="n">
        <f>17420</f>
        <v>17420.0</v>
      </c>
      <c r="P127" s="34" t="s">
        <v>58</v>
      </c>
      <c r="Q127" s="33" t="n">
        <f>18060</f>
        <v>18060.0</v>
      </c>
      <c r="R127" s="34" t="s">
        <v>51</v>
      </c>
      <c r="S127" s="35" t="n">
        <f>18039.05</f>
        <v>18039.05</v>
      </c>
      <c r="T127" s="32" t="n">
        <f>212579</f>
        <v>212579.0</v>
      </c>
      <c r="U127" s="32" t="n">
        <f>145002</f>
        <v>145002.0</v>
      </c>
      <c r="V127" s="32" t="n">
        <f>3833738888</f>
        <v>3.833738888E9</v>
      </c>
      <c r="W127" s="32" t="n">
        <f>2616450818</f>
        <v>2.616450818E9</v>
      </c>
      <c r="X127" s="36" t="n">
        <f>21</f>
        <v>21.0</v>
      </c>
    </row>
    <row r="128">
      <c r="A128" s="27" t="s">
        <v>42</v>
      </c>
      <c r="B128" s="27" t="s">
        <v>431</v>
      </c>
      <c r="C128" s="27" t="s">
        <v>432</v>
      </c>
      <c r="D128" s="27" t="s">
        <v>433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1675</f>
        <v>1675.0</v>
      </c>
      <c r="L128" s="34" t="s">
        <v>48</v>
      </c>
      <c r="M128" s="33" t="n">
        <f>1700</f>
        <v>1700.0</v>
      </c>
      <c r="N128" s="34" t="s">
        <v>179</v>
      </c>
      <c r="O128" s="33" t="n">
        <f>1602</f>
        <v>1602.0</v>
      </c>
      <c r="P128" s="34" t="s">
        <v>58</v>
      </c>
      <c r="Q128" s="33" t="n">
        <f>1670</f>
        <v>1670.0</v>
      </c>
      <c r="R128" s="34" t="s">
        <v>51</v>
      </c>
      <c r="S128" s="35" t="n">
        <f>1662</f>
        <v>1662.0</v>
      </c>
      <c r="T128" s="32" t="n">
        <f>140523</f>
        <v>140523.0</v>
      </c>
      <c r="U128" s="32" t="n">
        <f>13</f>
        <v>13.0</v>
      </c>
      <c r="V128" s="32" t="n">
        <f>229556710</f>
        <v>2.2955671E8</v>
      </c>
      <c r="W128" s="32" t="n">
        <f>21727</f>
        <v>21727.0</v>
      </c>
      <c r="X128" s="36" t="n">
        <f>21</f>
        <v>21.0</v>
      </c>
    </row>
    <row r="129">
      <c r="A129" s="27" t="s">
        <v>42</v>
      </c>
      <c r="B129" s="27" t="s">
        <v>434</v>
      </c>
      <c r="C129" s="27" t="s">
        <v>435</v>
      </c>
      <c r="D129" s="27" t="s">
        <v>436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18670</f>
        <v>18670.0</v>
      </c>
      <c r="L129" s="34" t="s">
        <v>48</v>
      </c>
      <c r="M129" s="33" t="n">
        <f>18990</f>
        <v>18990.0</v>
      </c>
      <c r="N129" s="34" t="s">
        <v>49</v>
      </c>
      <c r="O129" s="33" t="n">
        <f>17920</f>
        <v>17920.0</v>
      </c>
      <c r="P129" s="34" t="s">
        <v>50</v>
      </c>
      <c r="Q129" s="33" t="n">
        <f>18590</f>
        <v>18590.0</v>
      </c>
      <c r="R129" s="34" t="s">
        <v>51</v>
      </c>
      <c r="S129" s="35" t="n">
        <f>18534.29</f>
        <v>18534.29</v>
      </c>
      <c r="T129" s="32" t="n">
        <f>30993</f>
        <v>30993.0</v>
      </c>
      <c r="U129" s="32" t="n">
        <f>2</f>
        <v>2.0</v>
      </c>
      <c r="V129" s="32" t="n">
        <f>572386290</f>
        <v>5.7238629E8</v>
      </c>
      <c r="W129" s="32" t="n">
        <f>36340</f>
        <v>36340.0</v>
      </c>
      <c r="X129" s="36" t="n">
        <f>21</f>
        <v>21.0</v>
      </c>
    </row>
    <row r="130">
      <c r="A130" s="27" t="s">
        <v>42</v>
      </c>
      <c r="B130" s="27" t="s">
        <v>437</v>
      </c>
      <c r="C130" s="27" t="s">
        <v>438</v>
      </c>
      <c r="D130" s="27" t="s">
        <v>439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2126</f>
        <v>2126.0</v>
      </c>
      <c r="L130" s="34" t="s">
        <v>48</v>
      </c>
      <c r="M130" s="33" t="n">
        <f>2139</f>
        <v>2139.0</v>
      </c>
      <c r="N130" s="34" t="s">
        <v>91</v>
      </c>
      <c r="O130" s="33" t="n">
        <f>2032</f>
        <v>2032.0</v>
      </c>
      <c r="P130" s="34" t="s">
        <v>50</v>
      </c>
      <c r="Q130" s="33" t="n">
        <f>2122</f>
        <v>2122.0</v>
      </c>
      <c r="R130" s="34" t="s">
        <v>51</v>
      </c>
      <c r="S130" s="35" t="n">
        <f>2104.29</f>
        <v>2104.29</v>
      </c>
      <c r="T130" s="32" t="n">
        <f>916090</f>
        <v>916090.0</v>
      </c>
      <c r="U130" s="32" t="n">
        <f>247930</f>
        <v>247930.0</v>
      </c>
      <c r="V130" s="32" t="n">
        <f>1916282656</f>
        <v>1.916282656E9</v>
      </c>
      <c r="W130" s="32" t="n">
        <f>514589846</f>
        <v>5.14589846E8</v>
      </c>
      <c r="X130" s="36" t="n">
        <f>21</f>
        <v>21.0</v>
      </c>
    </row>
    <row r="131">
      <c r="A131" s="27" t="s">
        <v>42</v>
      </c>
      <c r="B131" s="27" t="s">
        <v>440</v>
      </c>
      <c r="C131" s="27" t="s">
        <v>441</v>
      </c>
      <c r="D131" s="27" t="s">
        <v>442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1752</f>
        <v>1752.0</v>
      </c>
      <c r="L131" s="34" t="s">
        <v>48</v>
      </c>
      <c r="M131" s="33" t="n">
        <f>1765</f>
        <v>1765.0</v>
      </c>
      <c r="N131" s="34" t="s">
        <v>106</v>
      </c>
      <c r="O131" s="33" t="n">
        <f>1714</f>
        <v>1714.0</v>
      </c>
      <c r="P131" s="34" t="s">
        <v>317</v>
      </c>
      <c r="Q131" s="33" t="n">
        <f>1765</f>
        <v>1765.0</v>
      </c>
      <c r="R131" s="34" t="s">
        <v>106</v>
      </c>
      <c r="S131" s="35" t="n">
        <f>1738.8</f>
        <v>1738.8</v>
      </c>
      <c r="T131" s="32" t="n">
        <f>210</f>
        <v>210.0</v>
      </c>
      <c r="U131" s="32" t="str">
        <f>"－"</f>
        <v>－</v>
      </c>
      <c r="V131" s="32" t="n">
        <f>363960</f>
        <v>363960.0</v>
      </c>
      <c r="W131" s="32" t="str">
        <f>"－"</f>
        <v>－</v>
      </c>
      <c r="X131" s="36" t="n">
        <f>5</f>
        <v>5.0</v>
      </c>
    </row>
    <row r="132">
      <c r="A132" s="27" t="s">
        <v>42</v>
      </c>
      <c r="B132" s="27" t="s">
        <v>443</v>
      </c>
      <c r="C132" s="27" t="s">
        <v>444</v>
      </c>
      <c r="D132" s="27" t="s">
        <v>445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2131</f>
        <v>2131.0</v>
      </c>
      <c r="L132" s="34" t="s">
        <v>48</v>
      </c>
      <c r="M132" s="33" t="n">
        <f>2155</f>
        <v>2155.0</v>
      </c>
      <c r="N132" s="34" t="s">
        <v>91</v>
      </c>
      <c r="O132" s="33" t="n">
        <f>2030</f>
        <v>2030.0</v>
      </c>
      <c r="P132" s="34" t="s">
        <v>50</v>
      </c>
      <c r="Q132" s="33" t="n">
        <f>2139</f>
        <v>2139.0</v>
      </c>
      <c r="R132" s="34" t="s">
        <v>51</v>
      </c>
      <c r="S132" s="35" t="n">
        <f>2114.48</f>
        <v>2114.48</v>
      </c>
      <c r="T132" s="32" t="n">
        <f>1814810</f>
        <v>1814810.0</v>
      </c>
      <c r="U132" s="32" t="n">
        <f>33320</f>
        <v>33320.0</v>
      </c>
      <c r="V132" s="32" t="n">
        <f>3791857542</f>
        <v>3.791857542E9</v>
      </c>
      <c r="W132" s="32" t="n">
        <f>70026432</f>
        <v>7.0026432E7</v>
      </c>
      <c r="X132" s="36" t="n">
        <f>21</f>
        <v>21.0</v>
      </c>
    </row>
    <row r="133">
      <c r="A133" s="27" t="s">
        <v>42</v>
      </c>
      <c r="B133" s="27" t="s">
        <v>446</v>
      </c>
      <c r="C133" s="27" t="s">
        <v>447</v>
      </c>
      <c r="D133" s="27" t="s">
        <v>448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18500</f>
        <v>18500.0</v>
      </c>
      <c r="L133" s="34" t="s">
        <v>48</v>
      </c>
      <c r="M133" s="33" t="n">
        <f>18840</f>
        <v>18840.0</v>
      </c>
      <c r="N133" s="34" t="s">
        <v>49</v>
      </c>
      <c r="O133" s="33" t="n">
        <f>17780</f>
        <v>17780.0</v>
      </c>
      <c r="P133" s="34" t="s">
        <v>58</v>
      </c>
      <c r="Q133" s="33" t="n">
        <f>18430</f>
        <v>18430.0</v>
      </c>
      <c r="R133" s="34" t="s">
        <v>51</v>
      </c>
      <c r="S133" s="35" t="n">
        <f>18331.05</f>
        <v>18331.05</v>
      </c>
      <c r="T133" s="32" t="n">
        <f>5890</f>
        <v>5890.0</v>
      </c>
      <c r="U133" s="32" t="str">
        <f>"－"</f>
        <v>－</v>
      </c>
      <c r="V133" s="32" t="n">
        <f>107111810</f>
        <v>1.0711181E8</v>
      </c>
      <c r="W133" s="32" t="str">
        <f>"－"</f>
        <v>－</v>
      </c>
      <c r="X133" s="36" t="n">
        <f>19</f>
        <v>19.0</v>
      </c>
    </row>
    <row r="134">
      <c r="A134" s="27" t="s">
        <v>42</v>
      </c>
      <c r="B134" s="27" t="s">
        <v>449</v>
      </c>
      <c r="C134" s="27" t="s">
        <v>450</v>
      </c>
      <c r="D134" s="27" t="s">
        <v>451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100.0</v>
      </c>
      <c r="K134" s="33" t="n">
        <f>154</f>
        <v>154.0</v>
      </c>
      <c r="L134" s="34" t="s">
        <v>48</v>
      </c>
      <c r="M134" s="33" t="n">
        <f>159</f>
        <v>159.0</v>
      </c>
      <c r="N134" s="34" t="s">
        <v>317</v>
      </c>
      <c r="O134" s="33" t="n">
        <f>148</f>
        <v>148.0</v>
      </c>
      <c r="P134" s="34" t="s">
        <v>51</v>
      </c>
      <c r="Q134" s="33" t="n">
        <f>149</f>
        <v>149.0</v>
      </c>
      <c r="R134" s="34" t="s">
        <v>51</v>
      </c>
      <c r="S134" s="35" t="n">
        <f>154.29</f>
        <v>154.29</v>
      </c>
      <c r="T134" s="32" t="n">
        <f>80353800</f>
        <v>8.03538E7</v>
      </c>
      <c r="U134" s="32" t="n">
        <f>19100</f>
        <v>19100.0</v>
      </c>
      <c r="V134" s="32" t="n">
        <f>12409001300</f>
        <v>1.24090013E10</v>
      </c>
      <c r="W134" s="32" t="n">
        <f>2985200</f>
        <v>2985200.0</v>
      </c>
      <c r="X134" s="36" t="n">
        <f>21</f>
        <v>21.0</v>
      </c>
    </row>
    <row r="135">
      <c r="A135" s="27" t="s">
        <v>42</v>
      </c>
      <c r="B135" s="27" t="s">
        <v>452</v>
      </c>
      <c r="C135" s="27" t="s">
        <v>453</v>
      </c>
      <c r="D135" s="27" t="s">
        <v>454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29160</f>
        <v>29160.0</v>
      </c>
      <c r="L135" s="34" t="s">
        <v>48</v>
      </c>
      <c r="M135" s="33" t="n">
        <f>30000</f>
        <v>30000.0</v>
      </c>
      <c r="N135" s="34" t="s">
        <v>95</v>
      </c>
      <c r="O135" s="33" t="n">
        <f>28420</f>
        <v>28420.0</v>
      </c>
      <c r="P135" s="34" t="s">
        <v>179</v>
      </c>
      <c r="Q135" s="33" t="n">
        <f>29060</f>
        <v>29060.0</v>
      </c>
      <c r="R135" s="34" t="s">
        <v>51</v>
      </c>
      <c r="S135" s="35" t="n">
        <f>29141.58</f>
        <v>29141.58</v>
      </c>
      <c r="T135" s="32" t="n">
        <f>1080</f>
        <v>1080.0</v>
      </c>
      <c r="U135" s="32" t="str">
        <f>"－"</f>
        <v>－</v>
      </c>
      <c r="V135" s="32" t="n">
        <f>31450720</f>
        <v>3.145072E7</v>
      </c>
      <c r="W135" s="32" t="str">
        <f>"－"</f>
        <v>－</v>
      </c>
      <c r="X135" s="36" t="n">
        <f>19</f>
        <v>19.0</v>
      </c>
    </row>
    <row r="136">
      <c r="A136" s="27" t="s">
        <v>42</v>
      </c>
      <c r="B136" s="27" t="s">
        <v>455</v>
      </c>
      <c r="C136" s="27" t="s">
        <v>456</v>
      </c>
      <c r="D136" s="27" t="s">
        <v>457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10450</f>
        <v>10450.0</v>
      </c>
      <c r="L136" s="34" t="s">
        <v>48</v>
      </c>
      <c r="M136" s="33" t="n">
        <f>11500</f>
        <v>11500.0</v>
      </c>
      <c r="N136" s="34" t="s">
        <v>95</v>
      </c>
      <c r="O136" s="33" t="n">
        <f>10380</f>
        <v>10380.0</v>
      </c>
      <c r="P136" s="34" t="s">
        <v>48</v>
      </c>
      <c r="Q136" s="33" t="n">
        <f>10900</f>
        <v>10900.0</v>
      </c>
      <c r="R136" s="34" t="s">
        <v>51</v>
      </c>
      <c r="S136" s="35" t="n">
        <f>11047.62</f>
        <v>11047.62</v>
      </c>
      <c r="T136" s="32" t="n">
        <f>15991</f>
        <v>15991.0</v>
      </c>
      <c r="U136" s="32" t="n">
        <f>2</f>
        <v>2.0</v>
      </c>
      <c r="V136" s="32" t="n">
        <f>176694930</f>
        <v>1.7669493E8</v>
      </c>
      <c r="W136" s="32" t="n">
        <f>22050</f>
        <v>22050.0</v>
      </c>
      <c r="X136" s="36" t="n">
        <f>21</f>
        <v>21.0</v>
      </c>
    </row>
    <row r="137">
      <c r="A137" s="27" t="s">
        <v>42</v>
      </c>
      <c r="B137" s="27" t="s">
        <v>458</v>
      </c>
      <c r="C137" s="27" t="s">
        <v>459</v>
      </c>
      <c r="D137" s="27" t="s">
        <v>460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22410</f>
        <v>22410.0</v>
      </c>
      <c r="L137" s="34" t="s">
        <v>48</v>
      </c>
      <c r="M137" s="33" t="n">
        <f>23000</f>
        <v>23000.0</v>
      </c>
      <c r="N137" s="34" t="s">
        <v>49</v>
      </c>
      <c r="O137" s="33" t="n">
        <f>21830</f>
        <v>21830.0</v>
      </c>
      <c r="P137" s="34" t="s">
        <v>50</v>
      </c>
      <c r="Q137" s="33" t="n">
        <f>22450</f>
        <v>22450.0</v>
      </c>
      <c r="R137" s="34" t="s">
        <v>51</v>
      </c>
      <c r="S137" s="35" t="n">
        <f>22484</f>
        <v>22484.0</v>
      </c>
      <c r="T137" s="32" t="n">
        <f>1213</f>
        <v>1213.0</v>
      </c>
      <c r="U137" s="32" t="str">
        <f>"－"</f>
        <v>－</v>
      </c>
      <c r="V137" s="32" t="n">
        <f>27335750</f>
        <v>2.733575E7</v>
      </c>
      <c r="W137" s="32" t="str">
        <f>"－"</f>
        <v>－</v>
      </c>
      <c r="X137" s="36" t="n">
        <f>20</f>
        <v>20.0</v>
      </c>
    </row>
    <row r="138">
      <c r="A138" s="27" t="s">
        <v>42</v>
      </c>
      <c r="B138" s="27" t="s">
        <v>461</v>
      </c>
      <c r="C138" s="27" t="s">
        <v>462</v>
      </c>
      <c r="D138" s="27" t="s">
        <v>463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27860</f>
        <v>27860.0</v>
      </c>
      <c r="L138" s="34" t="s">
        <v>48</v>
      </c>
      <c r="M138" s="33" t="n">
        <f>28250</f>
        <v>28250.0</v>
      </c>
      <c r="N138" s="34" t="s">
        <v>95</v>
      </c>
      <c r="O138" s="33" t="n">
        <f>26730</f>
        <v>26730.0</v>
      </c>
      <c r="P138" s="34" t="s">
        <v>50</v>
      </c>
      <c r="Q138" s="33" t="n">
        <f>27730</f>
        <v>27730.0</v>
      </c>
      <c r="R138" s="34" t="s">
        <v>51</v>
      </c>
      <c r="S138" s="35" t="n">
        <f>27514.5</f>
        <v>27514.5</v>
      </c>
      <c r="T138" s="32" t="n">
        <f>1808</f>
        <v>1808.0</v>
      </c>
      <c r="U138" s="32" t="str">
        <f>"－"</f>
        <v>－</v>
      </c>
      <c r="V138" s="32" t="n">
        <f>49501790</f>
        <v>4.950179E7</v>
      </c>
      <c r="W138" s="32" t="str">
        <f>"－"</f>
        <v>－</v>
      </c>
      <c r="X138" s="36" t="n">
        <f>20</f>
        <v>20.0</v>
      </c>
    </row>
    <row r="139">
      <c r="A139" s="27" t="s">
        <v>42</v>
      </c>
      <c r="B139" s="27" t="s">
        <v>464</v>
      </c>
      <c r="C139" s="27" t="s">
        <v>465</v>
      </c>
      <c r="D139" s="27" t="s">
        <v>466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24280</f>
        <v>24280.0</v>
      </c>
      <c r="L139" s="34" t="s">
        <v>48</v>
      </c>
      <c r="M139" s="33" t="n">
        <f>24280</f>
        <v>24280.0</v>
      </c>
      <c r="N139" s="34" t="s">
        <v>48</v>
      </c>
      <c r="O139" s="33" t="n">
        <f>22920</f>
        <v>22920.0</v>
      </c>
      <c r="P139" s="34" t="s">
        <v>334</v>
      </c>
      <c r="Q139" s="33" t="n">
        <f>23120</f>
        <v>23120.0</v>
      </c>
      <c r="R139" s="34" t="s">
        <v>51</v>
      </c>
      <c r="S139" s="35" t="n">
        <f>23336.67</f>
        <v>23336.67</v>
      </c>
      <c r="T139" s="32" t="n">
        <f>3925</f>
        <v>3925.0</v>
      </c>
      <c r="U139" s="32" t="str">
        <f>"－"</f>
        <v>－</v>
      </c>
      <c r="V139" s="32" t="n">
        <f>91570520</f>
        <v>9.157052E7</v>
      </c>
      <c r="W139" s="32" t="str">
        <f>"－"</f>
        <v>－</v>
      </c>
      <c r="X139" s="36" t="n">
        <f>21</f>
        <v>21.0</v>
      </c>
    </row>
    <row r="140">
      <c r="A140" s="27" t="s">
        <v>42</v>
      </c>
      <c r="B140" s="27" t="s">
        <v>467</v>
      </c>
      <c r="C140" s="27" t="s">
        <v>468</v>
      </c>
      <c r="D140" s="27" t="s">
        <v>469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23570</f>
        <v>23570.0</v>
      </c>
      <c r="L140" s="34" t="s">
        <v>48</v>
      </c>
      <c r="M140" s="33" t="n">
        <f>24710</f>
        <v>24710.0</v>
      </c>
      <c r="N140" s="34" t="s">
        <v>95</v>
      </c>
      <c r="O140" s="33" t="n">
        <f>22300</f>
        <v>22300.0</v>
      </c>
      <c r="P140" s="34" t="s">
        <v>58</v>
      </c>
      <c r="Q140" s="33" t="n">
        <f>23970</f>
        <v>23970.0</v>
      </c>
      <c r="R140" s="34" t="s">
        <v>51</v>
      </c>
      <c r="S140" s="35" t="n">
        <f>23731.9</f>
        <v>23731.9</v>
      </c>
      <c r="T140" s="32" t="n">
        <f>2297</f>
        <v>2297.0</v>
      </c>
      <c r="U140" s="32" t="str">
        <f>"－"</f>
        <v>－</v>
      </c>
      <c r="V140" s="32" t="n">
        <f>54590860</f>
        <v>5.459086E7</v>
      </c>
      <c r="W140" s="32" t="str">
        <f>"－"</f>
        <v>－</v>
      </c>
      <c r="X140" s="36" t="n">
        <f>21</f>
        <v>21.0</v>
      </c>
    </row>
    <row r="141">
      <c r="A141" s="27" t="s">
        <v>42</v>
      </c>
      <c r="B141" s="27" t="s">
        <v>470</v>
      </c>
      <c r="C141" s="27" t="s">
        <v>471</v>
      </c>
      <c r="D141" s="27" t="s">
        <v>472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16140</f>
        <v>16140.0</v>
      </c>
      <c r="L141" s="34" t="s">
        <v>48</v>
      </c>
      <c r="M141" s="33" t="n">
        <f>17050</f>
        <v>17050.0</v>
      </c>
      <c r="N141" s="34" t="s">
        <v>72</v>
      </c>
      <c r="O141" s="33" t="n">
        <f>15430</f>
        <v>15430.0</v>
      </c>
      <c r="P141" s="34" t="s">
        <v>50</v>
      </c>
      <c r="Q141" s="33" t="n">
        <f>16560</f>
        <v>16560.0</v>
      </c>
      <c r="R141" s="34" t="s">
        <v>51</v>
      </c>
      <c r="S141" s="35" t="n">
        <f>16350.95</f>
        <v>16350.95</v>
      </c>
      <c r="T141" s="32" t="n">
        <f>5593</f>
        <v>5593.0</v>
      </c>
      <c r="U141" s="32" t="str">
        <f>"－"</f>
        <v>－</v>
      </c>
      <c r="V141" s="32" t="n">
        <f>91628760</f>
        <v>9.162876E7</v>
      </c>
      <c r="W141" s="32" t="str">
        <f>"－"</f>
        <v>－</v>
      </c>
      <c r="X141" s="36" t="n">
        <f>21</f>
        <v>21.0</v>
      </c>
    </row>
    <row r="142">
      <c r="A142" s="27" t="s">
        <v>42</v>
      </c>
      <c r="B142" s="27" t="s">
        <v>473</v>
      </c>
      <c r="C142" s="27" t="s">
        <v>474</v>
      </c>
      <c r="D142" s="27" t="s">
        <v>475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41000</f>
        <v>41000.0</v>
      </c>
      <c r="L142" s="34" t="s">
        <v>48</v>
      </c>
      <c r="M142" s="33" t="n">
        <f>41750</f>
        <v>41750.0</v>
      </c>
      <c r="N142" s="34" t="s">
        <v>49</v>
      </c>
      <c r="O142" s="33" t="n">
        <f>38200</f>
        <v>38200.0</v>
      </c>
      <c r="P142" s="34" t="s">
        <v>50</v>
      </c>
      <c r="Q142" s="33" t="n">
        <f>40950</f>
        <v>40950.0</v>
      </c>
      <c r="R142" s="34" t="s">
        <v>51</v>
      </c>
      <c r="S142" s="35" t="n">
        <f>40300</f>
        <v>40300.0</v>
      </c>
      <c r="T142" s="32" t="n">
        <f>3229</f>
        <v>3229.0</v>
      </c>
      <c r="U142" s="32" t="str">
        <f>"－"</f>
        <v>－</v>
      </c>
      <c r="V142" s="32" t="n">
        <f>129130450</f>
        <v>1.2913045E8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476</v>
      </c>
      <c r="C143" s="27" t="s">
        <v>477</v>
      </c>
      <c r="D143" s="27" t="s">
        <v>478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30500</f>
        <v>30500.0</v>
      </c>
      <c r="L143" s="34" t="s">
        <v>48</v>
      </c>
      <c r="M143" s="33" t="n">
        <f>31400</f>
        <v>31400.0</v>
      </c>
      <c r="N143" s="34" t="s">
        <v>49</v>
      </c>
      <c r="O143" s="33" t="n">
        <f>28620</f>
        <v>28620.0</v>
      </c>
      <c r="P143" s="34" t="s">
        <v>50</v>
      </c>
      <c r="Q143" s="33" t="n">
        <f>30650</f>
        <v>30650.0</v>
      </c>
      <c r="R143" s="34" t="s">
        <v>51</v>
      </c>
      <c r="S143" s="35" t="n">
        <f>30153.33</f>
        <v>30153.33</v>
      </c>
      <c r="T143" s="32" t="n">
        <f>5022</f>
        <v>5022.0</v>
      </c>
      <c r="U143" s="32" t="n">
        <f>2</f>
        <v>2.0</v>
      </c>
      <c r="V143" s="32" t="n">
        <f>150700280</f>
        <v>1.5070028E8</v>
      </c>
      <c r="W143" s="32" t="n">
        <f>57800</f>
        <v>57800.0</v>
      </c>
      <c r="X143" s="36" t="n">
        <f>21</f>
        <v>21.0</v>
      </c>
    </row>
    <row r="144">
      <c r="A144" s="27" t="s">
        <v>42</v>
      </c>
      <c r="B144" s="27" t="s">
        <v>479</v>
      </c>
      <c r="C144" s="27" t="s">
        <v>480</v>
      </c>
      <c r="D144" s="27" t="s">
        <v>481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30400</f>
        <v>30400.0</v>
      </c>
      <c r="L144" s="34" t="s">
        <v>48</v>
      </c>
      <c r="M144" s="33" t="n">
        <f>31000</f>
        <v>31000.0</v>
      </c>
      <c r="N144" s="34" t="s">
        <v>49</v>
      </c>
      <c r="O144" s="33" t="n">
        <f>29090</f>
        <v>29090.0</v>
      </c>
      <c r="P144" s="34" t="s">
        <v>50</v>
      </c>
      <c r="Q144" s="33" t="n">
        <f>30650</f>
        <v>30650.0</v>
      </c>
      <c r="R144" s="34" t="s">
        <v>51</v>
      </c>
      <c r="S144" s="35" t="n">
        <f>30280</f>
        <v>30280.0</v>
      </c>
      <c r="T144" s="32" t="n">
        <f>1604</f>
        <v>1604.0</v>
      </c>
      <c r="U144" s="32" t="str">
        <f>"－"</f>
        <v>－</v>
      </c>
      <c r="V144" s="32" t="n">
        <f>48568070</f>
        <v>4.856807E7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482</v>
      </c>
      <c r="C145" s="27" t="s">
        <v>483</v>
      </c>
      <c r="D145" s="27" t="s">
        <v>484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5930</f>
        <v>5930.0</v>
      </c>
      <c r="L145" s="34" t="s">
        <v>48</v>
      </c>
      <c r="M145" s="33" t="n">
        <f>6130</f>
        <v>6130.0</v>
      </c>
      <c r="N145" s="34" t="s">
        <v>208</v>
      </c>
      <c r="O145" s="33" t="n">
        <f>5410</f>
        <v>5410.0</v>
      </c>
      <c r="P145" s="34" t="s">
        <v>192</v>
      </c>
      <c r="Q145" s="33" t="n">
        <f>5480</f>
        <v>5480.0</v>
      </c>
      <c r="R145" s="34" t="s">
        <v>51</v>
      </c>
      <c r="S145" s="35" t="n">
        <f>5778.1</f>
        <v>5778.1</v>
      </c>
      <c r="T145" s="32" t="n">
        <f>21142</f>
        <v>21142.0</v>
      </c>
      <c r="U145" s="32" t="n">
        <f>1</f>
        <v>1.0</v>
      </c>
      <c r="V145" s="32" t="n">
        <f>121986680</f>
        <v>1.2198668E8</v>
      </c>
      <c r="W145" s="32" t="n">
        <f>5320</f>
        <v>5320.0</v>
      </c>
      <c r="X145" s="36" t="n">
        <f>21</f>
        <v>21.0</v>
      </c>
    </row>
    <row r="146">
      <c r="A146" s="27" t="s">
        <v>42</v>
      </c>
      <c r="B146" s="27" t="s">
        <v>485</v>
      </c>
      <c r="C146" s="27" t="s">
        <v>486</v>
      </c>
      <c r="D146" s="27" t="s">
        <v>487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15890</f>
        <v>15890.0</v>
      </c>
      <c r="L146" s="34" t="s">
        <v>48</v>
      </c>
      <c r="M146" s="33" t="n">
        <f>16080</f>
        <v>16080.0</v>
      </c>
      <c r="N146" s="34" t="s">
        <v>78</v>
      </c>
      <c r="O146" s="33" t="n">
        <f>14900</f>
        <v>14900.0</v>
      </c>
      <c r="P146" s="34" t="s">
        <v>488</v>
      </c>
      <c r="Q146" s="33" t="n">
        <f>15140</f>
        <v>15140.0</v>
      </c>
      <c r="R146" s="34" t="s">
        <v>51</v>
      </c>
      <c r="S146" s="35" t="n">
        <f>15302.86</f>
        <v>15302.86</v>
      </c>
      <c r="T146" s="32" t="n">
        <f>28117</f>
        <v>28117.0</v>
      </c>
      <c r="U146" s="32" t="str">
        <f>"－"</f>
        <v>－</v>
      </c>
      <c r="V146" s="32" t="n">
        <f>430965670</f>
        <v>4.3096567E8</v>
      </c>
      <c r="W146" s="32" t="str">
        <f>"－"</f>
        <v>－</v>
      </c>
      <c r="X146" s="36" t="n">
        <f>21</f>
        <v>21.0</v>
      </c>
    </row>
    <row r="147">
      <c r="A147" s="27" t="s">
        <v>42</v>
      </c>
      <c r="B147" s="27" t="s">
        <v>489</v>
      </c>
      <c r="C147" s="27" t="s">
        <v>490</v>
      </c>
      <c r="D147" s="27" t="s">
        <v>491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39400</f>
        <v>39400.0</v>
      </c>
      <c r="L147" s="34" t="s">
        <v>48</v>
      </c>
      <c r="M147" s="33" t="n">
        <f>41350</f>
        <v>41350.0</v>
      </c>
      <c r="N147" s="34" t="s">
        <v>91</v>
      </c>
      <c r="O147" s="33" t="n">
        <f>38400</f>
        <v>38400.0</v>
      </c>
      <c r="P147" s="34" t="s">
        <v>50</v>
      </c>
      <c r="Q147" s="33" t="n">
        <f>40350</f>
        <v>40350.0</v>
      </c>
      <c r="R147" s="34" t="s">
        <v>51</v>
      </c>
      <c r="S147" s="35" t="n">
        <f>40104.76</f>
        <v>40104.76</v>
      </c>
      <c r="T147" s="32" t="n">
        <f>7055</f>
        <v>7055.0</v>
      </c>
      <c r="U147" s="32" t="n">
        <f>1</f>
        <v>1.0</v>
      </c>
      <c r="V147" s="32" t="n">
        <f>282697200</f>
        <v>2.826972E8</v>
      </c>
      <c r="W147" s="32" t="n">
        <f>40250</f>
        <v>40250.0</v>
      </c>
      <c r="X147" s="36" t="n">
        <f>21</f>
        <v>21.0</v>
      </c>
    </row>
    <row r="148">
      <c r="A148" s="27" t="s">
        <v>42</v>
      </c>
      <c r="B148" s="27" t="s">
        <v>492</v>
      </c>
      <c r="C148" s="27" t="s">
        <v>493</v>
      </c>
      <c r="D148" s="27" t="s">
        <v>494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23700</f>
        <v>23700.0</v>
      </c>
      <c r="L148" s="34" t="s">
        <v>48</v>
      </c>
      <c r="M148" s="33" t="n">
        <f>23740</f>
        <v>23740.0</v>
      </c>
      <c r="N148" s="34" t="s">
        <v>78</v>
      </c>
      <c r="O148" s="33" t="n">
        <f>22530</f>
        <v>22530.0</v>
      </c>
      <c r="P148" s="34" t="s">
        <v>179</v>
      </c>
      <c r="Q148" s="33" t="n">
        <f>22740</f>
        <v>22740.0</v>
      </c>
      <c r="R148" s="34" t="s">
        <v>51</v>
      </c>
      <c r="S148" s="35" t="n">
        <f>22975.24</f>
        <v>22975.24</v>
      </c>
      <c r="T148" s="32" t="n">
        <f>1195</f>
        <v>1195.0</v>
      </c>
      <c r="U148" s="32" t="str">
        <f>"－"</f>
        <v>－</v>
      </c>
      <c r="V148" s="32" t="n">
        <f>27352130</f>
        <v>2.735213E7</v>
      </c>
      <c r="W148" s="32" t="str">
        <f>"－"</f>
        <v>－</v>
      </c>
      <c r="X148" s="36" t="n">
        <f>21</f>
        <v>21.0</v>
      </c>
    </row>
    <row r="149">
      <c r="A149" s="27" t="s">
        <v>42</v>
      </c>
      <c r="B149" s="27" t="s">
        <v>495</v>
      </c>
      <c r="C149" s="27" t="s">
        <v>496</v>
      </c>
      <c r="D149" s="27" t="s">
        <v>497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8080</f>
        <v>8080.0</v>
      </c>
      <c r="L149" s="34" t="s">
        <v>48</v>
      </c>
      <c r="M149" s="33" t="n">
        <f>8290</f>
        <v>8290.0</v>
      </c>
      <c r="N149" s="34" t="s">
        <v>317</v>
      </c>
      <c r="O149" s="33" t="n">
        <f>7770</f>
        <v>7770.0</v>
      </c>
      <c r="P149" s="34" t="s">
        <v>51</v>
      </c>
      <c r="Q149" s="33" t="n">
        <f>7820</f>
        <v>7820.0</v>
      </c>
      <c r="R149" s="34" t="s">
        <v>51</v>
      </c>
      <c r="S149" s="35" t="n">
        <f>8069.05</f>
        <v>8069.05</v>
      </c>
      <c r="T149" s="32" t="n">
        <f>22371</f>
        <v>22371.0</v>
      </c>
      <c r="U149" s="32" t="str">
        <f>"－"</f>
        <v>－</v>
      </c>
      <c r="V149" s="32" t="n">
        <f>180164120</f>
        <v>1.8016412E8</v>
      </c>
      <c r="W149" s="32" t="str">
        <f>"－"</f>
        <v>－</v>
      </c>
      <c r="X149" s="36" t="n">
        <f>21</f>
        <v>21.0</v>
      </c>
    </row>
    <row r="150">
      <c r="A150" s="27" t="s">
        <v>42</v>
      </c>
      <c r="B150" s="27" t="s">
        <v>498</v>
      </c>
      <c r="C150" s="27" t="s">
        <v>499</v>
      </c>
      <c r="D150" s="27" t="s">
        <v>500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13950</f>
        <v>13950.0</v>
      </c>
      <c r="L150" s="34" t="s">
        <v>48</v>
      </c>
      <c r="M150" s="33" t="n">
        <f>14470</f>
        <v>14470.0</v>
      </c>
      <c r="N150" s="34" t="s">
        <v>49</v>
      </c>
      <c r="O150" s="33" t="n">
        <f>13810</f>
        <v>13810.0</v>
      </c>
      <c r="P150" s="34" t="s">
        <v>48</v>
      </c>
      <c r="Q150" s="33" t="n">
        <f>14030</f>
        <v>14030.0</v>
      </c>
      <c r="R150" s="34" t="s">
        <v>51</v>
      </c>
      <c r="S150" s="35" t="n">
        <f>14141.43</f>
        <v>14141.43</v>
      </c>
      <c r="T150" s="32" t="n">
        <f>2490</f>
        <v>2490.0</v>
      </c>
      <c r="U150" s="32" t="str">
        <f>"－"</f>
        <v>－</v>
      </c>
      <c r="V150" s="32" t="n">
        <f>35098300</f>
        <v>3.50983E7</v>
      </c>
      <c r="W150" s="32" t="str">
        <f>"－"</f>
        <v>－</v>
      </c>
      <c r="X150" s="36" t="n">
        <f>21</f>
        <v>21.0</v>
      </c>
    </row>
    <row r="151">
      <c r="A151" s="27" t="s">
        <v>42</v>
      </c>
      <c r="B151" s="27" t="s">
        <v>501</v>
      </c>
      <c r="C151" s="27" t="s">
        <v>502</v>
      </c>
      <c r="D151" s="27" t="s">
        <v>503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30600</f>
        <v>30600.0</v>
      </c>
      <c r="L151" s="34" t="s">
        <v>48</v>
      </c>
      <c r="M151" s="33" t="n">
        <f>30850</f>
        <v>30850.0</v>
      </c>
      <c r="N151" s="34" t="s">
        <v>91</v>
      </c>
      <c r="O151" s="33" t="n">
        <f>29410</f>
        <v>29410.0</v>
      </c>
      <c r="P151" s="34" t="s">
        <v>208</v>
      </c>
      <c r="Q151" s="33" t="n">
        <f>30050</f>
        <v>30050.0</v>
      </c>
      <c r="R151" s="34" t="s">
        <v>51</v>
      </c>
      <c r="S151" s="35" t="n">
        <f>30206.19</f>
        <v>30206.19</v>
      </c>
      <c r="T151" s="32" t="n">
        <f>1723</f>
        <v>1723.0</v>
      </c>
      <c r="U151" s="32" t="str">
        <f>"－"</f>
        <v>－</v>
      </c>
      <c r="V151" s="32" t="n">
        <f>51889000</f>
        <v>5.1889E7</v>
      </c>
      <c r="W151" s="32" t="str">
        <f>"－"</f>
        <v>－</v>
      </c>
      <c r="X151" s="36" t="n">
        <f>21</f>
        <v>21.0</v>
      </c>
    </row>
    <row r="152">
      <c r="A152" s="27" t="s">
        <v>42</v>
      </c>
      <c r="B152" s="27" t="s">
        <v>504</v>
      </c>
      <c r="C152" s="27" t="s">
        <v>505</v>
      </c>
      <c r="D152" s="27" t="s">
        <v>506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1131</f>
        <v>1131.0</v>
      </c>
      <c r="L152" s="34" t="s">
        <v>48</v>
      </c>
      <c r="M152" s="33" t="n">
        <f>1148</f>
        <v>1148.0</v>
      </c>
      <c r="N152" s="34" t="s">
        <v>106</v>
      </c>
      <c r="O152" s="33" t="n">
        <f>1097</f>
        <v>1097.0</v>
      </c>
      <c r="P152" s="34" t="s">
        <v>50</v>
      </c>
      <c r="Q152" s="33" t="n">
        <f>1106</f>
        <v>1106.0</v>
      </c>
      <c r="R152" s="34" t="s">
        <v>51</v>
      </c>
      <c r="S152" s="35" t="n">
        <f>1118.48</f>
        <v>1118.48</v>
      </c>
      <c r="T152" s="32" t="n">
        <f>336620</f>
        <v>336620.0</v>
      </c>
      <c r="U152" s="32" t="n">
        <f>179060</f>
        <v>179060.0</v>
      </c>
      <c r="V152" s="32" t="n">
        <f>377221880</f>
        <v>3.7722188E8</v>
      </c>
      <c r="W152" s="32" t="n">
        <f>201101720</f>
        <v>2.0110172E8</v>
      </c>
      <c r="X152" s="36" t="n">
        <f>21</f>
        <v>21.0</v>
      </c>
    </row>
    <row r="153">
      <c r="A153" s="27" t="s">
        <v>42</v>
      </c>
      <c r="B153" s="27" t="s">
        <v>507</v>
      </c>
      <c r="C153" s="27" t="s">
        <v>508</v>
      </c>
      <c r="D153" s="27" t="s">
        <v>509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2491</f>
        <v>2491.0</v>
      </c>
      <c r="L153" s="34" t="s">
        <v>48</v>
      </c>
      <c r="M153" s="33" t="n">
        <f>2516</f>
        <v>2516.0</v>
      </c>
      <c r="N153" s="34" t="s">
        <v>72</v>
      </c>
      <c r="O153" s="33" t="n">
        <f>2398</f>
        <v>2398.0</v>
      </c>
      <c r="P153" s="34" t="s">
        <v>58</v>
      </c>
      <c r="Q153" s="33" t="n">
        <f>2506</f>
        <v>2506.0</v>
      </c>
      <c r="R153" s="34" t="s">
        <v>74</v>
      </c>
      <c r="S153" s="35" t="n">
        <f>2472.7</f>
        <v>2472.7</v>
      </c>
      <c r="T153" s="32" t="n">
        <f>3170</f>
        <v>3170.0</v>
      </c>
      <c r="U153" s="32" t="str">
        <f>"－"</f>
        <v>－</v>
      </c>
      <c r="V153" s="32" t="n">
        <f>7847040</f>
        <v>7847040.0</v>
      </c>
      <c r="W153" s="32" t="str">
        <f>"－"</f>
        <v>－</v>
      </c>
      <c r="X153" s="36" t="n">
        <f>10</f>
        <v>10.0</v>
      </c>
    </row>
    <row r="154">
      <c r="A154" s="27" t="s">
        <v>42</v>
      </c>
      <c r="B154" s="27" t="s">
        <v>510</v>
      </c>
      <c r="C154" s="27" t="s">
        <v>511</v>
      </c>
      <c r="D154" s="27" t="s">
        <v>512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2581</f>
        <v>2581.0</v>
      </c>
      <c r="L154" s="34" t="s">
        <v>48</v>
      </c>
      <c r="M154" s="33" t="n">
        <f>2628</f>
        <v>2628.0</v>
      </c>
      <c r="N154" s="34" t="s">
        <v>49</v>
      </c>
      <c r="O154" s="33" t="n">
        <f>2475</f>
        <v>2475.0</v>
      </c>
      <c r="P154" s="34" t="s">
        <v>58</v>
      </c>
      <c r="Q154" s="33" t="n">
        <f>2577</f>
        <v>2577.0</v>
      </c>
      <c r="R154" s="34" t="s">
        <v>51</v>
      </c>
      <c r="S154" s="35" t="n">
        <f>2567.79</f>
        <v>2567.79</v>
      </c>
      <c r="T154" s="32" t="n">
        <f>32570</f>
        <v>32570.0</v>
      </c>
      <c r="U154" s="32" t="str">
        <f>"－"</f>
        <v>－</v>
      </c>
      <c r="V154" s="32" t="n">
        <f>82168440</f>
        <v>8.216844E7</v>
      </c>
      <c r="W154" s="32" t="str">
        <f>"－"</f>
        <v>－</v>
      </c>
      <c r="X154" s="36" t="n">
        <f>19</f>
        <v>19.0</v>
      </c>
    </row>
    <row r="155">
      <c r="A155" s="27" t="s">
        <v>42</v>
      </c>
      <c r="B155" s="27" t="s">
        <v>513</v>
      </c>
      <c r="C155" s="27" t="s">
        <v>514</v>
      </c>
      <c r="D155" s="27" t="s">
        <v>515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1551</f>
        <v>1551.0</v>
      </c>
      <c r="L155" s="34" t="s">
        <v>48</v>
      </c>
      <c r="M155" s="33" t="n">
        <f>1587</f>
        <v>1587.0</v>
      </c>
      <c r="N155" s="34" t="s">
        <v>49</v>
      </c>
      <c r="O155" s="33" t="n">
        <f>1515</f>
        <v>1515.0</v>
      </c>
      <c r="P155" s="34" t="s">
        <v>50</v>
      </c>
      <c r="Q155" s="33" t="n">
        <f>1563</f>
        <v>1563.0</v>
      </c>
      <c r="R155" s="34" t="s">
        <v>51</v>
      </c>
      <c r="S155" s="35" t="n">
        <f>1554.23</f>
        <v>1554.23</v>
      </c>
      <c r="T155" s="32" t="n">
        <f>29200</f>
        <v>29200.0</v>
      </c>
      <c r="U155" s="32" t="str">
        <f>"－"</f>
        <v>－</v>
      </c>
      <c r="V155" s="32" t="n">
        <f>44678510</f>
        <v>4.467851E7</v>
      </c>
      <c r="W155" s="32" t="str">
        <f>"－"</f>
        <v>－</v>
      </c>
      <c r="X155" s="36" t="n">
        <f>13</f>
        <v>13.0</v>
      </c>
    </row>
    <row r="156">
      <c r="A156" s="27" t="s">
        <v>42</v>
      </c>
      <c r="B156" s="27" t="s">
        <v>516</v>
      </c>
      <c r="C156" s="27" t="s">
        <v>517</v>
      </c>
      <c r="D156" s="27" t="s">
        <v>518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3450</f>
        <v>3450.0</v>
      </c>
      <c r="L156" s="34" t="s">
        <v>48</v>
      </c>
      <c r="M156" s="33" t="n">
        <f>3755</f>
        <v>3755.0</v>
      </c>
      <c r="N156" s="34" t="s">
        <v>74</v>
      </c>
      <c r="O156" s="33" t="n">
        <f>3405</f>
        <v>3405.0</v>
      </c>
      <c r="P156" s="34" t="s">
        <v>50</v>
      </c>
      <c r="Q156" s="33" t="n">
        <f>3725</f>
        <v>3725.0</v>
      </c>
      <c r="R156" s="34" t="s">
        <v>51</v>
      </c>
      <c r="S156" s="35" t="n">
        <f>3605.48</f>
        <v>3605.48</v>
      </c>
      <c r="T156" s="32" t="n">
        <f>7852123</f>
        <v>7852123.0</v>
      </c>
      <c r="U156" s="32" t="n">
        <f>1385805</f>
        <v>1385805.0</v>
      </c>
      <c r="V156" s="32" t="n">
        <f>28405749490</f>
        <v>2.840574949E10</v>
      </c>
      <c r="W156" s="32" t="n">
        <f>5145535180</f>
        <v>5.14553518E9</v>
      </c>
      <c r="X156" s="36" t="n">
        <f>21</f>
        <v>21.0</v>
      </c>
    </row>
    <row r="157">
      <c r="A157" s="27" t="s">
        <v>42</v>
      </c>
      <c r="B157" s="27" t="s">
        <v>519</v>
      </c>
      <c r="C157" s="27" t="s">
        <v>520</v>
      </c>
      <c r="D157" s="27" t="s">
        <v>521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2649</f>
        <v>2649.0</v>
      </c>
      <c r="L157" s="34" t="s">
        <v>48</v>
      </c>
      <c r="M157" s="33" t="n">
        <f>2699</f>
        <v>2699.0</v>
      </c>
      <c r="N157" s="34" t="s">
        <v>106</v>
      </c>
      <c r="O157" s="33" t="n">
        <f>2631</f>
        <v>2631.0</v>
      </c>
      <c r="P157" s="34" t="s">
        <v>73</v>
      </c>
      <c r="Q157" s="33" t="n">
        <f>2673</f>
        <v>2673.0</v>
      </c>
      <c r="R157" s="34" t="s">
        <v>51</v>
      </c>
      <c r="S157" s="35" t="n">
        <f>2666.81</f>
        <v>2666.81</v>
      </c>
      <c r="T157" s="32" t="n">
        <f>3568955</f>
        <v>3568955.0</v>
      </c>
      <c r="U157" s="32" t="n">
        <f>3248450</f>
        <v>3248450.0</v>
      </c>
      <c r="V157" s="32" t="n">
        <f>9561670385</f>
        <v>9.561670385E9</v>
      </c>
      <c r="W157" s="32" t="n">
        <f>8703064210</f>
        <v>8.70306421E9</v>
      </c>
      <c r="X157" s="36" t="n">
        <f>21</f>
        <v>21.0</v>
      </c>
    </row>
    <row r="158">
      <c r="A158" s="27" t="s">
        <v>42</v>
      </c>
      <c r="B158" s="27" t="s">
        <v>522</v>
      </c>
      <c r="C158" s="27" t="s">
        <v>523</v>
      </c>
      <c r="D158" s="27" t="s">
        <v>524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3055</f>
        <v>3055.0</v>
      </c>
      <c r="L158" s="34" t="s">
        <v>48</v>
      </c>
      <c r="M158" s="33" t="n">
        <f>3315</f>
        <v>3315.0</v>
      </c>
      <c r="N158" s="34" t="s">
        <v>74</v>
      </c>
      <c r="O158" s="33" t="n">
        <f>3010</f>
        <v>3010.0</v>
      </c>
      <c r="P158" s="34" t="s">
        <v>50</v>
      </c>
      <c r="Q158" s="33" t="n">
        <f>3290</f>
        <v>3290.0</v>
      </c>
      <c r="R158" s="34" t="s">
        <v>51</v>
      </c>
      <c r="S158" s="35" t="n">
        <f>3188.57</f>
        <v>3188.57</v>
      </c>
      <c r="T158" s="32" t="n">
        <f>53693</f>
        <v>53693.0</v>
      </c>
      <c r="U158" s="32" t="n">
        <f>1650</f>
        <v>1650.0</v>
      </c>
      <c r="V158" s="32" t="n">
        <f>170062045</f>
        <v>1.70062045E8</v>
      </c>
      <c r="W158" s="32" t="n">
        <f>5085225</f>
        <v>5085225.0</v>
      </c>
      <c r="X158" s="36" t="n">
        <f>21</f>
        <v>21.0</v>
      </c>
    </row>
    <row r="159">
      <c r="A159" s="27" t="s">
        <v>42</v>
      </c>
      <c r="B159" s="27" t="s">
        <v>525</v>
      </c>
      <c r="C159" s="27" t="s">
        <v>526</v>
      </c>
      <c r="D159" s="27" t="s">
        <v>527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2312</f>
        <v>2312.0</v>
      </c>
      <c r="L159" s="34" t="s">
        <v>48</v>
      </c>
      <c r="M159" s="33" t="n">
        <f>2470</f>
        <v>2470.0</v>
      </c>
      <c r="N159" s="34" t="s">
        <v>49</v>
      </c>
      <c r="O159" s="33" t="n">
        <f>2235</f>
        <v>2235.0</v>
      </c>
      <c r="P159" s="34" t="s">
        <v>50</v>
      </c>
      <c r="Q159" s="33" t="n">
        <f>2386</f>
        <v>2386.0</v>
      </c>
      <c r="R159" s="34" t="s">
        <v>51</v>
      </c>
      <c r="S159" s="35" t="n">
        <f>2371.38</f>
        <v>2371.38</v>
      </c>
      <c r="T159" s="32" t="n">
        <f>87154</f>
        <v>87154.0</v>
      </c>
      <c r="U159" s="32" t="n">
        <f>4189</f>
        <v>4189.0</v>
      </c>
      <c r="V159" s="32" t="n">
        <f>209371158</f>
        <v>2.09371158E8</v>
      </c>
      <c r="W159" s="32" t="n">
        <f>9993228</f>
        <v>9993228.0</v>
      </c>
      <c r="X159" s="36" t="n">
        <f>21</f>
        <v>21.0</v>
      </c>
    </row>
    <row r="160">
      <c r="A160" s="27" t="s">
        <v>42</v>
      </c>
      <c r="B160" s="27" t="s">
        <v>528</v>
      </c>
      <c r="C160" s="27" t="s">
        <v>529</v>
      </c>
      <c r="D160" s="27" t="s">
        <v>530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2455</f>
        <v>2455.0</v>
      </c>
      <c r="L160" s="34" t="s">
        <v>48</v>
      </c>
      <c r="M160" s="33" t="n">
        <f>2712</f>
        <v>2712.0</v>
      </c>
      <c r="N160" s="34" t="s">
        <v>51</v>
      </c>
      <c r="O160" s="33" t="n">
        <f>2427</f>
        <v>2427.0</v>
      </c>
      <c r="P160" s="34" t="s">
        <v>48</v>
      </c>
      <c r="Q160" s="33" t="n">
        <f>2708</f>
        <v>2708.0</v>
      </c>
      <c r="R160" s="34" t="s">
        <v>51</v>
      </c>
      <c r="S160" s="35" t="n">
        <f>2589.14</f>
        <v>2589.14</v>
      </c>
      <c r="T160" s="32" t="n">
        <f>252315</f>
        <v>252315.0</v>
      </c>
      <c r="U160" s="32" t="n">
        <f>2</f>
        <v>2.0</v>
      </c>
      <c r="V160" s="32" t="n">
        <f>653583140</f>
        <v>6.5358314E8</v>
      </c>
      <c r="W160" s="32" t="n">
        <f>5340</f>
        <v>5340.0</v>
      </c>
      <c r="X160" s="36" t="n">
        <f>21</f>
        <v>21.0</v>
      </c>
    </row>
    <row r="161">
      <c r="A161" s="27" t="s">
        <v>42</v>
      </c>
      <c r="B161" s="27" t="s">
        <v>531</v>
      </c>
      <c r="C161" s="27" t="s">
        <v>532</v>
      </c>
      <c r="D161" s="27" t="s">
        <v>533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11680</f>
        <v>11680.0</v>
      </c>
      <c r="L161" s="34" t="s">
        <v>48</v>
      </c>
      <c r="M161" s="33" t="n">
        <f>11750</f>
        <v>11750.0</v>
      </c>
      <c r="N161" s="34" t="s">
        <v>91</v>
      </c>
      <c r="O161" s="33" t="n">
        <f>11170</f>
        <v>11170.0</v>
      </c>
      <c r="P161" s="34" t="s">
        <v>50</v>
      </c>
      <c r="Q161" s="33" t="n">
        <f>11630</f>
        <v>11630.0</v>
      </c>
      <c r="R161" s="34" t="s">
        <v>51</v>
      </c>
      <c r="S161" s="35" t="n">
        <f>11535.24</f>
        <v>11535.24</v>
      </c>
      <c r="T161" s="32" t="n">
        <f>21522</f>
        <v>21522.0</v>
      </c>
      <c r="U161" s="32" t="n">
        <f>6000</f>
        <v>6000.0</v>
      </c>
      <c r="V161" s="32" t="n">
        <f>247962560</f>
        <v>2.4796256E8</v>
      </c>
      <c r="W161" s="32" t="n">
        <f>69528600</f>
        <v>6.95286E7</v>
      </c>
      <c r="X161" s="36" t="n">
        <f>21</f>
        <v>21.0</v>
      </c>
    </row>
    <row r="162">
      <c r="A162" s="27" t="s">
        <v>42</v>
      </c>
      <c r="B162" s="27" t="s">
        <v>534</v>
      </c>
      <c r="C162" s="27" t="s">
        <v>535</v>
      </c>
      <c r="D162" s="27" t="s">
        <v>536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1650</f>
        <v>1650.0</v>
      </c>
      <c r="L162" s="34" t="s">
        <v>48</v>
      </c>
      <c r="M162" s="33" t="n">
        <f>1895</f>
        <v>1895.0</v>
      </c>
      <c r="N162" s="34" t="s">
        <v>74</v>
      </c>
      <c r="O162" s="33" t="n">
        <f>1634</f>
        <v>1634.0</v>
      </c>
      <c r="P162" s="34" t="s">
        <v>48</v>
      </c>
      <c r="Q162" s="33" t="n">
        <f>1850</f>
        <v>1850.0</v>
      </c>
      <c r="R162" s="34" t="s">
        <v>51</v>
      </c>
      <c r="S162" s="35" t="n">
        <f>1799.29</f>
        <v>1799.29</v>
      </c>
      <c r="T162" s="32" t="n">
        <f>31392255</f>
        <v>3.1392255E7</v>
      </c>
      <c r="U162" s="32" t="n">
        <f>23991</f>
        <v>23991.0</v>
      </c>
      <c r="V162" s="32" t="n">
        <f>56426681059</f>
        <v>5.6426681059E10</v>
      </c>
      <c r="W162" s="32" t="n">
        <f>43593055</f>
        <v>4.3593055E7</v>
      </c>
      <c r="X162" s="36" t="n">
        <f>21</f>
        <v>21.0</v>
      </c>
    </row>
    <row r="163">
      <c r="A163" s="27" t="s">
        <v>42</v>
      </c>
      <c r="B163" s="27" t="s">
        <v>537</v>
      </c>
      <c r="C163" s="27" t="s">
        <v>538</v>
      </c>
      <c r="D163" s="27" t="s">
        <v>539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18430</f>
        <v>18430.0</v>
      </c>
      <c r="L163" s="34" t="s">
        <v>48</v>
      </c>
      <c r="M163" s="33" t="n">
        <f>19440</f>
        <v>19440.0</v>
      </c>
      <c r="N163" s="34" t="s">
        <v>72</v>
      </c>
      <c r="O163" s="33" t="n">
        <f>18400</f>
        <v>18400.0</v>
      </c>
      <c r="P163" s="34" t="s">
        <v>48</v>
      </c>
      <c r="Q163" s="33" t="n">
        <f>19250</f>
        <v>19250.0</v>
      </c>
      <c r="R163" s="34" t="s">
        <v>51</v>
      </c>
      <c r="S163" s="35" t="n">
        <f>18959.05</f>
        <v>18959.05</v>
      </c>
      <c r="T163" s="32" t="n">
        <f>3020</f>
        <v>3020.0</v>
      </c>
      <c r="U163" s="32" t="str">
        <f>"－"</f>
        <v>－</v>
      </c>
      <c r="V163" s="32" t="n">
        <f>57178860</f>
        <v>5.717886E7</v>
      </c>
      <c r="W163" s="32" t="str">
        <f>"－"</f>
        <v>－</v>
      </c>
      <c r="X163" s="36" t="n">
        <f>21</f>
        <v>21.0</v>
      </c>
    </row>
    <row r="164">
      <c r="A164" s="27" t="s">
        <v>42</v>
      </c>
      <c r="B164" s="27" t="s">
        <v>540</v>
      </c>
      <c r="C164" s="27" t="s">
        <v>541</v>
      </c>
      <c r="D164" s="27" t="s">
        <v>542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2285</f>
        <v>2285.0</v>
      </c>
      <c r="L164" s="34" t="s">
        <v>48</v>
      </c>
      <c r="M164" s="33" t="n">
        <f>2599</f>
        <v>2599.0</v>
      </c>
      <c r="N164" s="34" t="s">
        <v>334</v>
      </c>
      <c r="O164" s="33" t="n">
        <f>2279</f>
        <v>2279.0</v>
      </c>
      <c r="P164" s="34" t="s">
        <v>48</v>
      </c>
      <c r="Q164" s="33" t="n">
        <f>2522</f>
        <v>2522.0</v>
      </c>
      <c r="R164" s="34" t="s">
        <v>51</v>
      </c>
      <c r="S164" s="35" t="n">
        <f>2449.52</f>
        <v>2449.52</v>
      </c>
      <c r="T164" s="32" t="n">
        <f>18990</f>
        <v>18990.0</v>
      </c>
      <c r="U164" s="32" t="str">
        <f>"－"</f>
        <v>－</v>
      </c>
      <c r="V164" s="32" t="n">
        <f>46976790</f>
        <v>4.697679E7</v>
      </c>
      <c r="W164" s="32" t="str">
        <f>"－"</f>
        <v>－</v>
      </c>
      <c r="X164" s="36" t="n">
        <f>21</f>
        <v>21.0</v>
      </c>
    </row>
    <row r="165">
      <c r="A165" s="27" t="s">
        <v>42</v>
      </c>
      <c r="B165" s="27" t="s">
        <v>543</v>
      </c>
      <c r="C165" s="27" t="s">
        <v>544</v>
      </c>
      <c r="D165" s="27" t="s">
        <v>545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10130</f>
        <v>10130.0</v>
      </c>
      <c r="L165" s="34" t="s">
        <v>48</v>
      </c>
      <c r="M165" s="33" t="n">
        <f>11370</f>
        <v>11370.0</v>
      </c>
      <c r="N165" s="34" t="s">
        <v>334</v>
      </c>
      <c r="O165" s="33" t="n">
        <f>9890</f>
        <v>9890.0</v>
      </c>
      <c r="P165" s="34" t="s">
        <v>58</v>
      </c>
      <c r="Q165" s="33" t="n">
        <f>10750</f>
        <v>10750.0</v>
      </c>
      <c r="R165" s="34" t="s">
        <v>51</v>
      </c>
      <c r="S165" s="35" t="n">
        <f>10737.62</f>
        <v>10737.62</v>
      </c>
      <c r="T165" s="32" t="n">
        <f>7862</f>
        <v>7862.0</v>
      </c>
      <c r="U165" s="32" t="str">
        <f>"－"</f>
        <v>－</v>
      </c>
      <c r="V165" s="32" t="n">
        <f>84583050</f>
        <v>8.458305E7</v>
      </c>
      <c r="W165" s="32" t="str">
        <f>"－"</f>
        <v>－</v>
      </c>
      <c r="X165" s="36" t="n">
        <f>21</f>
        <v>21.0</v>
      </c>
    </row>
    <row r="166">
      <c r="A166" s="27" t="s">
        <v>42</v>
      </c>
      <c r="B166" s="27" t="s">
        <v>546</v>
      </c>
      <c r="C166" s="27" t="s">
        <v>547</v>
      </c>
      <c r="D166" s="27" t="s">
        <v>548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19710</f>
        <v>19710.0</v>
      </c>
      <c r="L166" s="34" t="s">
        <v>48</v>
      </c>
      <c r="M166" s="33" t="n">
        <f>23800</f>
        <v>23800.0</v>
      </c>
      <c r="N166" s="34" t="s">
        <v>321</v>
      </c>
      <c r="O166" s="33" t="n">
        <f>19380</f>
        <v>19380.0</v>
      </c>
      <c r="P166" s="34" t="s">
        <v>50</v>
      </c>
      <c r="Q166" s="33" t="n">
        <f>21000</f>
        <v>21000.0</v>
      </c>
      <c r="R166" s="34" t="s">
        <v>51</v>
      </c>
      <c r="S166" s="35" t="n">
        <f>21458.57</f>
        <v>21458.57</v>
      </c>
      <c r="T166" s="32" t="n">
        <f>6851</f>
        <v>6851.0</v>
      </c>
      <c r="U166" s="32" t="n">
        <f>2</f>
        <v>2.0</v>
      </c>
      <c r="V166" s="32" t="n">
        <f>153945120</f>
        <v>1.5394512E8</v>
      </c>
      <c r="W166" s="32" t="n">
        <f>39700</f>
        <v>39700.0</v>
      </c>
      <c r="X166" s="36" t="n">
        <f>21</f>
        <v>21.0</v>
      </c>
    </row>
    <row r="167">
      <c r="A167" s="27" t="s">
        <v>42</v>
      </c>
      <c r="B167" s="27" t="s">
        <v>549</v>
      </c>
      <c r="C167" s="27" t="s">
        <v>550</v>
      </c>
      <c r="D167" s="27" t="s">
        <v>551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14640</f>
        <v>14640.0</v>
      </c>
      <c r="L167" s="34" t="s">
        <v>48</v>
      </c>
      <c r="M167" s="33" t="n">
        <f>16700</f>
        <v>16700.0</v>
      </c>
      <c r="N167" s="34" t="s">
        <v>62</v>
      </c>
      <c r="O167" s="33" t="n">
        <f>14640</f>
        <v>14640.0</v>
      </c>
      <c r="P167" s="34" t="s">
        <v>48</v>
      </c>
      <c r="Q167" s="33" t="n">
        <f>16390</f>
        <v>16390.0</v>
      </c>
      <c r="R167" s="34" t="s">
        <v>51</v>
      </c>
      <c r="S167" s="35" t="n">
        <f>15905</f>
        <v>15905.0</v>
      </c>
      <c r="T167" s="32" t="n">
        <f>181</f>
        <v>181.0</v>
      </c>
      <c r="U167" s="32" t="str">
        <f>"－"</f>
        <v>－</v>
      </c>
      <c r="V167" s="32" t="n">
        <f>2929750</f>
        <v>2929750.0</v>
      </c>
      <c r="W167" s="32" t="str">
        <f>"－"</f>
        <v>－</v>
      </c>
      <c r="X167" s="36" t="n">
        <f>14</f>
        <v>14.0</v>
      </c>
    </row>
    <row r="168">
      <c r="A168" s="27" t="s">
        <v>42</v>
      </c>
      <c r="B168" s="27" t="s">
        <v>552</v>
      </c>
      <c r="C168" s="27" t="s">
        <v>553</v>
      </c>
      <c r="D168" s="27" t="s">
        <v>554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51400</f>
        <v>51400.0</v>
      </c>
      <c r="L168" s="34" t="s">
        <v>48</v>
      </c>
      <c r="M168" s="33" t="n">
        <f>52500</f>
        <v>52500.0</v>
      </c>
      <c r="N168" s="34" t="s">
        <v>106</v>
      </c>
      <c r="O168" s="33" t="n">
        <f>51000</f>
        <v>51000.0</v>
      </c>
      <c r="P168" s="34" t="s">
        <v>208</v>
      </c>
      <c r="Q168" s="33" t="n">
        <f>52300</f>
        <v>52300.0</v>
      </c>
      <c r="R168" s="34" t="s">
        <v>51</v>
      </c>
      <c r="S168" s="35" t="n">
        <f>51933.33</f>
        <v>51933.33</v>
      </c>
      <c r="T168" s="32" t="n">
        <f>7400</f>
        <v>7400.0</v>
      </c>
      <c r="U168" s="32" t="str">
        <f>"－"</f>
        <v>－</v>
      </c>
      <c r="V168" s="32" t="n">
        <f>383831000</f>
        <v>3.83831E8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555</v>
      </c>
      <c r="C169" s="27" t="s">
        <v>556</v>
      </c>
      <c r="D169" s="27" t="s">
        <v>557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100.0</v>
      </c>
      <c r="K169" s="33" t="n">
        <f>236</f>
        <v>236.0</v>
      </c>
      <c r="L169" s="34" t="s">
        <v>48</v>
      </c>
      <c r="M169" s="33" t="n">
        <f>279</f>
        <v>279.0</v>
      </c>
      <c r="N169" s="34" t="s">
        <v>106</v>
      </c>
      <c r="O169" s="33" t="n">
        <f>232</f>
        <v>232.0</v>
      </c>
      <c r="P169" s="34" t="s">
        <v>50</v>
      </c>
      <c r="Q169" s="33" t="n">
        <f>242</f>
        <v>242.0</v>
      </c>
      <c r="R169" s="34" t="s">
        <v>51</v>
      </c>
      <c r="S169" s="35" t="n">
        <f>246.29</f>
        <v>246.29</v>
      </c>
      <c r="T169" s="32" t="n">
        <f>37788400</f>
        <v>3.77884E7</v>
      </c>
      <c r="U169" s="32" t="n">
        <f>768900</f>
        <v>768900.0</v>
      </c>
      <c r="V169" s="32" t="n">
        <f>9430511900</f>
        <v>9.4305119E9</v>
      </c>
      <c r="W169" s="32" t="n">
        <f>205577800</f>
        <v>2.055778E8</v>
      </c>
      <c r="X169" s="36" t="n">
        <f>21</f>
        <v>21.0</v>
      </c>
    </row>
    <row r="170">
      <c r="A170" s="27" t="s">
        <v>42</v>
      </c>
      <c r="B170" s="27" t="s">
        <v>558</v>
      </c>
      <c r="C170" s="27" t="s">
        <v>559</v>
      </c>
      <c r="D170" s="27" t="s">
        <v>560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33250</f>
        <v>33250.0</v>
      </c>
      <c r="L170" s="34" t="s">
        <v>48</v>
      </c>
      <c r="M170" s="33" t="n">
        <f>35900</f>
        <v>35900.0</v>
      </c>
      <c r="N170" s="34" t="s">
        <v>74</v>
      </c>
      <c r="O170" s="33" t="n">
        <f>32850</f>
        <v>32850.0</v>
      </c>
      <c r="P170" s="34" t="s">
        <v>48</v>
      </c>
      <c r="Q170" s="33" t="n">
        <f>35600</f>
        <v>35600.0</v>
      </c>
      <c r="R170" s="34" t="s">
        <v>51</v>
      </c>
      <c r="S170" s="35" t="n">
        <f>34742.86</f>
        <v>34742.86</v>
      </c>
      <c r="T170" s="32" t="n">
        <f>13210</f>
        <v>13210.0</v>
      </c>
      <c r="U170" s="32" t="n">
        <f>80</f>
        <v>80.0</v>
      </c>
      <c r="V170" s="32" t="n">
        <f>454692000</f>
        <v>4.54692E8</v>
      </c>
      <c r="W170" s="32" t="n">
        <f>2753500</f>
        <v>2753500.0</v>
      </c>
      <c r="X170" s="36" t="n">
        <f>21</f>
        <v>21.0</v>
      </c>
    </row>
    <row r="171">
      <c r="A171" s="27" t="s">
        <v>42</v>
      </c>
      <c r="B171" s="27" t="s">
        <v>561</v>
      </c>
      <c r="C171" s="27" t="s">
        <v>562</v>
      </c>
      <c r="D171" s="27" t="s">
        <v>563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3535</f>
        <v>3535.0</v>
      </c>
      <c r="L171" s="34" t="s">
        <v>48</v>
      </c>
      <c r="M171" s="33" t="n">
        <f>3840</f>
        <v>3840.0</v>
      </c>
      <c r="N171" s="34" t="s">
        <v>74</v>
      </c>
      <c r="O171" s="33" t="n">
        <f>3490</f>
        <v>3490.0</v>
      </c>
      <c r="P171" s="34" t="s">
        <v>48</v>
      </c>
      <c r="Q171" s="33" t="n">
        <f>3820</f>
        <v>3820.0</v>
      </c>
      <c r="R171" s="34" t="s">
        <v>51</v>
      </c>
      <c r="S171" s="35" t="n">
        <f>3692.62</f>
        <v>3692.62</v>
      </c>
      <c r="T171" s="32" t="n">
        <f>802380</f>
        <v>802380.0</v>
      </c>
      <c r="U171" s="32" t="n">
        <f>310110</f>
        <v>310110.0</v>
      </c>
      <c r="V171" s="32" t="n">
        <f>2898356317</f>
        <v>2.898356317E9</v>
      </c>
      <c r="W171" s="32" t="n">
        <f>1114244817</f>
        <v>1.114244817E9</v>
      </c>
      <c r="X171" s="36" t="n">
        <f>21</f>
        <v>21.0</v>
      </c>
    </row>
    <row r="172">
      <c r="A172" s="27" t="s">
        <v>42</v>
      </c>
      <c r="B172" s="27" t="s">
        <v>564</v>
      </c>
      <c r="C172" s="27" t="s">
        <v>565</v>
      </c>
      <c r="D172" s="27" t="s">
        <v>566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1752</f>
        <v>1752.0</v>
      </c>
      <c r="L172" s="34" t="s">
        <v>48</v>
      </c>
      <c r="M172" s="33" t="n">
        <f>1896</f>
        <v>1896.0</v>
      </c>
      <c r="N172" s="34" t="s">
        <v>49</v>
      </c>
      <c r="O172" s="33" t="n">
        <f>1716</f>
        <v>1716.0</v>
      </c>
      <c r="P172" s="34" t="s">
        <v>50</v>
      </c>
      <c r="Q172" s="33" t="n">
        <f>1837</f>
        <v>1837.0</v>
      </c>
      <c r="R172" s="34" t="s">
        <v>51</v>
      </c>
      <c r="S172" s="35" t="n">
        <f>1822.14</f>
        <v>1822.14</v>
      </c>
      <c r="T172" s="32" t="n">
        <f>229160</f>
        <v>229160.0</v>
      </c>
      <c r="U172" s="32" t="n">
        <f>20</f>
        <v>20.0</v>
      </c>
      <c r="V172" s="32" t="n">
        <f>414044080</f>
        <v>4.1404408E8</v>
      </c>
      <c r="W172" s="32" t="n">
        <f>36160</f>
        <v>36160.0</v>
      </c>
      <c r="X172" s="36" t="n">
        <f>21</f>
        <v>21.0</v>
      </c>
    </row>
    <row r="173">
      <c r="A173" s="27" t="s">
        <v>42</v>
      </c>
      <c r="B173" s="27" t="s">
        <v>567</v>
      </c>
      <c r="C173" s="27" t="s">
        <v>568</v>
      </c>
      <c r="D173" s="27" t="s">
        <v>569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182</f>
        <v>182.0</v>
      </c>
      <c r="L173" s="34" t="s">
        <v>48</v>
      </c>
      <c r="M173" s="33" t="n">
        <f>207</f>
        <v>207.0</v>
      </c>
      <c r="N173" s="34" t="s">
        <v>334</v>
      </c>
      <c r="O173" s="33" t="n">
        <f>180</f>
        <v>180.0</v>
      </c>
      <c r="P173" s="34" t="s">
        <v>48</v>
      </c>
      <c r="Q173" s="33" t="n">
        <f>197</f>
        <v>197.0</v>
      </c>
      <c r="R173" s="34" t="s">
        <v>51</v>
      </c>
      <c r="S173" s="35" t="n">
        <f>195.19</f>
        <v>195.19</v>
      </c>
      <c r="T173" s="32" t="n">
        <f>468900</f>
        <v>468900.0</v>
      </c>
      <c r="U173" s="32" t="n">
        <f>300</f>
        <v>300.0</v>
      </c>
      <c r="V173" s="32" t="n">
        <f>92452400</f>
        <v>9.24524E7</v>
      </c>
      <c r="W173" s="32" t="n">
        <f>59100</f>
        <v>59100.0</v>
      </c>
      <c r="X173" s="36" t="n">
        <f>21</f>
        <v>21.0</v>
      </c>
    </row>
    <row r="174">
      <c r="A174" s="27" t="s">
        <v>42</v>
      </c>
      <c r="B174" s="27" t="s">
        <v>570</v>
      </c>
      <c r="C174" s="27" t="s">
        <v>571</v>
      </c>
      <c r="D174" s="27" t="s">
        <v>572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1150</f>
        <v>1150.0</v>
      </c>
      <c r="L174" s="34" t="s">
        <v>78</v>
      </c>
      <c r="M174" s="33" t="n">
        <f>1256</f>
        <v>1256.0</v>
      </c>
      <c r="N174" s="34" t="s">
        <v>95</v>
      </c>
      <c r="O174" s="33" t="n">
        <f>1150</f>
        <v>1150.0</v>
      </c>
      <c r="P174" s="34" t="s">
        <v>78</v>
      </c>
      <c r="Q174" s="33" t="n">
        <f>1221</f>
        <v>1221.0</v>
      </c>
      <c r="R174" s="34" t="s">
        <v>51</v>
      </c>
      <c r="S174" s="35" t="n">
        <f>1198</f>
        <v>1198.0</v>
      </c>
      <c r="T174" s="32" t="n">
        <f>4450</f>
        <v>4450.0</v>
      </c>
      <c r="U174" s="32" t="str">
        <f>"－"</f>
        <v>－</v>
      </c>
      <c r="V174" s="32" t="n">
        <f>5321420</f>
        <v>5321420.0</v>
      </c>
      <c r="W174" s="32" t="str">
        <f>"－"</f>
        <v>－</v>
      </c>
      <c r="X174" s="36" t="n">
        <f>16</f>
        <v>16.0</v>
      </c>
    </row>
    <row r="175">
      <c r="A175" s="27" t="s">
        <v>42</v>
      </c>
      <c r="B175" s="27" t="s">
        <v>573</v>
      </c>
      <c r="C175" s="27" t="s">
        <v>574</v>
      </c>
      <c r="D175" s="27" t="s">
        <v>575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411</f>
        <v>411.0</v>
      </c>
      <c r="L175" s="34" t="s">
        <v>48</v>
      </c>
      <c r="M175" s="33" t="n">
        <f>477</f>
        <v>477.0</v>
      </c>
      <c r="N175" s="34" t="s">
        <v>334</v>
      </c>
      <c r="O175" s="33" t="n">
        <f>409</f>
        <v>409.0</v>
      </c>
      <c r="P175" s="34" t="s">
        <v>78</v>
      </c>
      <c r="Q175" s="33" t="n">
        <f>444</f>
        <v>444.0</v>
      </c>
      <c r="R175" s="34" t="s">
        <v>51</v>
      </c>
      <c r="S175" s="35" t="n">
        <f>438.38</f>
        <v>438.38</v>
      </c>
      <c r="T175" s="32" t="n">
        <f>109620</f>
        <v>109620.0</v>
      </c>
      <c r="U175" s="32" t="str">
        <f>"－"</f>
        <v>－</v>
      </c>
      <c r="V175" s="32" t="n">
        <f>48496490</f>
        <v>4.849649E7</v>
      </c>
      <c r="W175" s="32" t="str">
        <f>"－"</f>
        <v>－</v>
      </c>
      <c r="X175" s="36" t="n">
        <f>21</f>
        <v>21.0</v>
      </c>
    </row>
    <row r="176">
      <c r="A176" s="27" t="s">
        <v>42</v>
      </c>
      <c r="B176" s="27" t="s">
        <v>576</v>
      </c>
      <c r="C176" s="27" t="s">
        <v>577</v>
      </c>
      <c r="D176" s="27" t="s">
        <v>578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1750</f>
        <v>1750.0</v>
      </c>
      <c r="L176" s="34" t="s">
        <v>48</v>
      </c>
      <c r="M176" s="33" t="n">
        <f>2198</f>
        <v>2198.0</v>
      </c>
      <c r="N176" s="34" t="s">
        <v>91</v>
      </c>
      <c r="O176" s="33" t="n">
        <f>1714</f>
        <v>1714.0</v>
      </c>
      <c r="P176" s="34" t="s">
        <v>48</v>
      </c>
      <c r="Q176" s="33" t="n">
        <f>1853</f>
        <v>1853.0</v>
      </c>
      <c r="R176" s="34" t="s">
        <v>51</v>
      </c>
      <c r="S176" s="35" t="n">
        <f>1896.95</f>
        <v>1896.95</v>
      </c>
      <c r="T176" s="32" t="n">
        <f>16360</f>
        <v>16360.0</v>
      </c>
      <c r="U176" s="32" t="str">
        <f>"－"</f>
        <v>－</v>
      </c>
      <c r="V176" s="32" t="n">
        <f>32295230</f>
        <v>3.229523E7</v>
      </c>
      <c r="W176" s="32" t="str">
        <f>"－"</f>
        <v>－</v>
      </c>
      <c r="X176" s="36" t="n">
        <f>21</f>
        <v>21.0</v>
      </c>
    </row>
    <row r="177">
      <c r="A177" s="27" t="s">
        <v>42</v>
      </c>
      <c r="B177" s="27" t="s">
        <v>579</v>
      </c>
      <c r="C177" s="27" t="s">
        <v>580</v>
      </c>
      <c r="D177" s="27" t="s">
        <v>581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619</f>
        <v>619.0</v>
      </c>
      <c r="L177" s="34" t="s">
        <v>48</v>
      </c>
      <c r="M177" s="33" t="n">
        <f>664</f>
        <v>664.0</v>
      </c>
      <c r="N177" s="34" t="s">
        <v>488</v>
      </c>
      <c r="O177" s="33" t="n">
        <f>613</f>
        <v>613.0</v>
      </c>
      <c r="P177" s="34" t="s">
        <v>488</v>
      </c>
      <c r="Q177" s="33" t="n">
        <f>649</f>
        <v>649.0</v>
      </c>
      <c r="R177" s="34" t="s">
        <v>51</v>
      </c>
      <c r="S177" s="35" t="n">
        <f>635.86</f>
        <v>635.86</v>
      </c>
      <c r="T177" s="32" t="n">
        <f>61450</f>
        <v>61450.0</v>
      </c>
      <c r="U177" s="32" t="str">
        <f>"－"</f>
        <v>－</v>
      </c>
      <c r="V177" s="32" t="n">
        <f>39090870</f>
        <v>3.909087E7</v>
      </c>
      <c r="W177" s="32" t="str">
        <f>"－"</f>
        <v>－</v>
      </c>
      <c r="X177" s="36" t="n">
        <f>21</f>
        <v>21.0</v>
      </c>
    </row>
    <row r="178">
      <c r="A178" s="27" t="s">
        <v>42</v>
      </c>
      <c r="B178" s="27" t="s">
        <v>582</v>
      </c>
      <c r="C178" s="27" t="s">
        <v>583</v>
      </c>
      <c r="D178" s="27" t="s">
        <v>584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443</f>
        <v>443.0</v>
      </c>
      <c r="L178" s="34" t="s">
        <v>48</v>
      </c>
      <c r="M178" s="33" t="n">
        <f>467</f>
        <v>467.0</v>
      </c>
      <c r="N178" s="34" t="s">
        <v>51</v>
      </c>
      <c r="O178" s="33" t="n">
        <f>430</f>
        <v>430.0</v>
      </c>
      <c r="P178" s="34" t="s">
        <v>488</v>
      </c>
      <c r="Q178" s="33" t="n">
        <f>465</f>
        <v>465.0</v>
      </c>
      <c r="R178" s="34" t="s">
        <v>51</v>
      </c>
      <c r="S178" s="35" t="n">
        <f>446.95</f>
        <v>446.95</v>
      </c>
      <c r="T178" s="32" t="n">
        <f>196770</f>
        <v>196770.0</v>
      </c>
      <c r="U178" s="32" t="str">
        <f>"－"</f>
        <v>－</v>
      </c>
      <c r="V178" s="32" t="n">
        <f>88082300</f>
        <v>8.80823E7</v>
      </c>
      <c r="W178" s="32" t="str">
        <f>"－"</f>
        <v>－</v>
      </c>
      <c r="X178" s="36" t="n">
        <f>21</f>
        <v>21.0</v>
      </c>
    </row>
    <row r="179">
      <c r="A179" s="27" t="s">
        <v>42</v>
      </c>
      <c r="B179" s="27" t="s">
        <v>585</v>
      </c>
      <c r="C179" s="27" t="s">
        <v>586</v>
      </c>
      <c r="D179" s="27" t="s">
        <v>587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3</f>
        <v>3.0</v>
      </c>
      <c r="L179" s="34" t="s">
        <v>48</v>
      </c>
      <c r="M179" s="33" t="n">
        <f>4</f>
        <v>4.0</v>
      </c>
      <c r="N179" s="34" t="s">
        <v>58</v>
      </c>
      <c r="O179" s="33" t="n">
        <f>2</f>
        <v>2.0</v>
      </c>
      <c r="P179" s="34" t="s">
        <v>48</v>
      </c>
      <c r="Q179" s="33" t="n">
        <f>3</f>
        <v>3.0</v>
      </c>
      <c r="R179" s="34" t="s">
        <v>51</v>
      </c>
      <c r="S179" s="35" t="n">
        <f>2.81</f>
        <v>2.81</v>
      </c>
      <c r="T179" s="32" t="n">
        <f>308585500</f>
        <v>3.085855E8</v>
      </c>
      <c r="U179" s="32" t="n">
        <f>93300</f>
        <v>93300.0</v>
      </c>
      <c r="V179" s="32" t="n">
        <f>884413900</f>
        <v>8.844139E8</v>
      </c>
      <c r="W179" s="32" t="n">
        <f>279900</f>
        <v>279900.0</v>
      </c>
      <c r="X179" s="36" t="n">
        <f>21</f>
        <v>21.0</v>
      </c>
    </row>
    <row r="180">
      <c r="A180" s="27" t="s">
        <v>42</v>
      </c>
      <c r="B180" s="27" t="s">
        <v>588</v>
      </c>
      <c r="C180" s="27" t="s">
        <v>589</v>
      </c>
      <c r="D180" s="27" t="s">
        <v>590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775</f>
        <v>775.0</v>
      </c>
      <c r="L180" s="34" t="s">
        <v>48</v>
      </c>
      <c r="M180" s="33" t="n">
        <f>882</f>
        <v>882.0</v>
      </c>
      <c r="N180" s="34" t="s">
        <v>74</v>
      </c>
      <c r="O180" s="33" t="n">
        <f>770</f>
        <v>770.0</v>
      </c>
      <c r="P180" s="34" t="s">
        <v>48</v>
      </c>
      <c r="Q180" s="33" t="n">
        <f>861</f>
        <v>861.0</v>
      </c>
      <c r="R180" s="34" t="s">
        <v>51</v>
      </c>
      <c r="S180" s="35" t="n">
        <f>843.52</f>
        <v>843.52</v>
      </c>
      <c r="T180" s="32" t="n">
        <f>642480</f>
        <v>642480.0</v>
      </c>
      <c r="U180" s="32" t="str">
        <f>"－"</f>
        <v>－</v>
      </c>
      <c r="V180" s="32" t="n">
        <f>540560360</f>
        <v>5.4056036E8</v>
      </c>
      <c r="W180" s="32" t="str">
        <f>"－"</f>
        <v>－</v>
      </c>
      <c r="X180" s="36" t="n">
        <f>21</f>
        <v>21.0</v>
      </c>
    </row>
    <row r="181">
      <c r="A181" s="27" t="s">
        <v>42</v>
      </c>
      <c r="B181" s="27" t="s">
        <v>591</v>
      </c>
      <c r="C181" s="27" t="s">
        <v>592</v>
      </c>
      <c r="D181" s="27" t="s">
        <v>593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3400</f>
        <v>3400.0</v>
      </c>
      <c r="L181" s="34" t="s">
        <v>78</v>
      </c>
      <c r="M181" s="33" t="n">
        <f>4030</f>
        <v>4030.0</v>
      </c>
      <c r="N181" s="34" t="s">
        <v>95</v>
      </c>
      <c r="O181" s="33" t="n">
        <f>3400</f>
        <v>3400.0</v>
      </c>
      <c r="P181" s="34" t="s">
        <v>78</v>
      </c>
      <c r="Q181" s="33" t="n">
        <f>3735</f>
        <v>3735.0</v>
      </c>
      <c r="R181" s="34" t="s">
        <v>51</v>
      </c>
      <c r="S181" s="35" t="n">
        <f>3771.25</f>
        <v>3771.25</v>
      </c>
      <c r="T181" s="32" t="n">
        <f>5163</f>
        <v>5163.0</v>
      </c>
      <c r="U181" s="32" t="str">
        <f>"－"</f>
        <v>－</v>
      </c>
      <c r="V181" s="32" t="n">
        <f>19502330</f>
        <v>1.950233E7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594</v>
      </c>
      <c r="C182" s="27" t="s">
        <v>595</v>
      </c>
      <c r="D182" s="27" t="s">
        <v>596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100.0</v>
      </c>
      <c r="K182" s="33" t="n">
        <f>500</f>
        <v>500.0</v>
      </c>
      <c r="L182" s="34" t="s">
        <v>48</v>
      </c>
      <c r="M182" s="33" t="n">
        <f>545</f>
        <v>545.0</v>
      </c>
      <c r="N182" s="34" t="s">
        <v>597</v>
      </c>
      <c r="O182" s="33" t="n">
        <f>419</f>
        <v>419.0</v>
      </c>
      <c r="P182" s="34" t="s">
        <v>192</v>
      </c>
      <c r="Q182" s="33" t="n">
        <f>441</f>
        <v>441.0</v>
      </c>
      <c r="R182" s="34" t="s">
        <v>51</v>
      </c>
      <c r="S182" s="35" t="n">
        <f>475.19</f>
        <v>475.19</v>
      </c>
      <c r="T182" s="32" t="n">
        <f>494100</f>
        <v>494100.0</v>
      </c>
      <c r="U182" s="32" t="str">
        <f>"－"</f>
        <v>－</v>
      </c>
      <c r="V182" s="32" t="n">
        <f>239310800</f>
        <v>2.393108E8</v>
      </c>
      <c r="W182" s="32" t="str">
        <f>"－"</f>
        <v>－</v>
      </c>
      <c r="X182" s="36" t="n">
        <f>21</f>
        <v>21.0</v>
      </c>
    </row>
    <row r="183">
      <c r="A183" s="27" t="s">
        <v>42</v>
      </c>
      <c r="B183" s="27" t="s">
        <v>598</v>
      </c>
      <c r="C183" s="27" t="s">
        <v>599</v>
      </c>
      <c r="D183" s="27" t="s">
        <v>600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4150</f>
        <v>4150.0</v>
      </c>
      <c r="L183" s="34" t="s">
        <v>48</v>
      </c>
      <c r="M183" s="33" t="n">
        <f>4880</f>
        <v>4880.0</v>
      </c>
      <c r="N183" s="34" t="s">
        <v>95</v>
      </c>
      <c r="O183" s="33" t="n">
        <f>4015</f>
        <v>4015.0</v>
      </c>
      <c r="P183" s="34" t="s">
        <v>48</v>
      </c>
      <c r="Q183" s="33" t="n">
        <f>4450</f>
        <v>4450.0</v>
      </c>
      <c r="R183" s="34" t="s">
        <v>51</v>
      </c>
      <c r="S183" s="35" t="n">
        <f>4431.19</f>
        <v>4431.19</v>
      </c>
      <c r="T183" s="32" t="n">
        <f>43650</f>
        <v>43650.0</v>
      </c>
      <c r="U183" s="32" t="str">
        <f>"－"</f>
        <v>－</v>
      </c>
      <c r="V183" s="32" t="n">
        <f>199601400</f>
        <v>1.996014E8</v>
      </c>
      <c r="W183" s="32" t="str">
        <f>"－"</f>
        <v>－</v>
      </c>
      <c r="X183" s="36" t="n">
        <f>21</f>
        <v>21.0</v>
      </c>
    </row>
    <row r="184">
      <c r="A184" s="27" t="s">
        <v>42</v>
      </c>
      <c r="B184" s="27" t="s">
        <v>601</v>
      </c>
      <c r="C184" s="27" t="s">
        <v>602</v>
      </c>
      <c r="D184" s="27" t="s">
        <v>603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1880</f>
        <v>1880.0</v>
      </c>
      <c r="L184" s="34" t="s">
        <v>48</v>
      </c>
      <c r="M184" s="33" t="n">
        <f>2250</f>
        <v>2250.0</v>
      </c>
      <c r="N184" s="34" t="s">
        <v>334</v>
      </c>
      <c r="O184" s="33" t="n">
        <f>1815</f>
        <v>1815.0</v>
      </c>
      <c r="P184" s="34" t="s">
        <v>50</v>
      </c>
      <c r="Q184" s="33" t="n">
        <f>2068</f>
        <v>2068.0</v>
      </c>
      <c r="R184" s="34" t="s">
        <v>51</v>
      </c>
      <c r="S184" s="35" t="n">
        <f>2030.67</f>
        <v>2030.67</v>
      </c>
      <c r="T184" s="32" t="n">
        <f>61480</f>
        <v>61480.0</v>
      </c>
      <c r="U184" s="32" t="str">
        <f>"－"</f>
        <v>－</v>
      </c>
      <c r="V184" s="32" t="n">
        <f>125895010</f>
        <v>1.2589501E8</v>
      </c>
      <c r="W184" s="32" t="str">
        <f>"－"</f>
        <v>－</v>
      </c>
      <c r="X184" s="36" t="n">
        <f>21</f>
        <v>21.0</v>
      </c>
    </row>
    <row r="185">
      <c r="A185" s="27" t="s">
        <v>42</v>
      </c>
      <c r="B185" s="27" t="s">
        <v>604</v>
      </c>
      <c r="C185" s="27" t="s">
        <v>605</v>
      </c>
      <c r="D185" s="27" t="s">
        <v>606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86</f>
        <v>86.0</v>
      </c>
      <c r="L185" s="34" t="s">
        <v>48</v>
      </c>
      <c r="M185" s="33" t="n">
        <f>96</f>
        <v>96.0</v>
      </c>
      <c r="N185" s="34" t="s">
        <v>51</v>
      </c>
      <c r="O185" s="33" t="n">
        <f>86</f>
        <v>86.0</v>
      </c>
      <c r="P185" s="34" t="s">
        <v>48</v>
      </c>
      <c r="Q185" s="33" t="n">
        <f>96</f>
        <v>96.0</v>
      </c>
      <c r="R185" s="34" t="s">
        <v>51</v>
      </c>
      <c r="S185" s="35" t="n">
        <f>90.52</f>
        <v>90.52</v>
      </c>
      <c r="T185" s="32" t="n">
        <f>2484500</f>
        <v>2484500.0</v>
      </c>
      <c r="U185" s="32" t="n">
        <f>5000</f>
        <v>5000.0</v>
      </c>
      <c r="V185" s="32" t="n">
        <f>225068500</f>
        <v>2.250685E8</v>
      </c>
      <c r="W185" s="32" t="n">
        <f>450000</f>
        <v>450000.0</v>
      </c>
      <c r="X185" s="36" t="n">
        <f>21</f>
        <v>21.0</v>
      </c>
    </row>
    <row r="186">
      <c r="A186" s="27" t="s">
        <v>42</v>
      </c>
      <c r="B186" s="27" t="s">
        <v>607</v>
      </c>
      <c r="C186" s="27" t="s">
        <v>608</v>
      </c>
      <c r="D186" s="27" t="s">
        <v>609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115</f>
        <v>115.0</v>
      </c>
      <c r="L186" s="34" t="s">
        <v>48</v>
      </c>
      <c r="M186" s="33" t="n">
        <f>123</f>
        <v>123.0</v>
      </c>
      <c r="N186" s="34" t="s">
        <v>51</v>
      </c>
      <c r="O186" s="33" t="n">
        <f>111</f>
        <v>111.0</v>
      </c>
      <c r="P186" s="34" t="s">
        <v>488</v>
      </c>
      <c r="Q186" s="33" t="n">
        <f>123</f>
        <v>123.0</v>
      </c>
      <c r="R186" s="34" t="s">
        <v>51</v>
      </c>
      <c r="S186" s="35" t="n">
        <f>115.71</f>
        <v>115.71</v>
      </c>
      <c r="T186" s="32" t="n">
        <f>950500</f>
        <v>950500.0</v>
      </c>
      <c r="U186" s="32" t="str">
        <f>"－"</f>
        <v>－</v>
      </c>
      <c r="V186" s="32" t="n">
        <f>110426300</f>
        <v>1.104263E8</v>
      </c>
      <c r="W186" s="32" t="str">
        <f>"－"</f>
        <v>－</v>
      </c>
      <c r="X186" s="36" t="n">
        <f>21</f>
        <v>21.0</v>
      </c>
    </row>
    <row r="187">
      <c r="A187" s="27" t="s">
        <v>42</v>
      </c>
      <c r="B187" s="27" t="s">
        <v>610</v>
      </c>
      <c r="C187" s="27" t="s">
        <v>611</v>
      </c>
      <c r="D187" s="27" t="s">
        <v>612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2611</f>
        <v>2611.0</v>
      </c>
      <c r="L187" s="34" t="s">
        <v>48</v>
      </c>
      <c r="M187" s="33" t="n">
        <f>2646</f>
        <v>2646.0</v>
      </c>
      <c r="N187" s="34" t="s">
        <v>334</v>
      </c>
      <c r="O187" s="33" t="n">
        <f>2521</f>
        <v>2521.0</v>
      </c>
      <c r="P187" s="34" t="s">
        <v>488</v>
      </c>
      <c r="Q187" s="33" t="n">
        <f>2634</f>
        <v>2634.0</v>
      </c>
      <c r="R187" s="34" t="s">
        <v>51</v>
      </c>
      <c r="S187" s="35" t="n">
        <f>2585.19</f>
        <v>2585.19</v>
      </c>
      <c r="T187" s="32" t="n">
        <f>16230</f>
        <v>16230.0</v>
      </c>
      <c r="U187" s="32" t="str">
        <f>"－"</f>
        <v>－</v>
      </c>
      <c r="V187" s="32" t="n">
        <f>41934480</f>
        <v>4.193448E7</v>
      </c>
      <c r="W187" s="32" t="str">
        <f>"－"</f>
        <v>－</v>
      </c>
      <c r="X187" s="36" t="n">
        <f>21</f>
        <v>21.0</v>
      </c>
    </row>
    <row r="188">
      <c r="A188" s="27" t="s">
        <v>42</v>
      </c>
      <c r="B188" s="27" t="s">
        <v>613</v>
      </c>
      <c r="C188" s="27" t="s">
        <v>614</v>
      </c>
      <c r="D188" s="27" t="s">
        <v>615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1903</f>
        <v>1903.0</v>
      </c>
      <c r="L188" s="34" t="s">
        <v>48</v>
      </c>
      <c r="M188" s="33" t="n">
        <f>1927</f>
        <v>1927.0</v>
      </c>
      <c r="N188" s="34" t="s">
        <v>78</v>
      </c>
      <c r="O188" s="33" t="n">
        <f>1855</f>
        <v>1855.0</v>
      </c>
      <c r="P188" s="34" t="s">
        <v>208</v>
      </c>
      <c r="Q188" s="33" t="n">
        <f>1868</f>
        <v>1868.0</v>
      </c>
      <c r="R188" s="34" t="s">
        <v>51</v>
      </c>
      <c r="S188" s="35" t="n">
        <f>1890.57</f>
        <v>1890.57</v>
      </c>
      <c r="T188" s="32" t="n">
        <f>45230</f>
        <v>45230.0</v>
      </c>
      <c r="U188" s="32" t="n">
        <f>70</f>
        <v>70.0</v>
      </c>
      <c r="V188" s="32" t="n">
        <f>85127730</f>
        <v>8.512773E7</v>
      </c>
      <c r="W188" s="32" t="n">
        <f>132080</f>
        <v>132080.0</v>
      </c>
      <c r="X188" s="36" t="n">
        <f>21</f>
        <v>21.0</v>
      </c>
    </row>
    <row r="189">
      <c r="A189" s="27" t="s">
        <v>42</v>
      </c>
      <c r="B189" s="27" t="s">
        <v>616</v>
      </c>
      <c r="C189" s="27" t="s">
        <v>617</v>
      </c>
      <c r="D189" s="27" t="s">
        <v>618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10.0</v>
      </c>
      <c r="K189" s="33" t="n">
        <f>206</f>
        <v>206.0</v>
      </c>
      <c r="L189" s="34" t="s">
        <v>48</v>
      </c>
      <c r="M189" s="33" t="n">
        <f>235</f>
        <v>235.0</v>
      </c>
      <c r="N189" s="34" t="s">
        <v>74</v>
      </c>
      <c r="O189" s="33" t="n">
        <f>204</f>
        <v>204.0</v>
      </c>
      <c r="P189" s="34" t="s">
        <v>48</v>
      </c>
      <c r="Q189" s="33" t="n">
        <f>228</f>
        <v>228.0</v>
      </c>
      <c r="R189" s="34" t="s">
        <v>51</v>
      </c>
      <c r="S189" s="35" t="n">
        <f>223.71</f>
        <v>223.71</v>
      </c>
      <c r="T189" s="32" t="n">
        <f>96736420</f>
        <v>9.673642E7</v>
      </c>
      <c r="U189" s="32" t="n">
        <f>235490</f>
        <v>235490.0</v>
      </c>
      <c r="V189" s="32" t="n">
        <f>21473953586</f>
        <v>2.1473953586E10</v>
      </c>
      <c r="W189" s="32" t="n">
        <f>53342516</f>
        <v>5.3342516E7</v>
      </c>
      <c r="X189" s="36" t="n">
        <f>21</f>
        <v>21.0</v>
      </c>
    </row>
    <row r="190">
      <c r="A190" s="27" t="s">
        <v>42</v>
      </c>
      <c r="B190" s="27" t="s">
        <v>619</v>
      </c>
      <c r="C190" s="27" t="s">
        <v>620</v>
      </c>
      <c r="D190" s="27" t="s">
        <v>621</v>
      </c>
      <c r="E190" s="28" t="s">
        <v>46</v>
      </c>
      <c r="F190" s="29" t="s">
        <v>46</v>
      </c>
      <c r="G190" s="30" t="s">
        <v>46</v>
      </c>
      <c r="H190" s="31"/>
      <c r="I190" s="31" t="s">
        <v>622</v>
      </c>
      <c r="J190" s="32" t="n">
        <v>1.0</v>
      </c>
      <c r="K190" s="33" t="n">
        <f>8720</f>
        <v>8720.0</v>
      </c>
      <c r="L190" s="34" t="s">
        <v>48</v>
      </c>
      <c r="M190" s="33" t="n">
        <f>10020</f>
        <v>10020.0</v>
      </c>
      <c r="N190" s="34" t="s">
        <v>49</v>
      </c>
      <c r="O190" s="33" t="n">
        <f>8000</f>
        <v>8000.0</v>
      </c>
      <c r="P190" s="34" t="s">
        <v>78</v>
      </c>
      <c r="Q190" s="33" t="n">
        <f>9370</f>
        <v>9370.0</v>
      </c>
      <c r="R190" s="34" t="s">
        <v>51</v>
      </c>
      <c r="S190" s="35" t="n">
        <f>9180</f>
        <v>9180.0</v>
      </c>
      <c r="T190" s="32" t="n">
        <f>23281</f>
        <v>23281.0</v>
      </c>
      <c r="U190" s="32" t="str">
        <f>"－"</f>
        <v>－</v>
      </c>
      <c r="V190" s="32" t="n">
        <f>213834270</f>
        <v>2.1383427E8</v>
      </c>
      <c r="W190" s="32" t="str">
        <f>"－"</f>
        <v>－</v>
      </c>
      <c r="X190" s="36" t="n">
        <f>21</f>
        <v>21.0</v>
      </c>
    </row>
    <row r="191">
      <c r="A191" s="27" t="s">
        <v>42</v>
      </c>
      <c r="B191" s="27" t="s">
        <v>623</v>
      </c>
      <c r="C191" s="27" t="s">
        <v>624</v>
      </c>
      <c r="D191" s="27" t="s">
        <v>625</v>
      </c>
      <c r="E191" s="28" t="s">
        <v>46</v>
      </c>
      <c r="F191" s="29" t="s">
        <v>46</v>
      </c>
      <c r="G191" s="30" t="s">
        <v>46</v>
      </c>
      <c r="H191" s="31"/>
      <c r="I191" s="31" t="s">
        <v>622</v>
      </c>
      <c r="J191" s="32" t="n">
        <v>1.0</v>
      </c>
      <c r="K191" s="33" t="n">
        <f>6120</f>
        <v>6120.0</v>
      </c>
      <c r="L191" s="34" t="s">
        <v>48</v>
      </c>
      <c r="M191" s="33" t="n">
        <f>6250</f>
        <v>6250.0</v>
      </c>
      <c r="N191" s="34" t="s">
        <v>50</v>
      </c>
      <c r="O191" s="33" t="n">
        <f>5720</f>
        <v>5720.0</v>
      </c>
      <c r="P191" s="34" t="s">
        <v>179</v>
      </c>
      <c r="Q191" s="33" t="n">
        <f>5880</f>
        <v>5880.0</v>
      </c>
      <c r="R191" s="34" t="s">
        <v>51</v>
      </c>
      <c r="S191" s="35" t="n">
        <f>5960.48</f>
        <v>5960.48</v>
      </c>
      <c r="T191" s="32" t="n">
        <f>11043</f>
        <v>11043.0</v>
      </c>
      <c r="U191" s="32" t="n">
        <f>2</f>
        <v>2.0</v>
      </c>
      <c r="V191" s="32" t="n">
        <f>66104980</f>
        <v>6.610498E7</v>
      </c>
      <c r="W191" s="32" t="n">
        <f>12350</f>
        <v>12350.0</v>
      </c>
      <c r="X191" s="36" t="n">
        <f>21</f>
        <v>21.0</v>
      </c>
    </row>
    <row r="192">
      <c r="A192" s="27" t="s">
        <v>42</v>
      </c>
      <c r="B192" s="27" t="s">
        <v>626</v>
      </c>
      <c r="C192" s="27" t="s">
        <v>627</v>
      </c>
      <c r="D192" s="27" t="s">
        <v>628</v>
      </c>
      <c r="E192" s="28" t="s">
        <v>46</v>
      </c>
      <c r="F192" s="29" t="s">
        <v>46</v>
      </c>
      <c r="G192" s="30" t="s">
        <v>46</v>
      </c>
      <c r="H192" s="31"/>
      <c r="I192" s="31" t="s">
        <v>622</v>
      </c>
      <c r="J192" s="32" t="n">
        <v>1.0</v>
      </c>
      <c r="K192" s="33" t="n">
        <f>16750</f>
        <v>16750.0</v>
      </c>
      <c r="L192" s="34" t="s">
        <v>48</v>
      </c>
      <c r="M192" s="33" t="n">
        <f>17000</f>
        <v>17000.0</v>
      </c>
      <c r="N192" s="34" t="s">
        <v>72</v>
      </c>
      <c r="O192" s="33" t="n">
        <f>15050</f>
        <v>15050.0</v>
      </c>
      <c r="P192" s="34" t="s">
        <v>321</v>
      </c>
      <c r="Q192" s="33" t="n">
        <f>16010</f>
        <v>16010.0</v>
      </c>
      <c r="R192" s="34" t="s">
        <v>51</v>
      </c>
      <c r="S192" s="35" t="n">
        <f>16031</f>
        <v>16031.0</v>
      </c>
      <c r="T192" s="32" t="n">
        <f>2826</f>
        <v>2826.0</v>
      </c>
      <c r="U192" s="32" t="str">
        <f>"－"</f>
        <v>－</v>
      </c>
      <c r="V192" s="32" t="n">
        <f>44994190</f>
        <v>4.499419E7</v>
      </c>
      <c r="W192" s="32" t="str">
        <f>"－"</f>
        <v>－</v>
      </c>
      <c r="X192" s="36" t="n">
        <f>20</f>
        <v>20.0</v>
      </c>
    </row>
    <row r="193">
      <c r="A193" s="27" t="s">
        <v>42</v>
      </c>
      <c r="B193" s="27" t="s">
        <v>629</v>
      </c>
      <c r="C193" s="27" t="s">
        <v>630</v>
      </c>
      <c r="D193" s="27" t="s">
        <v>631</v>
      </c>
      <c r="E193" s="28" t="s">
        <v>46</v>
      </c>
      <c r="F193" s="29" t="s">
        <v>46</v>
      </c>
      <c r="G193" s="30" t="s">
        <v>46</v>
      </c>
      <c r="H193" s="31"/>
      <c r="I193" s="31" t="s">
        <v>622</v>
      </c>
      <c r="J193" s="32" t="n">
        <v>1.0</v>
      </c>
      <c r="K193" s="33" t="n">
        <f>6010</f>
        <v>6010.0</v>
      </c>
      <c r="L193" s="34" t="s">
        <v>48</v>
      </c>
      <c r="M193" s="33" t="n">
        <f>6370</f>
        <v>6370.0</v>
      </c>
      <c r="N193" s="34" t="s">
        <v>597</v>
      </c>
      <c r="O193" s="33" t="n">
        <f>5980</f>
        <v>5980.0</v>
      </c>
      <c r="P193" s="34" t="s">
        <v>48</v>
      </c>
      <c r="Q193" s="33" t="n">
        <f>6320</f>
        <v>6320.0</v>
      </c>
      <c r="R193" s="34" t="s">
        <v>51</v>
      </c>
      <c r="S193" s="35" t="n">
        <f>6230.48</f>
        <v>6230.48</v>
      </c>
      <c r="T193" s="32" t="n">
        <f>38750</f>
        <v>38750.0</v>
      </c>
      <c r="U193" s="32" t="n">
        <f>2</f>
        <v>2.0</v>
      </c>
      <c r="V193" s="32" t="n">
        <f>241435170</f>
        <v>2.4143517E8</v>
      </c>
      <c r="W193" s="32" t="n">
        <f>12400</f>
        <v>12400.0</v>
      </c>
      <c r="X193" s="36" t="n">
        <f>21</f>
        <v>21.0</v>
      </c>
    </row>
    <row r="194">
      <c r="A194" s="27" t="s">
        <v>42</v>
      </c>
      <c r="B194" s="27" t="s">
        <v>632</v>
      </c>
      <c r="C194" s="27" t="s">
        <v>633</v>
      </c>
      <c r="D194" s="27" t="s">
        <v>634</v>
      </c>
      <c r="E194" s="28" t="s">
        <v>46</v>
      </c>
      <c r="F194" s="29" t="s">
        <v>46</v>
      </c>
      <c r="G194" s="30" t="s">
        <v>46</v>
      </c>
      <c r="H194" s="31"/>
      <c r="I194" s="31" t="s">
        <v>622</v>
      </c>
      <c r="J194" s="32" t="n">
        <v>1.0</v>
      </c>
      <c r="K194" s="33" t="n">
        <f>147</f>
        <v>147.0</v>
      </c>
      <c r="L194" s="34" t="s">
        <v>48</v>
      </c>
      <c r="M194" s="33" t="n">
        <f>164</f>
        <v>164.0</v>
      </c>
      <c r="N194" s="34" t="s">
        <v>50</v>
      </c>
      <c r="O194" s="33" t="n">
        <f>126</f>
        <v>126.0</v>
      </c>
      <c r="P194" s="34" t="s">
        <v>72</v>
      </c>
      <c r="Q194" s="33" t="n">
        <f>130</f>
        <v>130.0</v>
      </c>
      <c r="R194" s="34" t="s">
        <v>51</v>
      </c>
      <c r="S194" s="35" t="n">
        <f>142.1</f>
        <v>142.1</v>
      </c>
      <c r="T194" s="32" t="n">
        <f>16480847</f>
        <v>1.6480847E7</v>
      </c>
      <c r="U194" s="32" t="str">
        <f>"－"</f>
        <v>－</v>
      </c>
      <c r="V194" s="32" t="n">
        <f>2383616941</f>
        <v>2.383616941E9</v>
      </c>
      <c r="W194" s="32" t="str">
        <f>"－"</f>
        <v>－</v>
      </c>
      <c r="X194" s="36" t="n">
        <f>21</f>
        <v>21.0</v>
      </c>
    </row>
    <row r="195">
      <c r="A195" s="27" t="s">
        <v>42</v>
      </c>
      <c r="B195" s="27" t="s">
        <v>635</v>
      </c>
      <c r="C195" s="27" t="s">
        <v>636</v>
      </c>
      <c r="D195" s="27" t="s">
        <v>637</v>
      </c>
      <c r="E195" s="28" t="s">
        <v>46</v>
      </c>
      <c r="F195" s="29" t="s">
        <v>46</v>
      </c>
      <c r="G195" s="30" t="s">
        <v>46</v>
      </c>
      <c r="H195" s="31"/>
      <c r="I195" s="31" t="s">
        <v>622</v>
      </c>
      <c r="J195" s="32" t="n">
        <v>1.0</v>
      </c>
      <c r="K195" s="33" t="n">
        <f>17100</f>
        <v>17100.0</v>
      </c>
      <c r="L195" s="34" t="s">
        <v>48</v>
      </c>
      <c r="M195" s="33" t="n">
        <f>18980</f>
        <v>18980.0</v>
      </c>
      <c r="N195" s="34" t="s">
        <v>72</v>
      </c>
      <c r="O195" s="33" t="n">
        <f>17010</f>
        <v>17010.0</v>
      </c>
      <c r="P195" s="34" t="s">
        <v>48</v>
      </c>
      <c r="Q195" s="33" t="n">
        <f>18560</f>
        <v>18560.0</v>
      </c>
      <c r="R195" s="34" t="s">
        <v>51</v>
      </c>
      <c r="S195" s="35" t="n">
        <f>18021.9</f>
        <v>18021.9</v>
      </c>
      <c r="T195" s="32" t="n">
        <f>27662</f>
        <v>27662.0</v>
      </c>
      <c r="U195" s="32" t="str">
        <f>"－"</f>
        <v>－</v>
      </c>
      <c r="V195" s="32" t="n">
        <f>500907600</f>
        <v>5.009076E8</v>
      </c>
      <c r="W195" s="32" t="str">
        <f>"－"</f>
        <v>－</v>
      </c>
      <c r="X195" s="36" t="n">
        <f>21</f>
        <v>21.0</v>
      </c>
    </row>
    <row r="196">
      <c r="A196" s="27" t="s">
        <v>42</v>
      </c>
      <c r="B196" s="27" t="s">
        <v>638</v>
      </c>
      <c r="C196" s="27" t="s">
        <v>639</v>
      </c>
      <c r="D196" s="27" t="s">
        <v>640</v>
      </c>
      <c r="E196" s="28" t="s">
        <v>46</v>
      </c>
      <c r="F196" s="29" t="s">
        <v>46</v>
      </c>
      <c r="G196" s="30" t="s">
        <v>46</v>
      </c>
      <c r="H196" s="31"/>
      <c r="I196" s="31" t="s">
        <v>622</v>
      </c>
      <c r="J196" s="32" t="n">
        <v>1.0</v>
      </c>
      <c r="K196" s="33" t="n">
        <f>5570</f>
        <v>5570.0</v>
      </c>
      <c r="L196" s="34" t="s">
        <v>48</v>
      </c>
      <c r="M196" s="33" t="n">
        <f>5650</f>
        <v>5650.0</v>
      </c>
      <c r="N196" s="34" t="s">
        <v>48</v>
      </c>
      <c r="O196" s="33" t="n">
        <f>5290</f>
        <v>5290.0</v>
      </c>
      <c r="P196" s="34" t="s">
        <v>106</v>
      </c>
      <c r="Q196" s="33" t="n">
        <f>5350</f>
        <v>5350.0</v>
      </c>
      <c r="R196" s="34" t="s">
        <v>51</v>
      </c>
      <c r="S196" s="35" t="n">
        <f>5436.19</f>
        <v>5436.19</v>
      </c>
      <c r="T196" s="32" t="n">
        <f>9245</f>
        <v>9245.0</v>
      </c>
      <c r="U196" s="32" t="str">
        <f>"－"</f>
        <v>－</v>
      </c>
      <c r="V196" s="32" t="n">
        <f>50582900</f>
        <v>5.05829E7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641</v>
      </c>
      <c r="C197" s="27" t="s">
        <v>642</v>
      </c>
      <c r="D197" s="27" t="s">
        <v>643</v>
      </c>
      <c r="E197" s="28" t="s">
        <v>46</v>
      </c>
      <c r="F197" s="29" t="s">
        <v>46</v>
      </c>
      <c r="G197" s="30" t="s">
        <v>46</v>
      </c>
      <c r="H197" s="31"/>
      <c r="I197" s="31" t="s">
        <v>622</v>
      </c>
      <c r="J197" s="32" t="n">
        <v>1.0</v>
      </c>
      <c r="K197" s="33" t="n">
        <f>713</f>
        <v>713.0</v>
      </c>
      <c r="L197" s="34" t="s">
        <v>48</v>
      </c>
      <c r="M197" s="33" t="n">
        <f>900</f>
        <v>900.0</v>
      </c>
      <c r="N197" s="34" t="s">
        <v>95</v>
      </c>
      <c r="O197" s="33" t="n">
        <f>697</f>
        <v>697.0</v>
      </c>
      <c r="P197" s="34" t="s">
        <v>48</v>
      </c>
      <c r="Q197" s="33" t="n">
        <f>837</f>
        <v>837.0</v>
      </c>
      <c r="R197" s="34" t="s">
        <v>51</v>
      </c>
      <c r="S197" s="35" t="n">
        <f>828.86</f>
        <v>828.86</v>
      </c>
      <c r="T197" s="32" t="n">
        <f>151719515</f>
        <v>1.51719515E8</v>
      </c>
      <c r="U197" s="32" t="n">
        <f>300000</f>
        <v>300000.0</v>
      </c>
      <c r="V197" s="32" t="n">
        <f>125262615598</f>
        <v>1.25262615598E11</v>
      </c>
      <c r="W197" s="32" t="n">
        <f>266400000</f>
        <v>2.664E8</v>
      </c>
      <c r="X197" s="36" t="n">
        <f>21</f>
        <v>21.0</v>
      </c>
    </row>
    <row r="198">
      <c r="A198" s="27" t="s">
        <v>42</v>
      </c>
      <c r="B198" s="27" t="s">
        <v>644</v>
      </c>
      <c r="C198" s="27" t="s">
        <v>645</v>
      </c>
      <c r="D198" s="27" t="s">
        <v>646</v>
      </c>
      <c r="E198" s="28" t="s">
        <v>46</v>
      </c>
      <c r="F198" s="29" t="s">
        <v>46</v>
      </c>
      <c r="G198" s="30" t="s">
        <v>46</v>
      </c>
      <c r="H198" s="31"/>
      <c r="I198" s="31" t="s">
        <v>622</v>
      </c>
      <c r="J198" s="32" t="n">
        <v>1.0</v>
      </c>
      <c r="K198" s="33" t="n">
        <f>2968</f>
        <v>2968.0</v>
      </c>
      <c r="L198" s="34" t="s">
        <v>48</v>
      </c>
      <c r="M198" s="33" t="n">
        <f>2986</f>
        <v>2986.0</v>
      </c>
      <c r="N198" s="34" t="s">
        <v>48</v>
      </c>
      <c r="O198" s="33" t="n">
        <f>2600</f>
        <v>2600.0</v>
      </c>
      <c r="P198" s="34" t="s">
        <v>95</v>
      </c>
      <c r="Q198" s="33" t="n">
        <f>2675</f>
        <v>2675.0</v>
      </c>
      <c r="R198" s="34" t="s">
        <v>51</v>
      </c>
      <c r="S198" s="35" t="n">
        <f>2715.57</f>
        <v>2715.57</v>
      </c>
      <c r="T198" s="32" t="n">
        <f>1199545</f>
        <v>1199545.0</v>
      </c>
      <c r="U198" s="32" t="n">
        <f>84</f>
        <v>84.0</v>
      </c>
      <c r="V198" s="32" t="n">
        <f>3254177115</f>
        <v>3.254177115E9</v>
      </c>
      <c r="W198" s="32" t="n">
        <f>237715</f>
        <v>237715.0</v>
      </c>
      <c r="X198" s="36" t="n">
        <f>21</f>
        <v>21.0</v>
      </c>
    </row>
    <row r="199">
      <c r="A199" s="27" t="s">
        <v>42</v>
      </c>
      <c r="B199" s="27" t="s">
        <v>647</v>
      </c>
      <c r="C199" s="27" t="s">
        <v>648</v>
      </c>
      <c r="D199" s="27" t="s">
        <v>649</v>
      </c>
      <c r="E199" s="28" t="s">
        <v>46</v>
      </c>
      <c r="F199" s="29" t="s">
        <v>46</v>
      </c>
      <c r="G199" s="30" t="s">
        <v>46</v>
      </c>
      <c r="H199" s="31"/>
      <c r="I199" s="31" t="s">
        <v>622</v>
      </c>
      <c r="J199" s="32" t="n">
        <v>1.0</v>
      </c>
      <c r="K199" s="33" t="n">
        <f>29890</f>
        <v>29890.0</v>
      </c>
      <c r="L199" s="34" t="s">
        <v>48</v>
      </c>
      <c r="M199" s="33" t="n">
        <f>32800</f>
        <v>32800.0</v>
      </c>
      <c r="N199" s="34" t="s">
        <v>72</v>
      </c>
      <c r="O199" s="33" t="n">
        <f>29370</f>
        <v>29370.0</v>
      </c>
      <c r="P199" s="34" t="s">
        <v>48</v>
      </c>
      <c r="Q199" s="33" t="n">
        <f>32550</f>
        <v>32550.0</v>
      </c>
      <c r="R199" s="34" t="s">
        <v>51</v>
      </c>
      <c r="S199" s="35" t="n">
        <f>31297.14</f>
        <v>31297.14</v>
      </c>
      <c r="T199" s="32" t="n">
        <f>156736</f>
        <v>156736.0</v>
      </c>
      <c r="U199" s="32" t="str">
        <f>"－"</f>
        <v>－</v>
      </c>
      <c r="V199" s="32" t="n">
        <f>4873229190</f>
        <v>4.87322919E9</v>
      </c>
      <c r="W199" s="32" t="str">
        <f>"－"</f>
        <v>－</v>
      </c>
      <c r="X199" s="36" t="n">
        <f>21</f>
        <v>21.0</v>
      </c>
    </row>
    <row r="200">
      <c r="A200" s="27" t="s">
        <v>42</v>
      </c>
      <c r="B200" s="27" t="s">
        <v>650</v>
      </c>
      <c r="C200" s="27" t="s">
        <v>651</v>
      </c>
      <c r="D200" s="27" t="s">
        <v>652</v>
      </c>
      <c r="E200" s="28" t="s">
        <v>46</v>
      </c>
      <c r="F200" s="29" t="s">
        <v>46</v>
      </c>
      <c r="G200" s="30" t="s">
        <v>46</v>
      </c>
      <c r="H200" s="31"/>
      <c r="I200" s="31" t="s">
        <v>622</v>
      </c>
      <c r="J200" s="32" t="n">
        <v>1.0</v>
      </c>
      <c r="K200" s="33" t="n">
        <f>2988</f>
        <v>2988.0</v>
      </c>
      <c r="L200" s="34" t="s">
        <v>48</v>
      </c>
      <c r="M200" s="33" t="n">
        <f>3025</f>
        <v>3025.0</v>
      </c>
      <c r="N200" s="34" t="s">
        <v>48</v>
      </c>
      <c r="O200" s="33" t="n">
        <f>2835</f>
        <v>2835.0</v>
      </c>
      <c r="P200" s="34" t="s">
        <v>72</v>
      </c>
      <c r="Q200" s="33" t="n">
        <f>2853</f>
        <v>2853.0</v>
      </c>
      <c r="R200" s="34" t="s">
        <v>51</v>
      </c>
      <c r="S200" s="35" t="n">
        <f>2909.81</f>
        <v>2909.81</v>
      </c>
      <c r="T200" s="32" t="n">
        <f>503654</f>
        <v>503654.0</v>
      </c>
      <c r="U200" s="32" t="n">
        <f>3502</f>
        <v>3502.0</v>
      </c>
      <c r="V200" s="32" t="n">
        <f>1474028052</f>
        <v>1.474028052E9</v>
      </c>
      <c r="W200" s="32" t="n">
        <f>10005199</f>
        <v>1.0005199E7</v>
      </c>
      <c r="X200" s="36" t="n">
        <f>21</f>
        <v>21.0</v>
      </c>
    </row>
    <row r="201">
      <c r="A201" s="27" t="s">
        <v>42</v>
      </c>
      <c r="B201" s="27" t="s">
        <v>653</v>
      </c>
      <c r="C201" s="27" t="s">
        <v>654</v>
      </c>
      <c r="D201" s="27" t="s">
        <v>655</v>
      </c>
      <c r="E201" s="28" t="s">
        <v>46</v>
      </c>
      <c r="F201" s="29" t="s">
        <v>46</v>
      </c>
      <c r="G201" s="30" t="s">
        <v>46</v>
      </c>
      <c r="H201" s="31"/>
      <c r="I201" s="31" t="s">
        <v>622</v>
      </c>
      <c r="J201" s="32" t="n">
        <v>1.0</v>
      </c>
      <c r="K201" s="33" t="n">
        <f>11910</f>
        <v>11910.0</v>
      </c>
      <c r="L201" s="34" t="s">
        <v>48</v>
      </c>
      <c r="M201" s="33" t="n">
        <f>12230</f>
        <v>12230.0</v>
      </c>
      <c r="N201" s="34" t="s">
        <v>95</v>
      </c>
      <c r="O201" s="33" t="n">
        <f>11280</f>
        <v>11280.0</v>
      </c>
      <c r="P201" s="34" t="s">
        <v>58</v>
      </c>
      <c r="Q201" s="33" t="n">
        <f>11940</f>
        <v>11940.0</v>
      </c>
      <c r="R201" s="34" t="s">
        <v>51</v>
      </c>
      <c r="S201" s="35" t="n">
        <f>11849.52</f>
        <v>11849.52</v>
      </c>
      <c r="T201" s="32" t="n">
        <f>38288</f>
        <v>38288.0</v>
      </c>
      <c r="U201" s="32" t="n">
        <f>4308</f>
        <v>4308.0</v>
      </c>
      <c r="V201" s="32" t="n">
        <f>454192580</f>
        <v>4.5419258E8</v>
      </c>
      <c r="W201" s="32" t="n">
        <f>50894630</f>
        <v>5.089463E7</v>
      </c>
      <c r="X201" s="36" t="n">
        <f>21</f>
        <v>21.0</v>
      </c>
    </row>
    <row r="202">
      <c r="A202" s="27" t="s">
        <v>42</v>
      </c>
      <c r="B202" s="27" t="s">
        <v>656</v>
      </c>
      <c r="C202" s="27" t="s">
        <v>657</v>
      </c>
      <c r="D202" s="27" t="s">
        <v>658</v>
      </c>
      <c r="E202" s="28" t="s">
        <v>46</v>
      </c>
      <c r="F202" s="29" t="s">
        <v>46</v>
      </c>
      <c r="G202" s="30" t="s">
        <v>46</v>
      </c>
      <c r="H202" s="31"/>
      <c r="I202" s="31" t="s">
        <v>622</v>
      </c>
      <c r="J202" s="32" t="n">
        <v>1.0</v>
      </c>
      <c r="K202" s="33" t="n">
        <f>12900</f>
        <v>12900.0</v>
      </c>
      <c r="L202" s="34" t="s">
        <v>48</v>
      </c>
      <c r="M202" s="33" t="n">
        <f>14000</f>
        <v>14000.0</v>
      </c>
      <c r="N202" s="34" t="s">
        <v>49</v>
      </c>
      <c r="O202" s="33" t="n">
        <f>12900</f>
        <v>12900.0</v>
      </c>
      <c r="P202" s="34" t="s">
        <v>48</v>
      </c>
      <c r="Q202" s="33" t="n">
        <f>13960</f>
        <v>13960.0</v>
      </c>
      <c r="R202" s="34" t="s">
        <v>51</v>
      </c>
      <c r="S202" s="35" t="n">
        <f>13558</f>
        <v>13558.0</v>
      </c>
      <c r="T202" s="32" t="n">
        <f>311</f>
        <v>311.0</v>
      </c>
      <c r="U202" s="32" t="n">
        <f>2</f>
        <v>2.0</v>
      </c>
      <c r="V202" s="32" t="n">
        <f>4278360</f>
        <v>4278360.0</v>
      </c>
      <c r="W202" s="32" t="n">
        <f>26280</f>
        <v>26280.0</v>
      </c>
      <c r="X202" s="36" t="n">
        <f>15</f>
        <v>15.0</v>
      </c>
    </row>
    <row r="203">
      <c r="A203" s="27" t="s">
        <v>42</v>
      </c>
      <c r="B203" s="27" t="s">
        <v>659</v>
      </c>
      <c r="C203" s="27" t="s">
        <v>660</v>
      </c>
      <c r="D203" s="27" t="s">
        <v>661</v>
      </c>
      <c r="E203" s="28" t="s">
        <v>46</v>
      </c>
      <c r="F203" s="29" t="s">
        <v>46</v>
      </c>
      <c r="G203" s="30" t="s">
        <v>46</v>
      </c>
      <c r="H203" s="31"/>
      <c r="I203" s="31" t="s">
        <v>622</v>
      </c>
      <c r="J203" s="32" t="n">
        <v>1.0</v>
      </c>
      <c r="K203" s="33" t="n">
        <f>18540</f>
        <v>18540.0</v>
      </c>
      <c r="L203" s="34" t="s">
        <v>48</v>
      </c>
      <c r="M203" s="33" t="n">
        <f>19980</f>
        <v>19980.0</v>
      </c>
      <c r="N203" s="34" t="s">
        <v>74</v>
      </c>
      <c r="O203" s="33" t="n">
        <f>18310</f>
        <v>18310.0</v>
      </c>
      <c r="P203" s="34" t="s">
        <v>48</v>
      </c>
      <c r="Q203" s="33" t="n">
        <f>19830</f>
        <v>19830.0</v>
      </c>
      <c r="R203" s="34" t="s">
        <v>51</v>
      </c>
      <c r="S203" s="35" t="n">
        <f>19236.19</f>
        <v>19236.19</v>
      </c>
      <c r="T203" s="32" t="n">
        <f>29507</f>
        <v>29507.0</v>
      </c>
      <c r="U203" s="32" t="n">
        <f>600</f>
        <v>600.0</v>
      </c>
      <c r="V203" s="32" t="n">
        <f>575132520</f>
        <v>5.7513252E8</v>
      </c>
      <c r="W203" s="32" t="n">
        <f>12067800</f>
        <v>1.20678E7</v>
      </c>
      <c r="X203" s="36" t="n">
        <f>21</f>
        <v>21.0</v>
      </c>
    </row>
    <row r="204">
      <c r="A204" s="27" t="s">
        <v>42</v>
      </c>
      <c r="B204" s="27" t="s">
        <v>662</v>
      </c>
      <c r="C204" s="27" t="s">
        <v>663</v>
      </c>
      <c r="D204" s="27" t="s">
        <v>664</v>
      </c>
      <c r="E204" s="28" t="s">
        <v>46</v>
      </c>
      <c r="F204" s="29" t="s">
        <v>46</v>
      </c>
      <c r="G204" s="30" t="s">
        <v>46</v>
      </c>
      <c r="H204" s="31"/>
      <c r="I204" s="31" t="s">
        <v>622</v>
      </c>
      <c r="J204" s="32" t="n">
        <v>1.0</v>
      </c>
      <c r="K204" s="33" t="n">
        <f>13500</f>
        <v>13500.0</v>
      </c>
      <c r="L204" s="34" t="s">
        <v>48</v>
      </c>
      <c r="M204" s="33" t="n">
        <f>14350</f>
        <v>14350.0</v>
      </c>
      <c r="N204" s="34" t="s">
        <v>91</v>
      </c>
      <c r="O204" s="33" t="n">
        <f>13270</f>
        <v>13270.0</v>
      </c>
      <c r="P204" s="34" t="s">
        <v>58</v>
      </c>
      <c r="Q204" s="33" t="n">
        <f>14210</f>
        <v>14210.0</v>
      </c>
      <c r="R204" s="34" t="s">
        <v>51</v>
      </c>
      <c r="S204" s="35" t="n">
        <f>13857.5</f>
        <v>13857.5</v>
      </c>
      <c r="T204" s="32" t="n">
        <f>1166</f>
        <v>1166.0</v>
      </c>
      <c r="U204" s="32" t="str">
        <f>"－"</f>
        <v>－</v>
      </c>
      <c r="V204" s="32" t="n">
        <f>15931240</f>
        <v>1.593124E7</v>
      </c>
      <c r="W204" s="32" t="str">
        <f>"－"</f>
        <v>－</v>
      </c>
      <c r="X204" s="36" t="n">
        <f>16</f>
        <v>16.0</v>
      </c>
    </row>
    <row r="205">
      <c r="A205" s="27" t="s">
        <v>42</v>
      </c>
      <c r="B205" s="27" t="s">
        <v>665</v>
      </c>
      <c r="C205" s="27" t="s">
        <v>666</v>
      </c>
      <c r="D205" s="27" t="s">
        <v>667</v>
      </c>
      <c r="E205" s="28" t="s">
        <v>46</v>
      </c>
      <c r="F205" s="29" t="s">
        <v>46</v>
      </c>
      <c r="G205" s="30" t="s">
        <v>46</v>
      </c>
      <c r="H205" s="31"/>
      <c r="I205" s="31" t="s">
        <v>622</v>
      </c>
      <c r="J205" s="32" t="n">
        <v>1.0</v>
      </c>
      <c r="K205" s="33" t="n">
        <f>18240</f>
        <v>18240.0</v>
      </c>
      <c r="L205" s="34" t="s">
        <v>48</v>
      </c>
      <c r="M205" s="33" t="n">
        <f>20800</f>
        <v>20800.0</v>
      </c>
      <c r="N205" s="34" t="s">
        <v>91</v>
      </c>
      <c r="O205" s="33" t="n">
        <f>17830</f>
        <v>17830.0</v>
      </c>
      <c r="P205" s="34" t="s">
        <v>50</v>
      </c>
      <c r="Q205" s="33" t="n">
        <f>19060</f>
        <v>19060.0</v>
      </c>
      <c r="R205" s="34" t="s">
        <v>51</v>
      </c>
      <c r="S205" s="35" t="n">
        <f>19426.67</f>
        <v>19426.67</v>
      </c>
      <c r="T205" s="32" t="n">
        <f>141061</f>
        <v>141061.0</v>
      </c>
      <c r="U205" s="32" t="n">
        <f>20</f>
        <v>20.0</v>
      </c>
      <c r="V205" s="32" t="n">
        <f>2783592880</f>
        <v>2.78359288E9</v>
      </c>
      <c r="W205" s="32" t="n">
        <f>392090</f>
        <v>392090.0</v>
      </c>
      <c r="X205" s="36" t="n">
        <f>21</f>
        <v>21.0</v>
      </c>
    </row>
    <row r="206">
      <c r="A206" s="27" t="s">
        <v>42</v>
      </c>
      <c r="B206" s="27" t="s">
        <v>668</v>
      </c>
      <c r="C206" s="27" t="s">
        <v>669</v>
      </c>
      <c r="D206" s="27" t="s">
        <v>670</v>
      </c>
      <c r="E206" s="28" t="s">
        <v>46</v>
      </c>
      <c r="F206" s="29" t="s">
        <v>46</v>
      </c>
      <c r="G206" s="30" t="s">
        <v>46</v>
      </c>
      <c r="H206" s="31"/>
      <c r="I206" s="31" t="s">
        <v>622</v>
      </c>
      <c r="J206" s="32" t="n">
        <v>1.0</v>
      </c>
      <c r="K206" s="33" t="n">
        <f>3970</f>
        <v>3970.0</v>
      </c>
      <c r="L206" s="34" t="s">
        <v>48</v>
      </c>
      <c r="M206" s="33" t="n">
        <f>3975</f>
        <v>3975.0</v>
      </c>
      <c r="N206" s="34" t="s">
        <v>48</v>
      </c>
      <c r="O206" s="33" t="n">
        <f>3720</f>
        <v>3720.0</v>
      </c>
      <c r="P206" s="34" t="s">
        <v>91</v>
      </c>
      <c r="Q206" s="33" t="n">
        <f>3910</f>
        <v>3910.0</v>
      </c>
      <c r="R206" s="34" t="s">
        <v>51</v>
      </c>
      <c r="S206" s="35" t="n">
        <f>3843.57</f>
        <v>3843.57</v>
      </c>
      <c r="T206" s="32" t="n">
        <f>16186</f>
        <v>16186.0</v>
      </c>
      <c r="U206" s="32" t="str">
        <f>"－"</f>
        <v>－</v>
      </c>
      <c r="V206" s="32" t="n">
        <f>62780920</f>
        <v>6.278092E7</v>
      </c>
      <c r="W206" s="32" t="str">
        <f>"－"</f>
        <v>－</v>
      </c>
      <c r="X206" s="36" t="n">
        <f>21</f>
        <v>21.0</v>
      </c>
    </row>
    <row r="207">
      <c r="A207" s="27" t="s">
        <v>42</v>
      </c>
      <c r="B207" s="27" t="s">
        <v>671</v>
      </c>
      <c r="C207" s="27" t="s">
        <v>672</v>
      </c>
      <c r="D207" s="27" t="s">
        <v>673</v>
      </c>
      <c r="E207" s="28" t="s">
        <v>46</v>
      </c>
      <c r="F207" s="29" t="s">
        <v>46</v>
      </c>
      <c r="G207" s="30" t="s">
        <v>46</v>
      </c>
      <c r="H207" s="31"/>
      <c r="I207" s="31" t="s">
        <v>622</v>
      </c>
      <c r="J207" s="32" t="n">
        <v>1.0</v>
      </c>
      <c r="K207" s="33" t="n">
        <f>11390</f>
        <v>11390.0</v>
      </c>
      <c r="L207" s="34" t="s">
        <v>48</v>
      </c>
      <c r="M207" s="33" t="n">
        <f>12230</f>
        <v>12230.0</v>
      </c>
      <c r="N207" s="34" t="s">
        <v>95</v>
      </c>
      <c r="O207" s="33" t="n">
        <f>11390</f>
        <v>11390.0</v>
      </c>
      <c r="P207" s="34" t="s">
        <v>48</v>
      </c>
      <c r="Q207" s="33" t="n">
        <f>11630</f>
        <v>11630.0</v>
      </c>
      <c r="R207" s="34" t="s">
        <v>51</v>
      </c>
      <c r="S207" s="35" t="n">
        <f>11795.38</f>
        <v>11795.38</v>
      </c>
      <c r="T207" s="32" t="n">
        <f>2338</f>
        <v>2338.0</v>
      </c>
      <c r="U207" s="32" t="n">
        <f>1</f>
        <v>1.0</v>
      </c>
      <c r="V207" s="32" t="n">
        <f>27790260</f>
        <v>2.779026E7</v>
      </c>
      <c r="W207" s="32" t="n">
        <f>12040</f>
        <v>12040.0</v>
      </c>
      <c r="X207" s="36" t="n">
        <f>13</f>
        <v>13.0</v>
      </c>
    </row>
    <row r="208">
      <c r="A208" s="27" t="s">
        <v>42</v>
      </c>
      <c r="B208" s="27" t="s">
        <v>674</v>
      </c>
      <c r="C208" s="27" t="s">
        <v>675</v>
      </c>
      <c r="D208" s="27" t="s">
        <v>676</v>
      </c>
      <c r="E208" s="28" t="s">
        <v>46</v>
      </c>
      <c r="F208" s="29" t="s">
        <v>46</v>
      </c>
      <c r="G208" s="30" t="s">
        <v>46</v>
      </c>
      <c r="H208" s="31"/>
      <c r="I208" s="31" t="s">
        <v>622</v>
      </c>
      <c r="J208" s="32" t="n">
        <v>1.0</v>
      </c>
      <c r="K208" s="33" t="n">
        <f>12730</f>
        <v>12730.0</v>
      </c>
      <c r="L208" s="34" t="s">
        <v>208</v>
      </c>
      <c r="M208" s="33" t="n">
        <f>12910</f>
        <v>12910.0</v>
      </c>
      <c r="N208" s="34" t="s">
        <v>321</v>
      </c>
      <c r="O208" s="33" t="n">
        <f>12730</f>
        <v>12730.0</v>
      </c>
      <c r="P208" s="34" t="s">
        <v>208</v>
      </c>
      <c r="Q208" s="33" t="n">
        <f>12910</f>
        <v>12910.0</v>
      </c>
      <c r="R208" s="34" t="s">
        <v>321</v>
      </c>
      <c r="S208" s="35" t="n">
        <f>12820</f>
        <v>12820.0</v>
      </c>
      <c r="T208" s="32" t="n">
        <f>2</f>
        <v>2.0</v>
      </c>
      <c r="U208" s="32" t="str">
        <f>"－"</f>
        <v>－</v>
      </c>
      <c r="V208" s="32" t="n">
        <f>25640</f>
        <v>25640.0</v>
      </c>
      <c r="W208" s="32" t="str">
        <f>"－"</f>
        <v>－</v>
      </c>
      <c r="X208" s="36" t="n">
        <f>2</f>
        <v>2.0</v>
      </c>
    </row>
    <row r="209">
      <c r="A209" s="27" t="s">
        <v>42</v>
      </c>
      <c r="B209" s="27" t="s">
        <v>677</v>
      </c>
      <c r="C209" s="27" t="s">
        <v>678</v>
      </c>
      <c r="D209" s="27" t="s">
        <v>679</v>
      </c>
      <c r="E209" s="28" t="s">
        <v>46</v>
      </c>
      <c r="F209" s="29" t="s">
        <v>46</v>
      </c>
      <c r="G209" s="30" t="s">
        <v>46</v>
      </c>
      <c r="H209" s="31"/>
      <c r="I209" s="31" t="s">
        <v>622</v>
      </c>
      <c r="J209" s="32" t="n">
        <v>1.0</v>
      </c>
      <c r="K209" s="33" t="n">
        <f>12920</f>
        <v>12920.0</v>
      </c>
      <c r="L209" s="34" t="s">
        <v>50</v>
      </c>
      <c r="M209" s="33" t="n">
        <f>13760</f>
        <v>13760.0</v>
      </c>
      <c r="N209" s="34" t="s">
        <v>95</v>
      </c>
      <c r="O209" s="33" t="n">
        <f>12920</f>
        <v>12920.0</v>
      </c>
      <c r="P209" s="34" t="s">
        <v>50</v>
      </c>
      <c r="Q209" s="33" t="n">
        <f>13340</f>
        <v>13340.0</v>
      </c>
      <c r="R209" s="34" t="s">
        <v>51</v>
      </c>
      <c r="S209" s="35" t="n">
        <f>13448.57</f>
        <v>13448.57</v>
      </c>
      <c r="T209" s="32" t="n">
        <f>129</f>
        <v>129.0</v>
      </c>
      <c r="U209" s="32" t="n">
        <f>1</f>
        <v>1.0</v>
      </c>
      <c r="V209" s="32" t="n">
        <f>1722790</f>
        <v>1722790.0</v>
      </c>
      <c r="W209" s="32" t="n">
        <f>13310</f>
        <v>13310.0</v>
      </c>
      <c r="X209" s="36" t="n">
        <f>7</f>
        <v>7.0</v>
      </c>
    </row>
    <row r="210">
      <c r="A210" s="27" t="s">
        <v>42</v>
      </c>
      <c r="B210" s="27" t="s">
        <v>680</v>
      </c>
      <c r="C210" s="27" t="s">
        <v>681</v>
      </c>
      <c r="D210" s="27" t="s">
        <v>682</v>
      </c>
      <c r="E210" s="28" t="s">
        <v>46</v>
      </c>
      <c r="F210" s="29" t="s">
        <v>46</v>
      </c>
      <c r="G210" s="30" t="s">
        <v>46</v>
      </c>
      <c r="H210" s="31"/>
      <c r="I210" s="31" t="s">
        <v>622</v>
      </c>
      <c r="J210" s="32" t="n">
        <v>1.0</v>
      </c>
      <c r="K210" s="33" t="n">
        <f>13510</f>
        <v>13510.0</v>
      </c>
      <c r="L210" s="34" t="s">
        <v>50</v>
      </c>
      <c r="M210" s="33" t="n">
        <f>14580</f>
        <v>14580.0</v>
      </c>
      <c r="N210" s="34" t="s">
        <v>49</v>
      </c>
      <c r="O210" s="33" t="n">
        <f>13510</f>
        <v>13510.0</v>
      </c>
      <c r="P210" s="34" t="s">
        <v>50</v>
      </c>
      <c r="Q210" s="33" t="n">
        <f>14580</f>
        <v>14580.0</v>
      </c>
      <c r="R210" s="34" t="s">
        <v>49</v>
      </c>
      <c r="S210" s="35" t="n">
        <f>14144.29</f>
        <v>14144.29</v>
      </c>
      <c r="T210" s="32" t="n">
        <f>256</f>
        <v>256.0</v>
      </c>
      <c r="U210" s="32" t="str">
        <f>"－"</f>
        <v>－</v>
      </c>
      <c r="V210" s="32" t="n">
        <f>3560230</f>
        <v>3560230.0</v>
      </c>
      <c r="W210" s="32" t="str">
        <f>"－"</f>
        <v>－</v>
      </c>
      <c r="X210" s="36" t="n">
        <f>7</f>
        <v>7.0</v>
      </c>
    </row>
    <row r="211">
      <c r="A211" s="27" t="s">
        <v>42</v>
      </c>
      <c r="B211" s="27" t="s">
        <v>683</v>
      </c>
      <c r="C211" s="27" t="s">
        <v>684</v>
      </c>
      <c r="D211" s="27" t="s">
        <v>685</v>
      </c>
      <c r="E211" s="28" t="s">
        <v>46</v>
      </c>
      <c r="F211" s="29" t="s">
        <v>46</v>
      </c>
      <c r="G211" s="30" t="s">
        <v>46</v>
      </c>
      <c r="H211" s="31"/>
      <c r="I211" s="31" t="s">
        <v>622</v>
      </c>
      <c r="J211" s="32" t="n">
        <v>1.0</v>
      </c>
      <c r="K211" s="33" t="n">
        <f>13050</f>
        <v>13050.0</v>
      </c>
      <c r="L211" s="34" t="s">
        <v>48</v>
      </c>
      <c r="M211" s="33" t="n">
        <f>13400</f>
        <v>13400.0</v>
      </c>
      <c r="N211" s="34" t="s">
        <v>49</v>
      </c>
      <c r="O211" s="33" t="n">
        <f>12600</f>
        <v>12600.0</v>
      </c>
      <c r="P211" s="34" t="s">
        <v>50</v>
      </c>
      <c r="Q211" s="33" t="n">
        <f>12960</f>
        <v>12960.0</v>
      </c>
      <c r="R211" s="34" t="s">
        <v>51</v>
      </c>
      <c r="S211" s="35" t="n">
        <f>13050</f>
        <v>13050.0</v>
      </c>
      <c r="T211" s="32" t="n">
        <f>2439</f>
        <v>2439.0</v>
      </c>
      <c r="U211" s="32" t="n">
        <f>1</f>
        <v>1.0</v>
      </c>
      <c r="V211" s="32" t="n">
        <f>31812060</f>
        <v>3.181206E7</v>
      </c>
      <c r="W211" s="32" t="n">
        <f>13030</f>
        <v>13030.0</v>
      </c>
      <c r="X211" s="36" t="n">
        <f>18</f>
        <v>18.0</v>
      </c>
    </row>
    <row r="212">
      <c r="A212" s="27" t="s">
        <v>42</v>
      </c>
      <c r="B212" s="27" t="s">
        <v>686</v>
      </c>
      <c r="C212" s="27" t="s">
        <v>687</v>
      </c>
      <c r="D212" s="27" t="s">
        <v>688</v>
      </c>
      <c r="E212" s="28" t="s">
        <v>46</v>
      </c>
      <c r="F212" s="29" t="s">
        <v>46</v>
      </c>
      <c r="G212" s="30" t="s">
        <v>46</v>
      </c>
      <c r="H212" s="31"/>
      <c r="I212" s="31" t="s">
        <v>622</v>
      </c>
      <c r="J212" s="32" t="n">
        <v>1.0</v>
      </c>
      <c r="K212" s="33" t="n">
        <f>13650</f>
        <v>13650.0</v>
      </c>
      <c r="L212" s="34" t="s">
        <v>78</v>
      </c>
      <c r="M212" s="33" t="n">
        <f>14040</f>
        <v>14040.0</v>
      </c>
      <c r="N212" s="34" t="s">
        <v>72</v>
      </c>
      <c r="O212" s="33" t="n">
        <f>13250</f>
        <v>13250.0</v>
      </c>
      <c r="P212" s="34" t="s">
        <v>50</v>
      </c>
      <c r="Q212" s="33" t="n">
        <f>14040</f>
        <v>14040.0</v>
      </c>
      <c r="R212" s="34" t="s">
        <v>72</v>
      </c>
      <c r="S212" s="35" t="n">
        <f>13738.33</f>
        <v>13738.33</v>
      </c>
      <c r="T212" s="32" t="n">
        <f>1365</f>
        <v>1365.0</v>
      </c>
      <c r="U212" s="32" t="str">
        <f>"－"</f>
        <v>－</v>
      </c>
      <c r="V212" s="32" t="n">
        <f>19003840</f>
        <v>1.900384E7</v>
      </c>
      <c r="W212" s="32" t="str">
        <f>"－"</f>
        <v>－</v>
      </c>
      <c r="X212" s="36" t="n">
        <f>6</f>
        <v>6.0</v>
      </c>
    </row>
    <row r="213">
      <c r="A213" s="27" t="s">
        <v>42</v>
      </c>
      <c r="B213" s="27" t="s">
        <v>689</v>
      </c>
      <c r="C213" s="27" t="s">
        <v>690</v>
      </c>
      <c r="D213" s="27" t="s">
        <v>691</v>
      </c>
      <c r="E213" s="28" t="s">
        <v>46</v>
      </c>
      <c r="F213" s="29" t="s">
        <v>46</v>
      </c>
      <c r="G213" s="30" t="s">
        <v>46</v>
      </c>
      <c r="H213" s="31"/>
      <c r="I213" s="31" t="s">
        <v>622</v>
      </c>
      <c r="J213" s="32" t="n">
        <v>1.0</v>
      </c>
      <c r="K213" s="33" t="n">
        <f>13230</f>
        <v>13230.0</v>
      </c>
      <c r="L213" s="34" t="s">
        <v>317</v>
      </c>
      <c r="M213" s="33" t="n">
        <f>13360</f>
        <v>13360.0</v>
      </c>
      <c r="N213" s="34" t="s">
        <v>317</v>
      </c>
      <c r="O213" s="33" t="n">
        <f>13230</f>
        <v>13230.0</v>
      </c>
      <c r="P213" s="34" t="s">
        <v>317</v>
      </c>
      <c r="Q213" s="33" t="n">
        <f>13360</f>
        <v>13360.0</v>
      </c>
      <c r="R213" s="34" t="s">
        <v>317</v>
      </c>
      <c r="S213" s="35" t="n">
        <f>13360</f>
        <v>13360.0</v>
      </c>
      <c r="T213" s="32" t="n">
        <f>22</f>
        <v>22.0</v>
      </c>
      <c r="U213" s="32" t="str">
        <f>"－"</f>
        <v>－</v>
      </c>
      <c r="V213" s="32" t="n">
        <f>291400</f>
        <v>291400.0</v>
      </c>
      <c r="W213" s="32" t="str">
        <f>"－"</f>
        <v>－</v>
      </c>
      <c r="X213" s="36" t="n">
        <f>1</f>
        <v>1.0</v>
      </c>
    </row>
    <row r="214">
      <c r="A214" s="27" t="s">
        <v>42</v>
      </c>
      <c r="B214" s="27" t="s">
        <v>692</v>
      </c>
      <c r="C214" s="27" t="s">
        <v>693</v>
      </c>
      <c r="D214" s="27" t="s">
        <v>694</v>
      </c>
      <c r="E214" s="28" t="s">
        <v>46</v>
      </c>
      <c r="F214" s="29" t="s">
        <v>46</v>
      </c>
      <c r="G214" s="30" t="s">
        <v>46</v>
      </c>
      <c r="H214" s="31"/>
      <c r="I214" s="31" t="s">
        <v>622</v>
      </c>
      <c r="J214" s="32" t="n">
        <v>1.0</v>
      </c>
      <c r="K214" s="33" t="n">
        <f>10690</f>
        <v>10690.0</v>
      </c>
      <c r="L214" s="34" t="s">
        <v>48</v>
      </c>
      <c r="M214" s="33" t="n">
        <f>10710</f>
        <v>10710.0</v>
      </c>
      <c r="N214" s="34" t="s">
        <v>91</v>
      </c>
      <c r="O214" s="33" t="n">
        <f>10300</f>
        <v>10300.0</v>
      </c>
      <c r="P214" s="34" t="s">
        <v>58</v>
      </c>
      <c r="Q214" s="33" t="n">
        <f>10570</f>
        <v>10570.0</v>
      </c>
      <c r="R214" s="34" t="s">
        <v>51</v>
      </c>
      <c r="S214" s="35" t="n">
        <f>10534.71</f>
        <v>10534.71</v>
      </c>
      <c r="T214" s="32" t="n">
        <f>7894</f>
        <v>7894.0</v>
      </c>
      <c r="U214" s="32" t="str">
        <f>"－"</f>
        <v>－</v>
      </c>
      <c r="V214" s="32" t="n">
        <f>82750330</f>
        <v>8.275033E7</v>
      </c>
      <c r="W214" s="32" t="str">
        <f>"－"</f>
        <v>－</v>
      </c>
      <c r="X214" s="36" t="n">
        <f>17</f>
        <v>17.0</v>
      </c>
    </row>
    <row r="215">
      <c r="A215" s="27" t="s">
        <v>42</v>
      </c>
      <c r="B215" s="27" t="s">
        <v>695</v>
      </c>
      <c r="C215" s="27" t="s">
        <v>696</v>
      </c>
      <c r="D215" s="27" t="s">
        <v>697</v>
      </c>
      <c r="E215" s="28" t="s">
        <v>46</v>
      </c>
      <c r="F215" s="29" t="s">
        <v>46</v>
      </c>
      <c r="G215" s="30" t="s">
        <v>46</v>
      </c>
      <c r="H215" s="31"/>
      <c r="I215" s="31" t="s">
        <v>622</v>
      </c>
      <c r="J215" s="32" t="n">
        <v>1.0</v>
      </c>
      <c r="K215" s="33" t="n">
        <f>12000</f>
        <v>12000.0</v>
      </c>
      <c r="L215" s="34" t="s">
        <v>48</v>
      </c>
      <c r="M215" s="33" t="n">
        <f>12210</f>
        <v>12210.0</v>
      </c>
      <c r="N215" s="34" t="s">
        <v>74</v>
      </c>
      <c r="O215" s="33" t="n">
        <f>11350</f>
        <v>11350.0</v>
      </c>
      <c r="P215" s="34" t="s">
        <v>58</v>
      </c>
      <c r="Q215" s="33" t="n">
        <f>12000</f>
        <v>12000.0</v>
      </c>
      <c r="R215" s="34" t="s">
        <v>51</v>
      </c>
      <c r="S215" s="35" t="n">
        <f>11879.52</f>
        <v>11879.52</v>
      </c>
      <c r="T215" s="32" t="n">
        <f>45806</f>
        <v>45806.0</v>
      </c>
      <c r="U215" s="32" t="str">
        <f>"－"</f>
        <v>－</v>
      </c>
      <c r="V215" s="32" t="n">
        <f>543688040</f>
        <v>5.4368804E8</v>
      </c>
      <c r="W215" s="32" t="str">
        <f>"－"</f>
        <v>－</v>
      </c>
      <c r="X215" s="36" t="n">
        <f>21</f>
        <v>21.0</v>
      </c>
    </row>
    <row r="216">
      <c r="A216" s="27" t="s">
        <v>42</v>
      </c>
      <c r="B216" s="27" t="s">
        <v>698</v>
      </c>
      <c r="C216" s="27" t="s">
        <v>699</v>
      </c>
      <c r="D216" s="27" t="s">
        <v>700</v>
      </c>
      <c r="E216" s="28" t="s">
        <v>46</v>
      </c>
      <c r="F216" s="29" t="s">
        <v>46</v>
      </c>
      <c r="G216" s="30" t="s">
        <v>46</v>
      </c>
      <c r="H216" s="31"/>
      <c r="I216" s="31" t="s">
        <v>622</v>
      </c>
      <c r="J216" s="32" t="n">
        <v>1.0</v>
      </c>
      <c r="K216" s="33" t="n">
        <f>10650</f>
        <v>10650.0</v>
      </c>
      <c r="L216" s="34" t="s">
        <v>48</v>
      </c>
      <c r="M216" s="33" t="n">
        <f>10650</f>
        <v>10650.0</v>
      </c>
      <c r="N216" s="34" t="s">
        <v>48</v>
      </c>
      <c r="O216" s="33" t="n">
        <f>10220</f>
        <v>10220.0</v>
      </c>
      <c r="P216" s="34" t="s">
        <v>597</v>
      </c>
      <c r="Q216" s="33" t="n">
        <f>10360</f>
        <v>10360.0</v>
      </c>
      <c r="R216" s="34" t="s">
        <v>51</v>
      </c>
      <c r="S216" s="35" t="n">
        <f>10355.56</f>
        <v>10355.56</v>
      </c>
      <c r="T216" s="32" t="n">
        <f>14594</f>
        <v>14594.0</v>
      </c>
      <c r="U216" s="32" t="str">
        <f>"－"</f>
        <v>－</v>
      </c>
      <c r="V216" s="32" t="n">
        <f>150655100</f>
        <v>1.506551E8</v>
      </c>
      <c r="W216" s="32" t="str">
        <f>"－"</f>
        <v>－</v>
      </c>
      <c r="X216" s="36" t="n">
        <f>18</f>
        <v>18.0</v>
      </c>
    </row>
    <row r="217">
      <c r="A217" s="27" t="s">
        <v>42</v>
      </c>
      <c r="B217" s="27" t="s">
        <v>701</v>
      </c>
      <c r="C217" s="27" t="s">
        <v>702</v>
      </c>
      <c r="D217" s="27" t="s">
        <v>703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995</f>
        <v>995.0</v>
      </c>
      <c r="L217" s="34" t="s">
        <v>48</v>
      </c>
      <c r="M217" s="33" t="n">
        <f>996</f>
        <v>996.0</v>
      </c>
      <c r="N217" s="34" t="s">
        <v>48</v>
      </c>
      <c r="O217" s="33" t="n">
        <f>990</f>
        <v>990.0</v>
      </c>
      <c r="P217" s="34" t="s">
        <v>62</v>
      </c>
      <c r="Q217" s="33" t="n">
        <f>993</f>
        <v>993.0</v>
      </c>
      <c r="R217" s="34" t="s">
        <v>51</v>
      </c>
      <c r="S217" s="35" t="n">
        <f>992.95</f>
        <v>992.95</v>
      </c>
      <c r="T217" s="32" t="n">
        <f>7945470</f>
        <v>7945470.0</v>
      </c>
      <c r="U217" s="32" t="n">
        <f>7327770</f>
        <v>7327770.0</v>
      </c>
      <c r="V217" s="32" t="n">
        <f>7895096692</f>
        <v>7.895096692E9</v>
      </c>
      <c r="W217" s="32" t="n">
        <f>7281927592</f>
        <v>7.281927592E9</v>
      </c>
      <c r="X217" s="36" t="n">
        <f>21</f>
        <v>21.0</v>
      </c>
    </row>
    <row r="218">
      <c r="A218" s="27" t="s">
        <v>42</v>
      </c>
      <c r="B218" s="27" t="s">
        <v>704</v>
      </c>
      <c r="C218" s="27" t="s">
        <v>705</v>
      </c>
      <c r="D218" s="27" t="s">
        <v>706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1005</f>
        <v>1005.0</v>
      </c>
      <c r="L218" s="34" t="s">
        <v>48</v>
      </c>
      <c r="M218" s="33" t="n">
        <f>1031</f>
        <v>1031.0</v>
      </c>
      <c r="N218" s="34" t="s">
        <v>106</v>
      </c>
      <c r="O218" s="33" t="n">
        <f>1000</f>
        <v>1000.0</v>
      </c>
      <c r="P218" s="34" t="s">
        <v>208</v>
      </c>
      <c r="Q218" s="33" t="n">
        <f>1027</f>
        <v>1027.0</v>
      </c>
      <c r="R218" s="34" t="s">
        <v>51</v>
      </c>
      <c r="S218" s="35" t="n">
        <f>1017.19</f>
        <v>1017.19</v>
      </c>
      <c r="T218" s="32" t="n">
        <f>3788880</f>
        <v>3788880.0</v>
      </c>
      <c r="U218" s="32" t="n">
        <f>2980230</f>
        <v>2980230.0</v>
      </c>
      <c r="V218" s="32" t="n">
        <f>3863546836</f>
        <v>3.863546836E9</v>
      </c>
      <c r="W218" s="32" t="n">
        <f>3037340366</f>
        <v>3.037340366E9</v>
      </c>
      <c r="X218" s="36" t="n">
        <f>21</f>
        <v>21.0</v>
      </c>
    </row>
    <row r="219">
      <c r="A219" s="27" t="s">
        <v>42</v>
      </c>
      <c r="B219" s="27" t="s">
        <v>707</v>
      </c>
      <c r="C219" s="27" t="s">
        <v>708</v>
      </c>
      <c r="D219" s="27" t="s">
        <v>709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1015</f>
        <v>1015.0</v>
      </c>
      <c r="L219" s="34" t="s">
        <v>48</v>
      </c>
      <c r="M219" s="33" t="n">
        <f>1018</f>
        <v>1018.0</v>
      </c>
      <c r="N219" s="34" t="s">
        <v>78</v>
      </c>
      <c r="O219" s="33" t="n">
        <f>1002</f>
        <v>1002.0</v>
      </c>
      <c r="P219" s="34" t="s">
        <v>179</v>
      </c>
      <c r="Q219" s="33" t="n">
        <f>1011</f>
        <v>1011.0</v>
      </c>
      <c r="R219" s="34" t="s">
        <v>51</v>
      </c>
      <c r="S219" s="35" t="n">
        <f>1010.33</f>
        <v>1010.33</v>
      </c>
      <c r="T219" s="32" t="n">
        <f>8735830</f>
        <v>8735830.0</v>
      </c>
      <c r="U219" s="32" t="n">
        <f>7364950</f>
        <v>7364950.0</v>
      </c>
      <c r="V219" s="32" t="n">
        <f>8826280048</f>
        <v>8.826280048E9</v>
      </c>
      <c r="W219" s="32" t="n">
        <f>7443352848</f>
        <v>7.443352848E9</v>
      </c>
      <c r="X219" s="36" t="n">
        <f>21</f>
        <v>21.0</v>
      </c>
    </row>
    <row r="220">
      <c r="A220" s="27" t="s">
        <v>42</v>
      </c>
      <c r="B220" s="27" t="s">
        <v>710</v>
      </c>
      <c r="C220" s="27" t="s">
        <v>711</v>
      </c>
      <c r="D220" s="27" t="s">
        <v>712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1504</f>
        <v>1504.0</v>
      </c>
      <c r="L220" s="34" t="s">
        <v>48</v>
      </c>
      <c r="M220" s="33" t="n">
        <f>1637</f>
        <v>1637.0</v>
      </c>
      <c r="N220" s="34" t="s">
        <v>74</v>
      </c>
      <c r="O220" s="33" t="n">
        <f>1488</f>
        <v>1488.0</v>
      </c>
      <c r="P220" s="34" t="s">
        <v>50</v>
      </c>
      <c r="Q220" s="33" t="n">
        <f>1624</f>
        <v>1624.0</v>
      </c>
      <c r="R220" s="34" t="s">
        <v>51</v>
      </c>
      <c r="S220" s="35" t="n">
        <f>1573.43</f>
        <v>1573.43</v>
      </c>
      <c r="T220" s="32" t="n">
        <f>2007460</f>
        <v>2007460.0</v>
      </c>
      <c r="U220" s="32" t="n">
        <f>411390</f>
        <v>411390.0</v>
      </c>
      <c r="V220" s="32" t="n">
        <f>3073424955</f>
        <v>3.073424955E9</v>
      </c>
      <c r="W220" s="32" t="n">
        <f>630996275</f>
        <v>6.30996275E8</v>
      </c>
      <c r="X220" s="36" t="n">
        <f>21</f>
        <v>21.0</v>
      </c>
    </row>
    <row r="221">
      <c r="A221" s="27" t="s">
        <v>42</v>
      </c>
      <c r="B221" s="27" t="s">
        <v>713</v>
      </c>
      <c r="C221" s="27" t="s">
        <v>714</v>
      </c>
      <c r="D221" s="27" t="s">
        <v>715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1461</f>
        <v>1461.0</v>
      </c>
      <c r="L221" s="34" t="s">
        <v>48</v>
      </c>
      <c r="M221" s="33" t="n">
        <f>1547</f>
        <v>1547.0</v>
      </c>
      <c r="N221" s="34" t="s">
        <v>72</v>
      </c>
      <c r="O221" s="33" t="n">
        <f>1450</f>
        <v>1450.0</v>
      </c>
      <c r="P221" s="34" t="s">
        <v>48</v>
      </c>
      <c r="Q221" s="33" t="n">
        <f>1544</f>
        <v>1544.0</v>
      </c>
      <c r="R221" s="34" t="s">
        <v>51</v>
      </c>
      <c r="S221" s="35" t="n">
        <f>1502.24</f>
        <v>1502.24</v>
      </c>
      <c r="T221" s="32" t="n">
        <f>2495370</f>
        <v>2495370.0</v>
      </c>
      <c r="U221" s="32" t="n">
        <f>761000</f>
        <v>761000.0</v>
      </c>
      <c r="V221" s="32" t="n">
        <f>3682108360</f>
        <v>3.68210836E9</v>
      </c>
      <c r="W221" s="32" t="n">
        <f>1114065800</f>
        <v>1.1140658E9</v>
      </c>
      <c r="X221" s="36" t="n">
        <f>21</f>
        <v>21.0</v>
      </c>
    </row>
    <row r="222">
      <c r="A222" s="27" t="s">
        <v>42</v>
      </c>
      <c r="B222" s="27" t="s">
        <v>716</v>
      </c>
      <c r="C222" s="27" t="s">
        <v>717</v>
      </c>
      <c r="D222" s="27" t="s">
        <v>718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1140</f>
        <v>1140.0</v>
      </c>
      <c r="L222" s="34" t="s">
        <v>48</v>
      </c>
      <c r="M222" s="33" t="n">
        <f>1256</f>
        <v>1256.0</v>
      </c>
      <c r="N222" s="34" t="s">
        <v>51</v>
      </c>
      <c r="O222" s="33" t="n">
        <f>1126</f>
        <v>1126.0</v>
      </c>
      <c r="P222" s="34" t="s">
        <v>48</v>
      </c>
      <c r="Q222" s="33" t="n">
        <f>1249</f>
        <v>1249.0</v>
      </c>
      <c r="R222" s="34" t="s">
        <v>51</v>
      </c>
      <c r="S222" s="35" t="n">
        <f>1198.67</f>
        <v>1198.67</v>
      </c>
      <c r="T222" s="32" t="n">
        <f>797150</f>
        <v>797150.0</v>
      </c>
      <c r="U222" s="32" t="n">
        <f>502900</f>
        <v>502900.0</v>
      </c>
      <c r="V222" s="32" t="n">
        <f>966237154</f>
        <v>9.66237154E8</v>
      </c>
      <c r="W222" s="32" t="n">
        <f>614484564</f>
        <v>6.14484564E8</v>
      </c>
      <c r="X222" s="36" t="n">
        <f>21</f>
        <v>21.0</v>
      </c>
    </row>
    <row r="223">
      <c r="A223" s="27" t="s">
        <v>42</v>
      </c>
      <c r="B223" s="27" t="s">
        <v>719</v>
      </c>
      <c r="C223" s="27" t="s">
        <v>720</v>
      </c>
      <c r="D223" s="27" t="s">
        <v>721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861</f>
        <v>861.0</v>
      </c>
      <c r="L223" s="34" t="s">
        <v>48</v>
      </c>
      <c r="M223" s="33" t="n">
        <f>884</f>
        <v>884.0</v>
      </c>
      <c r="N223" s="34" t="s">
        <v>49</v>
      </c>
      <c r="O223" s="33" t="n">
        <f>813</f>
        <v>813.0</v>
      </c>
      <c r="P223" s="34" t="s">
        <v>50</v>
      </c>
      <c r="Q223" s="33" t="n">
        <f>856</f>
        <v>856.0</v>
      </c>
      <c r="R223" s="34" t="s">
        <v>51</v>
      </c>
      <c r="S223" s="35" t="n">
        <f>854.52</f>
        <v>854.52</v>
      </c>
      <c r="T223" s="32" t="n">
        <f>11291940</f>
        <v>1.129194E7</v>
      </c>
      <c r="U223" s="32" t="n">
        <f>353830</f>
        <v>353830.0</v>
      </c>
      <c r="V223" s="32" t="n">
        <f>9633509080</f>
        <v>9.63350908E9</v>
      </c>
      <c r="W223" s="32" t="n">
        <f>307208840</f>
        <v>3.0720884E8</v>
      </c>
      <c r="X223" s="36" t="n">
        <f>21</f>
        <v>21.0</v>
      </c>
    </row>
    <row r="224">
      <c r="A224" s="27" t="s">
        <v>42</v>
      </c>
      <c r="B224" s="27" t="s">
        <v>722</v>
      </c>
      <c r="C224" s="27" t="s">
        <v>723</v>
      </c>
      <c r="D224" s="27" t="s">
        <v>724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1221</f>
        <v>1221.0</v>
      </c>
      <c r="L224" s="34" t="s">
        <v>48</v>
      </c>
      <c r="M224" s="33" t="n">
        <f>1233</f>
        <v>1233.0</v>
      </c>
      <c r="N224" s="34" t="s">
        <v>91</v>
      </c>
      <c r="O224" s="33" t="n">
        <f>1162</f>
        <v>1162.0</v>
      </c>
      <c r="P224" s="34" t="s">
        <v>50</v>
      </c>
      <c r="Q224" s="33" t="n">
        <f>1220</f>
        <v>1220.0</v>
      </c>
      <c r="R224" s="34" t="s">
        <v>51</v>
      </c>
      <c r="S224" s="35" t="n">
        <f>1206.62</f>
        <v>1206.62</v>
      </c>
      <c r="T224" s="32" t="n">
        <f>1959310</f>
        <v>1959310.0</v>
      </c>
      <c r="U224" s="32" t="n">
        <f>1810810</f>
        <v>1810810.0</v>
      </c>
      <c r="V224" s="32" t="n">
        <f>2381443203</f>
        <v>2.381443203E9</v>
      </c>
      <c r="W224" s="32" t="n">
        <f>2203675333</f>
        <v>2.203675333E9</v>
      </c>
      <c r="X224" s="36" t="n">
        <f>21</f>
        <v>21.0</v>
      </c>
    </row>
    <row r="225">
      <c r="A225" s="27" t="s">
        <v>42</v>
      </c>
      <c r="B225" s="27" t="s">
        <v>725</v>
      </c>
      <c r="C225" s="27" t="s">
        <v>726</v>
      </c>
      <c r="D225" s="27" t="s">
        <v>727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1170</f>
        <v>1170.0</v>
      </c>
      <c r="L225" s="34" t="s">
        <v>48</v>
      </c>
      <c r="M225" s="33" t="n">
        <f>1188</f>
        <v>1188.0</v>
      </c>
      <c r="N225" s="34" t="s">
        <v>95</v>
      </c>
      <c r="O225" s="33" t="n">
        <f>1121</f>
        <v>1121.0</v>
      </c>
      <c r="P225" s="34" t="s">
        <v>50</v>
      </c>
      <c r="Q225" s="33" t="n">
        <f>1166</f>
        <v>1166.0</v>
      </c>
      <c r="R225" s="34" t="s">
        <v>51</v>
      </c>
      <c r="S225" s="35" t="n">
        <f>1160.05</f>
        <v>1160.05</v>
      </c>
      <c r="T225" s="32" t="n">
        <f>8803</f>
        <v>8803.0</v>
      </c>
      <c r="U225" s="32" t="n">
        <f>2</f>
        <v>2.0</v>
      </c>
      <c r="V225" s="32" t="n">
        <f>10248270</f>
        <v>1.024827E7</v>
      </c>
      <c r="W225" s="32" t="n">
        <f>2280</f>
        <v>2280.0</v>
      </c>
      <c r="X225" s="36" t="n">
        <f>21</f>
        <v>21.0</v>
      </c>
    </row>
    <row r="226">
      <c r="A226" s="27" t="s">
        <v>42</v>
      </c>
      <c r="B226" s="27" t="s">
        <v>728</v>
      </c>
      <c r="C226" s="27" t="s">
        <v>729</v>
      </c>
      <c r="D226" s="27" t="s">
        <v>730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1040</f>
        <v>1040.0</v>
      </c>
      <c r="L226" s="34" t="s">
        <v>48</v>
      </c>
      <c r="M226" s="33" t="n">
        <f>1059</f>
        <v>1059.0</v>
      </c>
      <c r="N226" s="34" t="s">
        <v>95</v>
      </c>
      <c r="O226" s="33" t="n">
        <f>1021</f>
        <v>1021.0</v>
      </c>
      <c r="P226" s="34" t="s">
        <v>208</v>
      </c>
      <c r="Q226" s="33" t="n">
        <f>1050</f>
        <v>1050.0</v>
      </c>
      <c r="R226" s="34" t="s">
        <v>51</v>
      </c>
      <c r="S226" s="35" t="n">
        <f>1043.43</f>
        <v>1043.43</v>
      </c>
      <c r="T226" s="32" t="n">
        <f>136650</f>
        <v>136650.0</v>
      </c>
      <c r="U226" s="32" t="n">
        <f>84630</f>
        <v>84630.0</v>
      </c>
      <c r="V226" s="32" t="n">
        <f>142629431</f>
        <v>1.42629431E8</v>
      </c>
      <c r="W226" s="32" t="n">
        <f>88732181</f>
        <v>8.8732181E7</v>
      </c>
      <c r="X226" s="36" t="n">
        <f>21</f>
        <v>21.0</v>
      </c>
    </row>
    <row r="227">
      <c r="A227" s="27" t="s">
        <v>42</v>
      </c>
      <c r="B227" s="27" t="s">
        <v>731</v>
      </c>
      <c r="C227" s="27" t="s">
        <v>732</v>
      </c>
      <c r="D227" s="27" t="s">
        <v>733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1204</f>
        <v>1204.0</v>
      </c>
      <c r="L227" s="34" t="s">
        <v>48</v>
      </c>
      <c r="M227" s="33" t="n">
        <f>1295</f>
        <v>1295.0</v>
      </c>
      <c r="N227" s="34" t="s">
        <v>334</v>
      </c>
      <c r="O227" s="33" t="n">
        <f>1166</f>
        <v>1166.0</v>
      </c>
      <c r="P227" s="34" t="s">
        <v>50</v>
      </c>
      <c r="Q227" s="33" t="n">
        <f>1249</f>
        <v>1249.0</v>
      </c>
      <c r="R227" s="34" t="s">
        <v>51</v>
      </c>
      <c r="S227" s="35" t="n">
        <f>1239.38</f>
        <v>1239.38</v>
      </c>
      <c r="T227" s="32" t="n">
        <f>87700</f>
        <v>87700.0</v>
      </c>
      <c r="U227" s="32" t="n">
        <f>40090</f>
        <v>40090.0</v>
      </c>
      <c r="V227" s="32" t="n">
        <f>109321960</f>
        <v>1.0932196E8</v>
      </c>
      <c r="W227" s="32" t="n">
        <f>50429530</f>
        <v>5.042953E7</v>
      </c>
      <c r="X227" s="36" t="n">
        <f>21</f>
        <v>21.0</v>
      </c>
    </row>
    <row r="228">
      <c r="A228" s="27" t="s">
        <v>42</v>
      </c>
      <c r="B228" s="27" t="s">
        <v>734</v>
      </c>
      <c r="C228" s="27" t="s">
        <v>735</v>
      </c>
      <c r="D228" s="27" t="s">
        <v>736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1508</f>
        <v>1508.0</v>
      </c>
      <c r="L228" s="34" t="s">
        <v>48</v>
      </c>
      <c r="M228" s="33" t="n">
        <f>1603</f>
        <v>1603.0</v>
      </c>
      <c r="N228" s="34" t="s">
        <v>51</v>
      </c>
      <c r="O228" s="33" t="n">
        <f>1494</f>
        <v>1494.0</v>
      </c>
      <c r="P228" s="34" t="s">
        <v>48</v>
      </c>
      <c r="Q228" s="33" t="n">
        <f>1599</f>
        <v>1599.0</v>
      </c>
      <c r="R228" s="34" t="s">
        <v>51</v>
      </c>
      <c r="S228" s="35" t="n">
        <f>1553</f>
        <v>1553.0</v>
      </c>
      <c r="T228" s="32" t="n">
        <f>15959850</f>
        <v>1.595985E7</v>
      </c>
      <c r="U228" s="32" t="n">
        <f>5350570</f>
        <v>5350570.0</v>
      </c>
      <c r="V228" s="32" t="n">
        <f>24777651594</f>
        <v>2.4777651594E10</v>
      </c>
      <c r="W228" s="32" t="n">
        <f>8393845814</f>
        <v>8.393845814E9</v>
      </c>
      <c r="X228" s="36" t="n">
        <f>21</f>
        <v>21.0</v>
      </c>
    </row>
    <row r="229">
      <c r="A229" s="27" t="s">
        <v>42</v>
      </c>
      <c r="B229" s="27" t="s">
        <v>737</v>
      </c>
      <c r="C229" s="27" t="s">
        <v>738</v>
      </c>
      <c r="D229" s="27" t="s">
        <v>739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3950</f>
        <v>3950.0</v>
      </c>
      <c r="L229" s="34" t="s">
        <v>48</v>
      </c>
      <c r="M229" s="33" t="n">
        <f>4185</f>
        <v>4185.0</v>
      </c>
      <c r="N229" s="34" t="s">
        <v>49</v>
      </c>
      <c r="O229" s="33" t="n">
        <f>3740</f>
        <v>3740.0</v>
      </c>
      <c r="P229" s="34" t="s">
        <v>50</v>
      </c>
      <c r="Q229" s="33" t="n">
        <f>4180</f>
        <v>4180.0</v>
      </c>
      <c r="R229" s="34" t="s">
        <v>51</v>
      </c>
      <c r="S229" s="35" t="n">
        <f>4005.71</f>
        <v>4005.71</v>
      </c>
      <c r="T229" s="32" t="n">
        <f>105999</f>
        <v>105999.0</v>
      </c>
      <c r="U229" s="32" t="str">
        <f>"－"</f>
        <v>－</v>
      </c>
      <c r="V229" s="32" t="n">
        <f>420951495</f>
        <v>4.20951495E8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740</v>
      </c>
      <c r="C230" s="27" t="s">
        <v>741</v>
      </c>
      <c r="D230" s="27" t="s">
        <v>742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1703</f>
        <v>1703.0</v>
      </c>
      <c r="L230" s="34" t="s">
        <v>48</v>
      </c>
      <c r="M230" s="33" t="n">
        <f>1725</f>
        <v>1725.0</v>
      </c>
      <c r="N230" s="34" t="s">
        <v>62</v>
      </c>
      <c r="O230" s="33" t="n">
        <f>1663</f>
        <v>1663.0</v>
      </c>
      <c r="P230" s="34" t="s">
        <v>58</v>
      </c>
      <c r="Q230" s="33" t="n">
        <f>1718</f>
        <v>1718.0</v>
      </c>
      <c r="R230" s="34" t="s">
        <v>51</v>
      </c>
      <c r="S230" s="35" t="n">
        <f>1702.11</f>
        <v>1702.11</v>
      </c>
      <c r="T230" s="32" t="n">
        <f>5220</f>
        <v>5220.0</v>
      </c>
      <c r="U230" s="32" t="str">
        <f>"－"</f>
        <v>－</v>
      </c>
      <c r="V230" s="32" t="n">
        <f>8868290</f>
        <v>8868290.0</v>
      </c>
      <c r="W230" s="32" t="str">
        <f>"－"</f>
        <v>－</v>
      </c>
      <c r="X230" s="36" t="n">
        <f>19</f>
        <v>19.0</v>
      </c>
    </row>
    <row r="231">
      <c r="A231" s="27" t="s">
        <v>42</v>
      </c>
      <c r="B231" s="27" t="s">
        <v>743</v>
      </c>
      <c r="C231" s="27" t="s">
        <v>744</v>
      </c>
      <c r="D231" s="27" t="s">
        <v>745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2052</f>
        <v>2052.0</v>
      </c>
      <c r="L231" s="34" t="s">
        <v>48</v>
      </c>
      <c r="M231" s="33" t="n">
        <f>2081</f>
        <v>2081.0</v>
      </c>
      <c r="N231" s="34" t="s">
        <v>49</v>
      </c>
      <c r="O231" s="33" t="n">
        <f>1970</f>
        <v>1970.0</v>
      </c>
      <c r="P231" s="34" t="s">
        <v>50</v>
      </c>
      <c r="Q231" s="33" t="n">
        <f>2030</f>
        <v>2030.0</v>
      </c>
      <c r="R231" s="34" t="s">
        <v>51</v>
      </c>
      <c r="S231" s="35" t="n">
        <f>2036.08</f>
        <v>2036.08</v>
      </c>
      <c r="T231" s="32" t="n">
        <f>122980</f>
        <v>122980.0</v>
      </c>
      <c r="U231" s="32" t="str">
        <f>"－"</f>
        <v>－</v>
      </c>
      <c r="V231" s="32" t="n">
        <f>251398590</f>
        <v>2.5139859E8</v>
      </c>
      <c r="W231" s="32" t="str">
        <f>"－"</f>
        <v>－</v>
      </c>
      <c r="X231" s="36" t="n">
        <f>12</f>
        <v>12.0</v>
      </c>
    </row>
    <row r="232">
      <c r="A232" s="27" t="s">
        <v>42</v>
      </c>
      <c r="B232" s="27" t="s">
        <v>746</v>
      </c>
      <c r="C232" s="27" t="s">
        <v>747</v>
      </c>
      <c r="D232" s="27" t="s">
        <v>748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29660</f>
        <v>29660.0</v>
      </c>
      <c r="L232" s="34" t="s">
        <v>48</v>
      </c>
      <c r="M232" s="33" t="n">
        <f>29870</f>
        <v>29870.0</v>
      </c>
      <c r="N232" s="34" t="s">
        <v>49</v>
      </c>
      <c r="O232" s="33" t="n">
        <f>27760</f>
        <v>27760.0</v>
      </c>
      <c r="P232" s="34" t="s">
        <v>58</v>
      </c>
      <c r="Q232" s="33" t="n">
        <f>29230</f>
        <v>29230.0</v>
      </c>
      <c r="R232" s="34" t="s">
        <v>51</v>
      </c>
      <c r="S232" s="35" t="n">
        <f>28930.67</f>
        <v>28930.67</v>
      </c>
      <c r="T232" s="32" t="n">
        <f>6043</f>
        <v>6043.0</v>
      </c>
      <c r="U232" s="32" t="str">
        <f>"－"</f>
        <v>－</v>
      </c>
      <c r="V232" s="32" t="n">
        <f>172174990</f>
        <v>1.7217499E8</v>
      </c>
      <c r="W232" s="32" t="str">
        <f>"－"</f>
        <v>－</v>
      </c>
      <c r="X232" s="36" t="n">
        <f>15</f>
        <v>15.0</v>
      </c>
    </row>
    <row r="233">
      <c r="A233" s="27" t="s">
        <v>42</v>
      </c>
      <c r="B233" s="27" t="s">
        <v>749</v>
      </c>
      <c r="C233" s="27" t="s">
        <v>750</v>
      </c>
      <c r="D233" s="27" t="s">
        <v>751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18440</f>
        <v>18440.0</v>
      </c>
      <c r="L233" s="34" t="s">
        <v>48</v>
      </c>
      <c r="M233" s="33" t="n">
        <f>18710</f>
        <v>18710.0</v>
      </c>
      <c r="N233" s="34" t="s">
        <v>49</v>
      </c>
      <c r="O233" s="33" t="n">
        <f>17710</f>
        <v>17710.0</v>
      </c>
      <c r="P233" s="34" t="s">
        <v>50</v>
      </c>
      <c r="Q233" s="33" t="n">
        <f>18380</f>
        <v>18380.0</v>
      </c>
      <c r="R233" s="34" t="s">
        <v>51</v>
      </c>
      <c r="S233" s="35" t="n">
        <f>18295.79</f>
        <v>18295.79</v>
      </c>
      <c r="T233" s="32" t="n">
        <f>46720</f>
        <v>46720.0</v>
      </c>
      <c r="U233" s="32" t="str">
        <f>"－"</f>
        <v>－</v>
      </c>
      <c r="V233" s="32" t="n">
        <f>854026340</f>
        <v>8.5402634E8</v>
      </c>
      <c r="W233" s="32" t="str">
        <f>"－"</f>
        <v>－</v>
      </c>
      <c r="X233" s="36" t="n">
        <f>19</f>
        <v>19.0</v>
      </c>
    </row>
    <row r="234">
      <c r="A234" s="27" t="s">
        <v>42</v>
      </c>
      <c r="B234" s="27" t="s">
        <v>752</v>
      </c>
      <c r="C234" s="27" t="s">
        <v>753</v>
      </c>
      <c r="D234" s="27" t="s">
        <v>754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1204</f>
        <v>1204.0</v>
      </c>
      <c r="L234" s="34" t="s">
        <v>48</v>
      </c>
      <c r="M234" s="33" t="n">
        <f>1232</f>
        <v>1232.0</v>
      </c>
      <c r="N234" s="34" t="s">
        <v>95</v>
      </c>
      <c r="O234" s="33" t="n">
        <f>1180</f>
        <v>1180.0</v>
      </c>
      <c r="P234" s="34" t="s">
        <v>50</v>
      </c>
      <c r="Q234" s="33" t="n">
        <f>1232</f>
        <v>1232.0</v>
      </c>
      <c r="R234" s="34" t="s">
        <v>95</v>
      </c>
      <c r="S234" s="35" t="n">
        <f>1203.8</f>
        <v>1203.8</v>
      </c>
      <c r="T234" s="32" t="n">
        <f>22610</f>
        <v>22610.0</v>
      </c>
      <c r="U234" s="32" t="str">
        <f>"－"</f>
        <v>－</v>
      </c>
      <c r="V234" s="32" t="n">
        <f>26914030</f>
        <v>2.691403E7</v>
      </c>
      <c r="W234" s="32" t="str">
        <f>"－"</f>
        <v>－</v>
      </c>
      <c r="X234" s="36" t="n">
        <f>10</f>
        <v>10.0</v>
      </c>
    </row>
    <row r="235">
      <c r="A235" s="27" t="s">
        <v>42</v>
      </c>
      <c r="B235" s="27" t="s">
        <v>755</v>
      </c>
      <c r="C235" s="27" t="s">
        <v>756</v>
      </c>
      <c r="D235" s="27" t="s">
        <v>757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1219</f>
        <v>1219.0</v>
      </c>
      <c r="L235" s="34" t="s">
        <v>48</v>
      </c>
      <c r="M235" s="33" t="n">
        <f>1266</f>
        <v>1266.0</v>
      </c>
      <c r="N235" s="34" t="s">
        <v>58</v>
      </c>
      <c r="O235" s="33" t="n">
        <f>1168</f>
        <v>1168.0</v>
      </c>
      <c r="P235" s="34" t="s">
        <v>317</v>
      </c>
      <c r="Q235" s="33" t="n">
        <f>1216</f>
        <v>1216.0</v>
      </c>
      <c r="R235" s="34" t="s">
        <v>51</v>
      </c>
      <c r="S235" s="35" t="n">
        <f>1209</f>
        <v>1209.0</v>
      </c>
      <c r="T235" s="32" t="n">
        <f>199170</f>
        <v>199170.0</v>
      </c>
      <c r="U235" s="32" t="n">
        <f>183000</f>
        <v>183000.0</v>
      </c>
      <c r="V235" s="32" t="n">
        <f>240610719</f>
        <v>2.40610719E8</v>
      </c>
      <c r="W235" s="32" t="n">
        <f>221111679</f>
        <v>2.21111679E8</v>
      </c>
      <c r="X235" s="36" t="n">
        <f>21</f>
        <v>21.0</v>
      </c>
    </row>
    <row r="236">
      <c r="A236" s="27" t="s">
        <v>42</v>
      </c>
      <c r="B236" s="27" t="s">
        <v>758</v>
      </c>
      <c r="C236" s="27" t="s">
        <v>759</v>
      </c>
      <c r="D236" s="27" t="s">
        <v>760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1174</f>
        <v>1174.0</v>
      </c>
      <c r="L236" s="34" t="s">
        <v>48</v>
      </c>
      <c r="M236" s="33" t="n">
        <f>1174</f>
        <v>1174.0</v>
      </c>
      <c r="N236" s="34" t="s">
        <v>48</v>
      </c>
      <c r="O236" s="33" t="n">
        <f>1108</f>
        <v>1108.0</v>
      </c>
      <c r="P236" s="34" t="s">
        <v>58</v>
      </c>
      <c r="Q236" s="33" t="n">
        <f>1133</f>
        <v>1133.0</v>
      </c>
      <c r="R236" s="34" t="s">
        <v>51</v>
      </c>
      <c r="S236" s="35" t="n">
        <f>1139.1</f>
        <v>1139.1</v>
      </c>
      <c r="T236" s="32" t="n">
        <f>35517</f>
        <v>35517.0</v>
      </c>
      <c r="U236" s="32" t="n">
        <f>2</f>
        <v>2.0</v>
      </c>
      <c r="V236" s="32" t="n">
        <f>40512868</f>
        <v>4.0512868E7</v>
      </c>
      <c r="W236" s="32" t="n">
        <f>2273</f>
        <v>2273.0</v>
      </c>
      <c r="X236" s="36" t="n">
        <f>21</f>
        <v>21.0</v>
      </c>
    </row>
    <row r="237">
      <c r="A237" s="27" t="s">
        <v>42</v>
      </c>
      <c r="B237" s="27" t="s">
        <v>761</v>
      </c>
      <c r="C237" s="27" t="s">
        <v>762</v>
      </c>
      <c r="D237" s="27" t="s">
        <v>763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13320</f>
        <v>13320.0</v>
      </c>
      <c r="L237" s="34" t="s">
        <v>48</v>
      </c>
      <c r="M237" s="33" t="n">
        <f>14150</f>
        <v>14150.0</v>
      </c>
      <c r="N237" s="34" t="s">
        <v>72</v>
      </c>
      <c r="O237" s="33" t="n">
        <f>12700</f>
        <v>12700.0</v>
      </c>
      <c r="P237" s="34" t="s">
        <v>50</v>
      </c>
      <c r="Q237" s="33" t="n">
        <f>13880</f>
        <v>13880.0</v>
      </c>
      <c r="R237" s="34" t="s">
        <v>51</v>
      </c>
      <c r="S237" s="35" t="n">
        <f>13600.95</f>
        <v>13600.95</v>
      </c>
      <c r="T237" s="32" t="n">
        <f>3346</f>
        <v>3346.0</v>
      </c>
      <c r="U237" s="32" t="str">
        <f>"－"</f>
        <v>－</v>
      </c>
      <c r="V237" s="32" t="n">
        <f>45669820</f>
        <v>4.566982E7</v>
      </c>
      <c r="W237" s="32" t="str">
        <f>"－"</f>
        <v>－</v>
      </c>
      <c r="X237" s="36" t="n">
        <f>21</f>
        <v>21.0</v>
      </c>
    </row>
    <row r="238">
      <c r="A238" s="27" t="s">
        <v>42</v>
      </c>
      <c r="B238" s="27" t="s">
        <v>764</v>
      </c>
      <c r="C238" s="27" t="s">
        <v>765</v>
      </c>
      <c r="D238" s="27" t="s">
        <v>766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2233</f>
        <v>2233.0</v>
      </c>
      <c r="L238" s="34" t="s">
        <v>48</v>
      </c>
      <c r="M238" s="33" t="n">
        <f>2248</f>
        <v>2248.0</v>
      </c>
      <c r="N238" s="34" t="s">
        <v>91</v>
      </c>
      <c r="O238" s="33" t="n">
        <f>2127</f>
        <v>2127.0</v>
      </c>
      <c r="P238" s="34" t="s">
        <v>50</v>
      </c>
      <c r="Q238" s="33" t="n">
        <f>2231</f>
        <v>2231.0</v>
      </c>
      <c r="R238" s="34" t="s">
        <v>51</v>
      </c>
      <c r="S238" s="35" t="n">
        <f>2204.43</f>
        <v>2204.43</v>
      </c>
      <c r="T238" s="32" t="n">
        <f>10793</f>
        <v>10793.0</v>
      </c>
      <c r="U238" s="32" t="str">
        <f>"－"</f>
        <v>－</v>
      </c>
      <c r="V238" s="32" t="n">
        <f>23682919</f>
        <v>2.3682919E7</v>
      </c>
      <c r="W238" s="32" t="str">
        <f>"－"</f>
        <v>－</v>
      </c>
      <c r="X238" s="36" t="n">
        <f>21</f>
        <v>21.0</v>
      </c>
    </row>
    <row r="239">
      <c r="A239" s="27" t="s">
        <v>42</v>
      </c>
      <c r="B239" s="27" t="s">
        <v>767</v>
      </c>
      <c r="C239" s="27" t="s">
        <v>768</v>
      </c>
      <c r="D239" s="27" t="s">
        <v>769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1591</f>
        <v>1591.0</v>
      </c>
      <c r="L239" s="34" t="s">
        <v>48</v>
      </c>
      <c r="M239" s="33" t="n">
        <f>1750</f>
        <v>1750.0</v>
      </c>
      <c r="N239" s="34" t="s">
        <v>95</v>
      </c>
      <c r="O239" s="33" t="n">
        <f>1591</f>
        <v>1591.0</v>
      </c>
      <c r="P239" s="34" t="s">
        <v>48</v>
      </c>
      <c r="Q239" s="33" t="n">
        <f>1665</f>
        <v>1665.0</v>
      </c>
      <c r="R239" s="34" t="s">
        <v>51</v>
      </c>
      <c r="S239" s="35" t="n">
        <f>1648.81</f>
        <v>1648.81</v>
      </c>
      <c r="T239" s="32" t="n">
        <f>4730</f>
        <v>4730.0</v>
      </c>
      <c r="U239" s="32" t="str">
        <f>"－"</f>
        <v>－</v>
      </c>
      <c r="V239" s="32" t="n">
        <f>7923220</f>
        <v>7923220.0</v>
      </c>
      <c r="W239" s="32" t="str">
        <f>"－"</f>
        <v>－</v>
      </c>
      <c r="X239" s="36" t="n">
        <f>21</f>
        <v>21.0</v>
      </c>
    </row>
    <row r="240">
      <c r="A240" s="27" t="s">
        <v>42</v>
      </c>
      <c r="B240" s="27" t="s">
        <v>770</v>
      </c>
      <c r="C240" s="27" t="s">
        <v>771</v>
      </c>
      <c r="D240" s="27" t="s">
        <v>772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1007</f>
        <v>1007.0</v>
      </c>
      <c r="L240" s="34" t="s">
        <v>48</v>
      </c>
      <c r="M240" s="33" t="n">
        <f>1009</f>
        <v>1009.0</v>
      </c>
      <c r="N240" s="34" t="s">
        <v>78</v>
      </c>
      <c r="O240" s="33" t="n">
        <f>995</f>
        <v>995.0</v>
      </c>
      <c r="P240" s="34" t="s">
        <v>62</v>
      </c>
      <c r="Q240" s="33" t="n">
        <f>1000</f>
        <v>1000.0</v>
      </c>
      <c r="R240" s="34" t="s">
        <v>51</v>
      </c>
      <c r="S240" s="35" t="n">
        <f>1001.33</f>
        <v>1001.33</v>
      </c>
      <c r="T240" s="32" t="n">
        <f>922460</f>
        <v>922460.0</v>
      </c>
      <c r="U240" s="32" t="n">
        <f>693760</f>
        <v>693760.0</v>
      </c>
      <c r="V240" s="32" t="n">
        <f>923257996</f>
        <v>9.23257996E8</v>
      </c>
      <c r="W240" s="32" t="n">
        <f>694517776</f>
        <v>6.94517776E8</v>
      </c>
      <c r="X240" s="36" t="n">
        <f>21</f>
        <v>21.0</v>
      </c>
    </row>
    <row r="241">
      <c r="A241" s="27" t="s">
        <v>42</v>
      </c>
      <c r="B241" s="27" t="s">
        <v>773</v>
      </c>
      <c r="C241" s="27" t="s">
        <v>774</v>
      </c>
      <c r="D241" s="27" t="s">
        <v>775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2126</f>
        <v>2126.0</v>
      </c>
      <c r="L241" s="34" t="s">
        <v>48</v>
      </c>
      <c r="M241" s="33" t="n">
        <f>2153</f>
        <v>2153.0</v>
      </c>
      <c r="N241" s="34" t="s">
        <v>91</v>
      </c>
      <c r="O241" s="33" t="n">
        <f>2038</f>
        <v>2038.0</v>
      </c>
      <c r="P241" s="34" t="s">
        <v>50</v>
      </c>
      <c r="Q241" s="33" t="n">
        <f>2133</f>
        <v>2133.0</v>
      </c>
      <c r="R241" s="34" t="s">
        <v>51</v>
      </c>
      <c r="S241" s="35" t="n">
        <f>2106.52</f>
        <v>2106.52</v>
      </c>
      <c r="T241" s="32" t="n">
        <f>29850</f>
        <v>29850.0</v>
      </c>
      <c r="U241" s="32" t="str">
        <f>"－"</f>
        <v>－</v>
      </c>
      <c r="V241" s="32" t="n">
        <f>62833160</f>
        <v>6.283316E7</v>
      </c>
      <c r="W241" s="32" t="str">
        <f>"－"</f>
        <v>－</v>
      </c>
      <c r="X241" s="36" t="n">
        <f>21</f>
        <v>21.0</v>
      </c>
    </row>
    <row r="242">
      <c r="A242" s="27" t="s">
        <v>42</v>
      </c>
      <c r="B242" s="27" t="s">
        <v>776</v>
      </c>
      <c r="C242" s="27" t="s">
        <v>777</v>
      </c>
      <c r="D242" s="27" t="s">
        <v>778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2138</f>
        <v>2138.0</v>
      </c>
      <c r="L242" s="34" t="s">
        <v>48</v>
      </c>
      <c r="M242" s="33" t="n">
        <f>2145</f>
        <v>2145.0</v>
      </c>
      <c r="N242" s="34" t="s">
        <v>91</v>
      </c>
      <c r="O242" s="33" t="n">
        <f>2035</f>
        <v>2035.0</v>
      </c>
      <c r="P242" s="34" t="s">
        <v>50</v>
      </c>
      <c r="Q242" s="33" t="n">
        <f>2124</f>
        <v>2124.0</v>
      </c>
      <c r="R242" s="34" t="s">
        <v>51</v>
      </c>
      <c r="S242" s="35" t="n">
        <f>2103.19</f>
        <v>2103.19</v>
      </c>
      <c r="T242" s="32" t="n">
        <f>459040</f>
        <v>459040.0</v>
      </c>
      <c r="U242" s="32" t="n">
        <f>200000</f>
        <v>200000.0</v>
      </c>
      <c r="V242" s="32" t="n">
        <f>956891770</f>
        <v>9.5689177E8</v>
      </c>
      <c r="W242" s="32" t="n">
        <f>416267400</f>
        <v>4.162674E8</v>
      </c>
      <c r="X242" s="36" t="n">
        <f>21</f>
        <v>21.0</v>
      </c>
    </row>
    <row r="243">
      <c r="A243" s="27" t="s">
        <v>42</v>
      </c>
      <c r="B243" s="27" t="s">
        <v>779</v>
      </c>
      <c r="C243" s="27" t="s">
        <v>780</v>
      </c>
      <c r="D243" s="27" t="s">
        <v>781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2038</f>
        <v>2038.0</v>
      </c>
      <c r="L243" s="34" t="s">
        <v>48</v>
      </c>
      <c r="M243" s="33" t="n">
        <f>2040</f>
        <v>2040.0</v>
      </c>
      <c r="N243" s="34" t="s">
        <v>49</v>
      </c>
      <c r="O243" s="33" t="n">
        <f>1950</f>
        <v>1950.0</v>
      </c>
      <c r="P243" s="34" t="s">
        <v>208</v>
      </c>
      <c r="Q243" s="33" t="n">
        <f>2003</f>
        <v>2003.0</v>
      </c>
      <c r="R243" s="34" t="s">
        <v>51</v>
      </c>
      <c r="S243" s="35" t="n">
        <f>1999.57</f>
        <v>1999.57</v>
      </c>
      <c r="T243" s="32" t="n">
        <f>152830</f>
        <v>152830.0</v>
      </c>
      <c r="U243" s="32" t="str">
        <f>"－"</f>
        <v>－</v>
      </c>
      <c r="V243" s="32" t="n">
        <f>302577150</f>
        <v>3.0257715E8</v>
      </c>
      <c r="W243" s="32" t="str">
        <f>"－"</f>
        <v>－</v>
      </c>
      <c r="X243" s="36" t="n">
        <f>14</f>
        <v>14.0</v>
      </c>
    </row>
    <row r="244">
      <c r="A244" s="27" t="s">
        <v>42</v>
      </c>
      <c r="B244" s="27" t="s">
        <v>782</v>
      </c>
      <c r="C244" s="27" t="s">
        <v>783</v>
      </c>
      <c r="D244" s="27" t="s">
        <v>784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13810</f>
        <v>13810.0</v>
      </c>
      <c r="L244" s="34" t="s">
        <v>48</v>
      </c>
      <c r="M244" s="33" t="n">
        <f>15020</f>
        <v>15020.0</v>
      </c>
      <c r="N244" s="34" t="s">
        <v>74</v>
      </c>
      <c r="O244" s="33" t="n">
        <f>13630</f>
        <v>13630.0</v>
      </c>
      <c r="P244" s="34" t="s">
        <v>50</v>
      </c>
      <c r="Q244" s="33" t="n">
        <f>14920</f>
        <v>14920.0</v>
      </c>
      <c r="R244" s="34" t="s">
        <v>51</v>
      </c>
      <c r="S244" s="35" t="n">
        <f>14440.48</f>
        <v>14440.48</v>
      </c>
      <c r="T244" s="32" t="n">
        <f>636036</f>
        <v>636036.0</v>
      </c>
      <c r="U244" s="32" t="n">
        <f>6711</f>
        <v>6711.0</v>
      </c>
      <c r="V244" s="32" t="n">
        <f>9174056757</f>
        <v>9.174056757E9</v>
      </c>
      <c r="W244" s="32" t="n">
        <f>100112577</f>
        <v>1.00112577E8</v>
      </c>
      <c r="X244" s="36" t="n">
        <f>21</f>
        <v>21.0</v>
      </c>
    </row>
    <row r="245">
      <c r="A245" s="27" t="s">
        <v>42</v>
      </c>
      <c r="B245" s="27" t="s">
        <v>785</v>
      </c>
      <c r="C245" s="27" t="s">
        <v>786</v>
      </c>
      <c r="D245" s="27" t="s">
        <v>787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13070</f>
        <v>13070.0</v>
      </c>
      <c r="L245" s="34" t="s">
        <v>48</v>
      </c>
      <c r="M245" s="33" t="n">
        <f>14000</f>
        <v>14000.0</v>
      </c>
      <c r="N245" s="34" t="s">
        <v>74</v>
      </c>
      <c r="O245" s="33" t="n">
        <f>12850</f>
        <v>12850.0</v>
      </c>
      <c r="P245" s="34" t="s">
        <v>50</v>
      </c>
      <c r="Q245" s="33" t="n">
        <f>13920</f>
        <v>13920.0</v>
      </c>
      <c r="R245" s="34" t="s">
        <v>51</v>
      </c>
      <c r="S245" s="35" t="n">
        <f>13533.33</f>
        <v>13533.33</v>
      </c>
      <c r="T245" s="32" t="n">
        <f>128942</f>
        <v>128942.0</v>
      </c>
      <c r="U245" s="32" t="n">
        <f>63</f>
        <v>63.0</v>
      </c>
      <c r="V245" s="32" t="n">
        <f>1740687030</f>
        <v>1.74068703E9</v>
      </c>
      <c r="W245" s="32" t="n">
        <f>821650</f>
        <v>821650.0</v>
      </c>
      <c r="X245" s="36" t="n">
        <f>21</f>
        <v>21.0</v>
      </c>
    </row>
    <row r="246">
      <c r="A246" s="27" t="s">
        <v>42</v>
      </c>
      <c r="B246" s="27" t="s">
        <v>788</v>
      </c>
      <c r="C246" s="27" t="s">
        <v>789</v>
      </c>
      <c r="D246" s="27" t="s">
        <v>790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26890</f>
        <v>26890.0</v>
      </c>
      <c r="L246" s="34" t="s">
        <v>48</v>
      </c>
      <c r="M246" s="33" t="n">
        <f>27240</f>
        <v>27240.0</v>
      </c>
      <c r="N246" s="34" t="s">
        <v>49</v>
      </c>
      <c r="O246" s="33" t="n">
        <f>25920</f>
        <v>25920.0</v>
      </c>
      <c r="P246" s="34" t="s">
        <v>208</v>
      </c>
      <c r="Q246" s="33" t="n">
        <f>26780</f>
        <v>26780.0</v>
      </c>
      <c r="R246" s="34" t="s">
        <v>51</v>
      </c>
      <c r="S246" s="35" t="n">
        <f>26640.63</f>
        <v>26640.63</v>
      </c>
      <c r="T246" s="32" t="n">
        <f>145</f>
        <v>145.0</v>
      </c>
      <c r="U246" s="32" t="str">
        <f>"－"</f>
        <v>－</v>
      </c>
      <c r="V246" s="32" t="n">
        <f>3866280</f>
        <v>3866280.0</v>
      </c>
      <c r="W246" s="32" t="str">
        <f>"－"</f>
        <v>－</v>
      </c>
      <c r="X246" s="36" t="n">
        <f>16</f>
        <v>16.0</v>
      </c>
    </row>
    <row r="247">
      <c r="A247" s="27" t="s">
        <v>42</v>
      </c>
      <c r="B247" s="27" t="s">
        <v>791</v>
      </c>
      <c r="C247" s="27" t="s">
        <v>792</v>
      </c>
      <c r="D247" s="27" t="s">
        <v>793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2713</f>
        <v>2713.0</v>
      </c>
      <c r="L247" s="34" t="s">
        <v>48</v>
      </c>
      <c r="M247" s="33" t="n">
        <f>2721</f>
        <v>2721.0</v>
      </c>
      <c r="N247" s="34" t="s">
        <v>78</v>
      </c>
      <c r="O247" s="33" t="n">
        <f>2697</f>
        <v>2697.0</v>
      </c>
      <c r="P247" s="34" t="s">
        <v>72</v>
      </c>
      <c r="Q247" s="33" t="n">
        <f>2704</f>
        <v>2704.0</v>
      </c>
      <c r="R247" s="34" t="s">
        <v>51</v>
      </c>
      <c r="S247" s="35" t="n">
        <f>2706.19</f>
        <v>2706.19</v>
      </c>
      <c r="T247" s="32" t="n">
        <f>2641587</f>
        <v>2641587.0</v>
      </c>
      <c r="U247" s="32" t="n">
        <f>1669864</f>
        <v>1669864.0</v>
      </c>
      <c r="V247" s="32" t="n">
        <f>7149691785</f>
        <v>7.149691785E9</v>
      </c>
      <c r="W247" s="32" t="n">
        <f>4519779808</f>
        <v>4.519779808E9</v>
      </c>
      <c r="X247" s="36" t="n">
        <f>21</f>
        <v>21.0</v>
      </c>
    </row>
    <row r="248">
      <c r="A248" s="27" t="s">
        <v>42</v>
      </c>
      <c r="B248" s="27" t="s">
        <v>794</v>
      </c>
      <c r="C248" s="27" t="s">
        <v>795</v>
      </c>
      <c r="D248" s="27" t="s">
        <v>796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2926</f>
        <v>2926.0</v>
      </c>
      <c r="L248" s="34" t="s">
        <v>48</v>
      </c>
      <c r="M248" s="33" t="n">
        <f>3100</f>
        <v>3100.0</v>
      </c>
      <c r="N248" s="34" t="s">
        <v>72</v>
      </c>
      <c r="O248" s="33" t="n">
        <f>2903</f>
        <v>2903.0</v>
      </c>
      <c r="P248" s="34" t="s">
        <v>48</v>
      </c>
      <c r="Q248" s="33" t="n">
        <f>3085</f>
        <v>3085.0</v>
      </c>
      <c r="R248" s="34" t="s">
        <v>51</v>
      </c>
      <c r="S248" s="35" t="n">
        <f>3022.67</f>
        <v>3022.67</v>
      </c>
      <c r="T248" s="32" t="n">
        <f>4105180</f>
        <v>4105180.0</v>
      </c>
      <c r="U248" s="32" t="n">
        <f>2724000</f>
        <v>2724000.0</v>
      </c>
      <c r="V248" s="32" t="n">
        <f>12336077626</f>
        <v>1.2336077626E10</v>
      </c>
      <c r="W248" s="32" t="n">
        <f>8199971446</f>
        <v>8.199971446E9</v>
      </c>
      <c r="X248" s="36" t="n">
        <f>21</f>
        <v>21.0</v>
      </c>
    </row>
    <row r="249">
      <c r="A249" s="27" t="s">
        <v>42</v>
      </c>
      <c r="B249" s="27" t="s">
        <v>797</v>
      </c>
      <c r="C249" s="27" t="s">
        <v>798</v>
      </c>
      <c r="D249" s="27" t="s">
        <v>799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2801</f>
        <v>2801.0</v>
      </c>
      <c r="L249" s="34" t="s">
        <v>48</v>
      </c>
      <c r="M249" s="33" t="n">
        <f>2980</f>
        <v>2980.0</v>
      </c>
      <c r="N249" s="34" t="s">
        <v>51</v>
      </c>
      <c r="O249" s="33" t="n">
        <f>2779</f>
        <v>2779.0</v>
      </c>
      <c r="P249" s="34" t="s">
        <v>48</v>
      </c>
      <c r="Q249" s="33" t="n">
        <f>2973</f>
        <v>2973.0</v>
      </c>
      <c r="R249" s="34" t="s">
        <v>51</v>
      </c>
      <c r="S249" s="35" t="n">
        <f>2888.1</f>
        <v>2888.1</v>
      </c>
      <c r="T249" s="32" t="n">
        <f>3043489</f>
        <v>3043489.0</v>
      </c>
      <c r="U249" s="32" t="n">
        <f>1414200</f>
        <v>1414200.0</v>
      </c>
      <c r="V249" s="32" t="n">
        <f>8818137685</f>
        <v>8.818137685E9</v>
      </c>
      <c r="W249" s="32" t="n">
        <f>4147545540</f>
        <v>4.14754554E9</v>
      </c>
      <c r="X249" s="36" t="n">
        <f>21</f>
        <v>21.0</v>
      </c>
    </row>
    <row r="250">
      <c r="A250" s="27" t="s">
        <v>42</v>
      </c>
      <c r="B250" s="27" t="s">
        <v>800</v>
      </c>
      <c r="C250" s="27" t="s">
        <v>801</v>
      </c>
      <c r="D250" s="27" t="s">
        <v>802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1941</f>
        <v>1941.0</v>
      </c>
      <c r="L250" s="34" t="s">
        <v>48</v>
      </c>
      <c r="M250" s="33" t="n">
        <f>1966</f>
        <v>1966.0</v>
      </c>
      <c r="N250" s="34" t="s">
        <v>49</v>
      </c>
      <c r="O250" s="33" t="n">
        <f>1887</f>
        <v>1887.0</v>
      </c>
      <c r="P250" s="34" t="s">
        <v>192</v>
      </c>
      <c r="Q250" s="33" t="n">
        <f>1900</f>
        <v>1900.0</v>
      </c>
      <c r="R250" s="34" t="s">
        <v>51</v>
      </c>
      <c r="S250" s="35" t="n">
        <f>1931.9</f>
        <v>1931.9</v>
      </c>
      <c r="T250" s="32" t="n">
        <f>100519</f>
        <v>100519.0</v>
      </c>
      <c r="U250" s="32" t="n">
        <f>6</f>
        <v>6.0</v>
      </c>
      <c r="V250" s="32" t="n">
        <f>194308294</f>
        <v>1.94308294E8</v>
      </c>
      <c r="W250" s="32" t="n">
        <f>11364</f>
        <v>11364.0</v>
      </c>
      <c r="X250" s="36" t="n">
        <f>21</f>
        <v>21.0</v>
      </c>
    </row>
    <row r="251">
      <c r="A251" s="27" t="s">
        <v>42</v>
      </c>
      <c r="B251" s="27" t="s">
        <v>803</v>
      </c>
      <c r="C251" s="27" t="s">
        <v>804</v>
      </c>
      <c r="D251" s="27" t="s">
        <v>805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1198</f>
        <v>1198.0</v>
      </c>
      <c r="L251" s="34" t="s">
        <v>48</v>
      </c>
      <c r="M251" s="33" t="n">
        <f>1223</f>
        <v>1223.0</v>
      </c>
      <c r="N251" s="34" t="s">
        <v>49</v>
      </c>
      <c r="O251" s="33" t="n">
        <f>1140</f>
        <v>1140.0</v>
      </c>
      <c r="P251" s="34" t="s">
        <v>50</v>
      </c>
      <c r="Q251" s="33" t="n">
        <f>1203</f>
        <v>1203.0</v>
      </c>
      <c r="R251" s="34" t="s">
        <v>51</v>
      </c>
      <c r="S251" s="35" t="n">
        <f>1188.48</f>
        <v>1188.48</v>
      </c>
      <c r="T251" s="32" t="n">
        <f>205435</f>
        <v>205435.0</v>
      </c>
      <c r="U251" s="32" t="str">
        <f>"－"</f>
        <v>－</v>
      </c>
      <c r="V251" s="32" t="n">
        <f>242781868</f>
        <v>2.42781868E8</v>
      </c>
      <c r="W251" s="32" t="str">
        <f>"－"</f>
        <v>－</v>
      </c>
      <c r="X251" s="36" t="n">
        <f>21</f>
        <v>21.0</v>
      </c>
    </row>
    <row r="252">
      <c r="A252" s="27" t="s">
        <v>42</v>
      </c>
      <c r="B252" s="27" t="s">
        <v>806</v>
      </c>
      <c r="C252" s="27" t="s">
        <v>807</v>
      </c>
      <c r="D252" s="27" t="s">
        <v>808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1180</f>
        <v>1180.0</v>
      </c>
      <c r="L252" s="34" t="s">
        <v>48</v>
      </c>
      <c r="M252" s="33" t="n">
        <f>1184</f>
        <v>1184.0</v>
      </c>
      <c r="N252" s="34" t="s">
        <v>91</v>
      </c>
      <c r="O252" s="33" t="n">
        <f>1123</f>
        <v>1123.0</v>
      </c>
      <c r="P252" s="34" t="s">
        <v>50</v>
      </c>
      <c r="Q252" s="33" t="n">
        <f>1176</f>
        <v>1176.0</v>
      </c>
      <c r="R252" s="34" t="s">
        <v>51</v>
      </c>
      <c r="S252" s="35" t="n">
        <f>1163.1</f>
        <v>1163.1</v>
      </c>
      <c r="T252" s="32" t="n">
        <f>42130</f>
        <v>42130.0</v>
      </c>
      <c r="U252" s="32" t="str">
        <f>"－"</f>
        <v>－</v>
      </c>
      <c r="V252" s="32" t="n">
        <f>49030920</f>
        <v>4.903092E7</v>
      </c>
      <c r="W252" s="32" t="str">
        <f>"－"</f>
        <v>－</v>
      </c>
      <c r="X252" s="36" t="n">
        <f>21</f>
        <v>21.0</v>
      </c>
    </row>
    <row r="253">
      <c r="A253" s="27" t="s">
        <v>42</v>
      </c>
      <c r="B253" s="27" t="s">
        <v>809</v>
      </c>
      <c r="C253" s="27" t="s">
        <v>810</v>
      </c>
      <c r="D253" s="27" t="s">
        <v>811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258</f>
        <v>258.0</v>
      </c>
      <c r="L253" s="34" t="s">
        <v>48</v>
      </c>
      <c r="M253" s="33" t="n">
        <f>260</f>
        <v>260.0</v>
      </c>
      <c r="N253" s="34" t="s">
        <v>48</v>
      </c>
      <c r="O253" s="33" t="n">
        <f>248</f>
        <v>248.0</v>
      </c>
      <c r="P253" s="34" t="s">
        <v>58</v>
      </c>
      <c r="Q253" s="33" t="n">
        <f>256</f>
        <v>256.0</v>
      </c>
      <c r="R253" s="34" t="s">
        <v>51</v>
      </c>
      <c r="S253" s="35" t="n">
        <f>253.57</f>
        <v>253.57</v>
      </c>
      <c r="T253" s="32" t="n">
        <f>12080</f>
        <v>12080.0</v>
      </c>
      <c r="U253" s="32" t="str">
        <f>"－"</f>
        <v>－</v>
      </c>
      <c r="V253" s="32" t="n">
        <f>3052520</f>
        <v>3052520.0</v>
      </c>
      <c r="W253" s="32" t="str">
        <f>"－"</f>
        <v>－</v>
      </c>
      <c r="X253" s="36" t="n">
        <f>21</f>
        <v>21.0</v>
      </c>
    </row>
    <row r="254">
      <c r="A254" s="27" t="s">
        <v>42</v>
      </c>
      <c r="B254" s="27" t="s">
        <v>812</v>
      </c>
      <c r="C254" s="27" t="s">
        <v>813</v>
      </c>
      <c r="D254" s="27" t="s">
        <v>814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2827</f>
        <v>2827.0</v>
      </c>
      <c r="L254" s="34" t="s">
        <v>48</v>
      </c>
      <c r="M254" s="33" t="n">
        <f>3070</f>
        <v>3070.0</v>
      </c>
      <c r="N254" s="34" t="s">
        <v>51</v>
      </c>
      <c r="O254" s="33" t="n">
        <f>2757</f>
        <v>2757.0</v>
      </c>
      <c r="P254" s="34" t="s">
        <v>50</v>
      </c>
      <c r="Q254" s="33" t="n">
        <f>3060</f>
        <v>3060.0</v>
      </c>
      <c r="R254" s="34" t="s">
        <v>51</v>
      </c>
      <c r="S254" s="35" t="n">
        <f>2936.76</f>
        <v>2936.76</v>
      </c>
      <c r="T254" s="32" t="n">
        <f>1461980</f>
        <v>1461980.0</v>
      </c>
      <c r="U254" s="32" t="n">
        <f>139000</f>
        <v>139000.0</v>
      </c>
      <c r="V254" s="32" t="n">
        <f>4224100275</f>
        <v>4.224100275E9</v>
      </c>
      <c r="W254" s="32" t="n">
        <f>406066585</f>
        <v>4.06066585E8</v>
      </c>
      <c r="X254" s="36" t="n">
        <f>21</f>
        <v>21.0</v>
      </c>
    </row>
    <row r="255">
      <c r="A255" s="27" t="s">
        <v>42</v>
      </c>
      <c r="B255" s="27" t="s">
        <v>815</v>
      </c>
      <c r="C255" s="27" t="s">
        <v>816</v>
      </c>
      <c r="D255" s="27" t="s">
        <v>817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2644</f>
        <v>2644.0</v>
      </c>
      <c r="L255" s="34" t="s">
        <v>48</v>
      </c>
      <c r="M255" s="33" t="n">
        <f>2820</f>
        <v>2820.0</v>
      </c>
      <c r="N255" s="34" t="s">
        <v>51</v>
      </c>
      <c r="O255" s="33" t="n">
        <f>2590</f>
        <v>2590.0</v>
      </c>
      <c r="P255" s="34" t="s">
        <v>50</v>
      </c>
      <c r="Q255" s="33" t="n">
        <f>2813</f>
        <v>2813.0</v>
      </c>
      <c r="R255" s="34" t="s">
        <v>51</v>
      </c>
      <c r="S255" s="35" t="n">
        <f>2708.33</f>
        <v>2708.33</v>
      </c>
      <c r="T255" s="32" t="n">
        <f>3310520</f>
        <v>3310520.0</v>
      </c>
      <c r="U255" s="32" t="n">
        <f>927030</f>
        <v>927030.0</v>
      </c>
      <c r="V255" s="32" t="n">
        <f>8908722388</f>
        <v>8.908722388E9</v>
      </c>
      <c r="W255" s="32" t="n">
        <f>2506919248</f>
        <v>2.506919248E9</v>
      </c>
      <c r="X255" s="36" t="n">
        <f>21</f>
        <v>21.0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2627</f>
        <v>2627.0</v>
      </c>
      <c r="L256" s="34" t="s">
        <v>48</v>
      </c>
      <c r="M256" s="33" t="n">
        <f>2689</f>
        <v>2689.0</v>
      </c>
      <c r="N256" s="34" t="s">
        <v>95</v>
      </c>
      <c r="O256" s="33" t="n">
        <f>2613</f>
        <v>2613.0</v>
      </c>
      <c r="P256" s="34" t="s">
        <v>50</v>
      </c>
      <c r="Q256" s="33" t="n">
        <f>2655</f>
        <v>2655.0</v>
      </c>
      <c r="R256" s="34" t="s">
        <v>51</v>
      </c>
      <c r="S256" s="35" t="n">
        <f>2650.14</f>
        <v>2650.14</v>
      </c>
      <c r="T256" s="32" t="n">
        <f>2209099</f>
        <v>2209099.0</v>
      </c>
      <c r="U256" s="32" t="n">
        <f>1183000</f>
        <v>1183000.0</v>
      </c>
      <c r="V256" s="32" t="n">
        <f>5827749780</f>
        <v>5.82774978E9</v>
      </c>
      <c r="W256" s="32" t="n">
        <f>3103997333</f>
        <v>3.103997333E9</v>
      </c>
      <c r="X256" s="36" t="n">
        <f>21</f>
        <v>21.0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2227</f>
        <v>2227.0</v>
      </c>
      <c r="L257" s="34" t="s">
        <v>48</v>
      </c>
      <c r="M257" s="33" t="n">
        <f>2260</f>
        <v>2260.0</v>
      </c>
      <c r="N257" s="34" t="s">
        <v>192</v>
      </c>
      <c r="O257" s="33" t="n">
        <f>2156</f>
        <v>2156.0</v>
      </c>
      <c r="P257" s="34" t="s">
        <v>317</v>
      </c>
      <c r="Q257" s="33" t="n">
        <f>2228</f>
        <v>2228.0</v>
      </c>
      <c r="R257" s="34" t="s">
        <v>51</v>
      </c>
      <c r="S257" s="35" t="n">
        <f>2204.52</f>
        <v>2204.52</v>
      </c>
      <c r="T257" s="32" t="n">
        <f>1794120</f>
        <v>1794120.0</v>
      </c>
      <c r="U257" s="32" t="n">
        <f>570010</f>
        <v>570010.0</v>
      </c>
      <c r="V257" s="32" t="n">
        <f>3970724023</f>
        <v>3.970724023E9</v>
      </c>
      <c r="W257" s="32" t="n">
        <f>1271981971</f>
        <v>1.271981971E9</v>
      </c>
      <c r="X257" s="36" t="n">
        <f>21</f>
        <v>21.0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2497</f>
        <v>2497.0</v>
      </c>
      <c r="L258" s="34" t="s">
        <v>48</v>
      </c>
      <c r="M258" s="33" t="n">
        <f>2498</f>
        <v>2498.0</v>
      </c>
      <c r="N258" s="34" t="s">
        <v>50</v>
      </c>
      <c r="O258" s="33" t="n">
        <f>2438</f>
        <v>2438.0</v>
      </c>
      <c r="P258" s="34" t="s">
        <v>321</v>
      </c>
      <c r="Q258" s="33" t="n">
        <f>2465</f>
        <v>2465.0</v>
      </c>
      <c r="R258" s="34" t="s">
        <v>51</v>
      </c>
      <c r="S258" s="35" t="n">
        <f>2460.43</f>
        <v>2460.43</v>
      </c>
      <c r="T258" s="32" t="n">
        <f>13485</f>
        <v>13485.0</v>
      </c>
      <c r="U258" s="32" t="str">
        <f>"－"</f>
        <v>－</v>
      </c>
      <c r="V258" s="32" t="n">
        <f>33258481</f>
        <v>3.3258481E7</v>
      </c>
      <c r="W258" s="32" t="str">
        <f>"－"</f>
        <v>－</v>
      </c>
      <c r="X258" s="36" t="n">
        <f>21</f>
        <v>21.0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2528</f>
        <v>2528.0</v>
      </c>
      <c r="L259" s="34" t="s">
        <v>48</v>
      </c>
      <c r="M259" s="33" t="n">
        <f>2528</f>
        <v>2528.0</v>
      </c>
      <c r="N259" s="34" t="s">
        <v>48</v>
      </c>
      <c r="O259" s="33" t="n">
        <f>2478</f>
        <v>2478.0</v>
      </c>
      <c r="P259" s="34" t="s">
        <v>597</v>
      </c>
      <c r="Q259" s="33" t="n">
        <f>2488</f>
        <v>2488.0</v>
      </c>
      <c r="R259" s="34" t="s">
        <v>51</v>
      </c>
      <c r="S259" s="35" t="n">
        <f>2497.86</f>
        <v>2497.86</v>
      </c>
      <c r="T259" s="32" t="n">
        <f>7646</f>
        <v>7646.0</v>
      </c>
      <c r="U259" s="32" t="str">
        <f>"－"</f>
        <v>－</v>
      </c>
      <c r="V259" s="32" t="n">
        <f>19036598</f>
        <v>1.9036598E7</v>
      </c>
      <c r="W259" s="32" t="str">
        <f>"－"</f>
        <v>－</v>
      </c>
      <c r="X259" s="36" t="n">
        <f>21</f>
        <v>21.0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2953</f>
        <v>2953.0</v>
      </c>
      <c r="L260" s="34" t="s">
        <v>48</v>
      </c>
      <c r="M260" s="33" t="n">
        <f>2956</f>
        <v>2956.0</v>
      </c>
      <c r="N260" s="34" t="s">
        <v>48</v>
      </c>
      <c r="O260" s="33" t="n">
        <f>2749</f>
        <v>2749.0</v>
      </c>
      <c r="P260" s="34" t="s">
        <v>58</v>
      </c>
      <c r="Q260" s="33" t="n">
        <f>2894</f>
        <v>2894.0</v>
      </c>
      <c r="R260" s="34" t="s">
        <v>51</v>
      </c>
      <c r="S260" s="35" t="n">
        <f>2868.19</f>
        <v>2868.19</v>
      </c>
      <c r="T260" s="32" t="n">
        <f>778852</f>
        <v>778852.0</v>
      </c>
      <c r="U260" s="32" t="n">
        <f>60000</f>
        <v>60000.0</v>
      </c>
      <c r="V260" s="32" t="n">
        <f>2208868789</f>
        <v>2.208868789E9</v>
      </c>
      <c r="W260" s="32" t="n">
        <f>166632000</f>
        <v>1.66632E8</v>
      </c>
      <c r="X260" s="36" t="n">
        <f>21</f>
        <v>21.0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2030</f>
        <v>2030.0</v>
      </c>
      <c r="L261" s="34" t="s">
        <v>48</v>
      </c>
      <c r="M261" s="33" t="n">
        <f>2041</f>
        <v>2041.0</v>
      </c>
      <c r="N261" s="34" t="s">
        <v>49</v>
      </c>
      <c r="O261" s="33" t="n">
        <f>1939</f>
        <v>1939.0</v>
      </c>
      <c r="P261" s="34" t="s">
        <v>208</v>
      </c>
      <c r="Q261" s="33" t="n">
        <f>2002</f>
        <v>2002.0</v>
      </c>
      <c r="R261" s="34" t="s">
        <v>51</v>
      </c>
      <c r="S261" s="35" t="n">
        <f>1995.48</f>
        <v>1995.48</v>
      </c>
      <c r="T261" s="32" t="n">
        <f>846401</f>
        <v>846401.0</v>
      </c>
      <c r="U261" s="32" t="str">
        <f>"－"</f>
        <v>－</v>
      </c>
      <c r="V261" s="32" t="n">
        <f>1682153131</f>
        <v>1.682153131E9</v>
      </c>
      <c r="W261" s="32" t="str">
        <f>"－"</f>
        <v>－</v>
      </c>
      <c r="X261" s="36" t="n">
        <f>21</f>
        <v>21.0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2106</f>
        <v>2106.0</v>
      </c>
      <c r="L262" s="34" t="s">
        <v>48</v>
      </c>
      <c r="M262" s="33" t="n">
        <f>2144</f>
        <v>2144.0</v>
      </c>
      <c r="N262" s="34" t="s">
        <v>49</v>
      </c>
      <c r="O262" s="33" t="n">
        <f>1986</f>
        <v>1986.0</v>
      </c>
      <c r="P262" s="34" t="s">
        <v>50</v>
      </c>
      <c r="Q262" s="33" t="n">
        <f>2083</f>
        <v>2083.0</v>
      </c>
      <c r="R262" s="34" t="s">
        <v>51</v>
      </c>
      <c r="S262" s="35" t="n">
        <f>2081.71</f>
        <v>2081.71</v>
      </c>
      <c r="T262" s="32" t="n">
        <f>227775</f>
        <v>227775.0</v>
      </c>
      <c r="U262" s="32" t="str">
        <f>"－"</f>
        <v>－</v>
      </c>
      <c r="V262" s="32" t="n">
        <f>470626706</f>
        <v>4.70626706E8</v>
      </c>
      <c r="W262" s="32" t="str">
        <f>"－"</f>
        <v>－</v>
      </c>
      <c r="X262" s="36" t="n">
        <f>21</f>
        <v>21.0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2322</f>
        <v>2322.0</v>
      </c>
      <c r="L263" s="34" t="s">
        <v>48</v>
      </c>
      <c r="M263" s="33" t="n">
        <f>2389</f>
        <v>2389.0</v>
      </c>
      <c r="N263" s="34" t="s">
        <v>49</v>
      </c>
      <c r="O263" s="33" t="n">
        <f>2233</f>
        <v>2233.0</v>
      </c>
      <c r="P263" s="34" t="s">
        <v>50</v>
      </c>
      <c r="Q263" s="33" t="n">
        <f>2265</f>
        <v>2265.0</v>
      </c>
      <c r="R263" s="34" t="s">
        <v>51</v>
      </c>
      <c r="S263" s="35" t="n">
        <f>2308.05</f>
        <v>2308.05</v>
      </c>
      <c r="T263" s="32" t="n">
        <f>567025</f>
        <v>567025.0</v>
      </c>
      <c r="U263" s="32" t="str">
        <f>"－"</f>
        <v>－</v>
      </c>
      <c r="V263" s="32" t="n">
        <f>1302835724</f>
        <v>1.302835724E9</v>
      </c>
      <c r="W263" s="32" t="str">
        <f>"－"</f>
        <v>－</v>
      </c>
      <c r="X263" s="36" t="n">
        <f>21</f>
        <v>21.0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2391</f>
        <v>2391.0</v>
      </c>
      <c r="L264" s="34" t="s">
        <v>48</v>
      </c>
      <c r="M264" s="33" t="n">
        <f>2524</f>
        <v>2524.0</v>
      </c>
      <c r="N264" s="34" t="s">
        <v>74</v>
      </c>
      <c r="O264" s="33" t="n">
        <f>2320</f>
        <v>2320.0</v>
      </c>
      <c r="P264" s="34" t="s">
        <v>50</v>
      </c>
      <c r="Q264" s="33" t="n">
        <f>2513</f>
        <v>2513.0</v>
      </c>
      <c r="R264" s="34" t="s">
        <v>51</v>
      </c>
      <c r="S264" s="35" t="n">
        <f>2422.57</f>
        <v>2422.57</v>
      </c>
      <c r="T264" s="32" t="n">
        <f>37115</f>
        <v>37115.0</v>
      </c>
      <c r="U264" s="32" t="str">
        <f>"－"</f>
        <v>－</v>
      </c>
      <c r="V264" s="32" t="n">
        <f>89788074</f>
        <v>8.9788074E7</v>
      </c>
      <c r="W264" s="32" t="str">
        <f>"－"</f>
        <v>－</v>
      </c>
      <c r="X264" s="36" t="n">
        <f>21</f>
        <v>21.0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2627</f>
        <v>2627.0</v>
      </c>
      <c r="L265" s="34" t="s">
        <v>48</v>
      </c>
      <c r="M265" s="33" t="n">
        <f>2825</f>
        <v>2825.0</v>
      </c>
      <c r="N265" s="34" t="s">
        <v>62</v>
      </c>
      <c r="O265" s="33" t="n">
        <f>2538</f>
        <v>2538.0</v>
      </c>
      <c r="P265" s="34" t="s">
        <v>50</v>
      </c>
      <c r="Q265" s="33" t="n">
        <f>2748</f>
        <v>2748.0</v>
      </c>
      <c r="R265" s="34" t="s">
        <v>51</v>
      </c>
      <c r="S265" s="35" t="n">
        <f>2693.38</f>
        <v>2693.38</v>
      </c>
      <c r="T265" s="32" t="n">
        <f>13213</f>
        <v>13213.0</v>
      </c>
      <c r="U265" s="32" t="str">
        <f>"－"</f>
        <v>－</v>
      </c>
      <c r="V265" s="32" t="n">
        <f>35604800</f>
        <v>3.56048E7</v>
      </c>
      <c r="W265" s="32" t="str">
        <f>"－"</f>
        <v>－</v>
      </c>
      <c r="X265" s="36" t="n">
        <f>21</f>
        <v>21.0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11160</f>
        <v>11160.0</v>
      </c>
      <c r="L266" s="34" t="s">
        <v>48</v>
      </c>
      <c r="M266" s="33" t="n">
        <f>11850</f>
        <v>11850.0</v>
      </c>
      <c r="N266" s="34" t="s">
        <v>72</v>
      </c>
      <c r="O266" s="33" t="n">
        <f>11050</f>
        <v>11050.0</v>
      </c>
      <c r="P266" s="34" t="s">
        <v>48</v>
      </c>
      <c r="Q266" s="33" t="n">
        <f>11820</f>
        <v>11820.0</v>
      </c>
      <c r="R266" s="34" t="s">
        <v>51</v>
      </c>
      <c r="S266" s="35" t="n">
        <f>11484.76</f>
        <v>11484.76</v>
      </c>
      <c r="T266" s="32" t="n">
        <f>519188</f>
        <v>519188.0</v>
      </c>
      <c r="U266" s="32" t="n">
        <f>64804</f>
        <v>64804.0</v>
      </c>
      <c r="V266" s="32" t="n">
        <f>5885406907</f>
        <v>5.885406907E9</v>
      </c>
      <c r="W266" s="32" t="n">
        <f>757513507</f>
        <v>7.57513507E8</v>
      </c>
      <c r="X266" s="36" t="n">
        <f>21</f>
        <v>21.0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11810</f>
        <v>11810.0</v>
      </c>
      <c r="L267" s="34" t="s">
        <v>48</v>
      </c>
      <c r="M267" s="33" t="n">
        <f>12830</f>
        <v>12830.0</v>
      </c>
      <c r="N267" s="34" t="s">
        <v>51</v>
      </c>
      <c r="O267" s="33" t="n">
        <f>11510</f>
        <v>11510.0</v>
      </c>
      <c r="P267" s="34" t="s">
        <v>50</v>
      </c>
      <c r="Q267" s="33" t="n">
        <f>12790</f>
        <v>12790.0</v>
      </c>
      <c r="R267" s="34" t="s">
        <v>51</v>
      </c>
      <c r="S267" s="35" t="n">
        <f>12271.43</f>
        <v>12271.43</v>
      </c>
      <c r="T267" s="32" t="n">
        <f>663560</f>
        <v>663560.0</v>
      </c>
      <c r="U267" s="32" t="n">
        <f>1</f>
        <v>1.0</v>
      </c>
      <c r="V267" s="32" t="n">
        <f>8093745830</f>
        <v>8.09374583E9</v>
      </c>
      <c r="W267" s="32" t="n">
        <f>12780</f>
        <v>12780.0</v>
      </c>
      <c r="X267" s="36" t="n">
        <f>21</f>
        <v>21.0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11140</f>
        <v>11140.0</v>
      </c>
      <c r="L268" s="34" t="s">
        <v>48</v>
      </c>
      <c r="M268" s="33" t="n">
        <f>11880</f>
        <v>11880.0</v>
      </c>
      <c r="N268" s="34" t="s">
        <v>51</v>
      </c>
      <c r="O268" s="33" t="n">
        <f>10900</f>
        <v>10900.0</v>
      </c>
      <c r="P268" s="34" t="s">
        <v>50</v>
      </c>
      <c r="Q268" s="33" t="n">
        <f>11830</f>
        <v>11830.0</v>
      </c>
      <c r="R268" s="34" t="s">
        <v>51</v>
      </c>
      <c r="S268" s="35" t="n">
        <f>11401.43</f>
        <v>11401.43</v>
      </c>
      <c r="T268" s="32" t="n">
        <f>152340</f>
        <v>152340.0</v>
      </c>
      <c r="U268" s="32" t="n">
        <f>13500</f>
        <v>13500.0</v>
      </c>
      <c r="V268" s="32" t="n">
        <f>1733783939</f>
        <v>1.733783939E9</v>
      </c>
      <c r="W268" s="32" t="n">
        <f>151746189</f>
        <v>1.51746189E8</v>
      </c>
      <c r="X268" s="36" t="n">
        <f>21</f>
        <v>21.0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2224</f>
        <v>2224.0</v>
      </c>
      <c r="L269" s="34" t="s">
        <v>48</v>
      </c>
      <c r="M269" s="33" t="n">
        <f>2420</f>
        <v>2420.0</v>
      </c>
      <c r="N269" s="34" t="s">
        <v>74</v>
      </c>
      <c r="O269" s="33" t="n">
        <f>2195</f>
        <v>2195.0</v>
      </c>
      <c r="P269" s="34" t="s">
        <v>50</v>
      </c>
      <c r="Q269" s="33" t="n">
        <f>2404</f>
        <v>2404.0</v>
      </c>
      <c r="R269" s="34" t="s">
        <v>51</v>
      </c>
      <c r="S269" s="35" t="n">
        <f>2324.43</f>
        <v>2324.43</v>
      </c>
      <c r="T269" s="32" t="n">
        <f>738680</f>
        <v>738680.0</v>
      </c>
      <c r="U269" s="32" t="n">
        <f>20</f>
        <v>20.0</v>
      </c>
      <c r="V269" s="32" t="n">
        <f>1710317520</f>
        <v>1.71031752E9</v>
      </c>
      <c r="W269" s="32" t="n">
        <f>47440</f>
        <v>47440.0</v>
      </c>
      <c r="X269" s="36" t="n">
        <f>21</f>
        <v>21.0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2179</f>
        <v>2179.0</v>
      </c>
      <c r="L270" s="34" t="s">
        <v>48</v>
      </c>
      <c r="M270" s="33" t="n">
        <f>2315</f>
        <v>2315.0</v>
      </c>
      <c r="N270" s="34" t="s">
        <v>72</v>
      </c>
      <c r="O270" s="33" t="n">
        <f>2159</f>
        <v>2159.0</v>
      </c>
      <c r="P270" s="34" t="s">
        <v>48</v>
      </c>
      <c r="Q270" s="33" t="n">
        <f>2312</f>
        <v>2312.0</v>
      </c>
      <c r="R270" s="34" t="s">
        <v>51</v>
      </c>
      <c r="S270" s="35" t="n">
        <f>2243.9</f>
        <v>2243.9</v>
      </c>
      <c r="T270" s="32" t="n">
        <f>2707780</f>
        <v>2707780.0</v>
      </c>
      <c r="U270" s="32" t="n">
        <f>1146040</f>
        <v>1146040.0</v>
      </c>
      <c r="V270" s="32" t="n">
        <f>6179416312</f>
        <v>6.179416312E9</v>
      </c>
      <c r="W270" s="32" t="n">
        <f>2626134622</f>
        <v>2.626134622E9</v>
      </c>
      <c r="X270" s="36" t="n">
        <f>21</f>
        <v>21.0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2237</f>
        <v>2237.0</v>
      </c>
      <c r="L271" s="34" t="s">
        <v>48</v>
      </c>
      <c r="M271" s="33" t="n">
        <f>2467</f>
        <v>2467.0</v>
      </c>
      <c r="N271" s="34" t="s">
        <v>74</v>
      </c>
      <c r="O271" s="33" t="n">
        <f>2211</f>
        <v>2211.0</v>
      </c>
      <c r="P271" s="34" t="s">
        <v>48</v>
      </c>
      <c r="Q271" s="33" t="n">
        <f>2443</f>
        <v>2443.0</v>
      </c>
      <c r="R271" s="34" t="s">
        <v>51</v>
      </c>
      <c r="S271" s="35" t="n">
        <f>2346.57</f>
        <v>2346.57</v>
      </c>
      <c r="T271" s="32" t="n">
        <f>39040</f>
        <v>39040.0</v>
      </c>
      <c r="U271" s="32" t="str">
        <f>"－"</f>
        <v>－</v>
      </c>
      <c r="V271" s="32" t="n">
        <f>92238920</f>
        <v>9.223892E7</v>
      </c>
      <c r="W271" s="32" t="str">
        <f>"－"</f>
        <v>－</v>
      </c>
      <c r="X271" s="36" t="n">
        <f>21</f>
        <v>21.0</v>
      </c>
    </row>
    <row r="272">
      <c r="A272" s="27" t="s">
        <v>42</v>
      </c>
      <c r="B272" s="27" t="s">
        <v>866</v>
      </c>
      <c r="C272" s="27" t="s">
        <v>867</v>
      </c>
      <c r="D272" s="27" t="s">
        <v>868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2825</f>
        <v>2825.0</v>
      </c>
      <c r="L272" s="34" t="s">
        <v>48</v>
      </c>
      <c r="M272" s="33" t="n">
        <f>2865</f>
        <v>2865.0</v>
      </c>
      <c r="N272" s="34" t="s">
        <v>49</v>
      </c>
      <c r="O272" s="33" t="n">
        <f>2687</f>
        <v>2687.0</v>
      </c>
      <c r="P272" s="34" t="s">
        <v>50</v>
      </c>
      <c r="Q272" s="33" t="n">
        <f>2805</f>
        <v>2805.0</v>
      </c>
      <c r="R272" s="34" t="s">
        <v>51</v>
      </c>
      <c r="S272" s="35" t="n">
        <f>2786.1</f>
        <v>2786.1</v>
      </c>
      <c r="T272" s="32" t="n">
        <f>63245</f>
        <v>63245.0</v>
      </c>
      <c r="U272" s="32" t="str">
        <f>"－"</f>
        <v>－</v>
      </c>
      <c r="V272" s="32" t="n">
        <f>174736786</f>
        <v>1.74736786E8</v>
      </c>
      <c r="W272" s="32" t="str">
        <f>"－"</f>
        <v>－</v>
      </c>
      <c r="X272" s="36" t="n">
        <f>21</f>
        <v>21.0</v>
      </c>
    </row>
    <row r="273">
      <c r="A273" s="27" t="s">
        <v>42</v>
      </c>
      <c r="B273" s="27" t="s">
        <v>869</v>
      </c>
      <c r="C273" s="27" t="s">
        <v>870</v>
      </c>
      <c r="D273" s="27" t="s">
        <v>871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1737</f>
        <v>1737.0</v>
      </c>
      <c r="L273" s="34" t="s">
        <v>48</v>
      </c>
      <c r="M273" s="33" t="n">
        <f>1827</f>
        <v>1827.0</v>
      </c>
      <c r="N273" s="34" t="s">
        <v>49</v>
      </c>
      <c r="O273" s="33" t="n">
        <f>1625</f>
        <v>1625.0</v>
      </c>
      <c r="P273" s="34" t="s">
        <v>50</v>
      </c>
      <c r="Q273" s="33" t="n">
        <f>1787</f>
        <v>1787.0</v>
      </c>
      <c r="R273" s="34" t="s">
        <v>51</v>
      </c>
      <c r="S273" s="35" t="n">
        <f>1741.43</f>
        <v>1741.43</v>
      </c>
      <c r="T273" s="32" t="n">
        <f>170995</f>
        <v>170995.0</v>
      </c>
      <c r="U273" s="32" t="str">
        <f>"－"</f>
        <v>－</v>
      </c>
      <c r="V273" s="32" t="n">
        <f>294993110</f>
        <v>2.9499311E8</v>
      </c>
      <c r="W273" s="32" t="str">
        <f>"－"</f>
        <v>－</v>
      </c>
      <c r="X273" s="36" t="n">
        <f>21</f>
        <v>21.0</v>
      </c>
    </row>
    <row r="274">
      <c r="A274" s="27" t="s">
        <v>42</v>
      </c>
      <c r="B274" s="27" t="s">
        <v>872</v>
      </c>
      <c r="C274" s="27" t="s">
        <v>873</v>
      </c>
      <c r="D274" s="27" t="s">
        <v>874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2337</f>
        <v>2337.0</v>
      </c>
      <c r="L274" s="34" t="s">
        <v>48</v>
      </c>
      <c r="M274" s="33" t="n">
        <f>2373</f>
        <v>2373.0</v>
      </c>
      <c r="N274" s="34" t="s">
        <v>49</v>
      </c>
      <c r="O274" s="33" t="n">
        <f>2195</f>
        <v>2195.0</v>
      </c>
      <c r="P274" s="34" t="s">
        <v>58</v>
      </c>
      <c r="Q274" s="33" t="n">
        <f>2268</f>
        <v>2268.0</v>
      </c>
      <c r="R274" s="34" t="s">
        <v>51</v>
      </c>
      <c r="S274" s="35" t="n">
        <f>2277.67</f>
        <v>2277.67</v>
      </c>
      <c r="T274" s="32" t="n">
        <f>97779</f>
        <v>97779.0</v>
      </c>
      <c r="U274" s="32" t="str">
        <f>"－"</f>
        <v>－</v>
      </c>
      <c r="V274" s="32" t="n">
        <f>222475084</f>
        <v>2.22475084E8</v>
      </c>
      <c r="W274" s="32" t="str">
        <f>"－"</f>
        <v>－</v>
      </c>
      <c r="X274" s="36" t="n">
        <f>21</f>
        <v>21.0</v>
      </c>
    </row>
    <row r="275">
      <c r="A275" s="27" t="s">
        <v>42</v>
      </c>
      <c r="B275" s="27" t="s">
        <v>875</v>
      </c>
      <c r="C275" s="27" t="s">
        <v>876</v>
      </c>
      <c r="D275" s="27" t="s">
        <v>877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1946</f>
        <v>1946.0</v>
      </c>
      <c r="L275" s="34" t="s">
        <v>48</v>
      </c>
      <c r="M275" s="33" t="n">
        <f>1955</f>
        <v>1955.0</v>
      </c>
      <c r="N275" s="34" t="s">
        <v>48</v>
      </c>
      <c r="O275" s="33" t="n">
        <f>1825</f>
        <v>1825.0</v>
      </c>
      <c r="P275" s="34" t="s">
        <v>58</v>
      </c>
      <c r="Q275" s="33" t="n">
        <f>1857</f>
        <v>1857.0</v>
      </c>
      <c r="R275" s="34" t="s">
        <v>51</v>
      </c>
      <c r="S275" s="35" t="n">
        <f>1868.67</f>
        <v>1868.67</v>
      </c>
      <c r="T275" s="32" t="n">
        <f>101123</f>
        <v>101123.0</v>
      </c>
      <c r="U275" s="32" t="str">
        <f>"－"</f>
        <v>－</v>
      </c>
      <c r="V275" s="32" t="n">
        <f>189303454</f>
        <v>1.89303454E8</v>
      </c>
      <c r="W275" s="32" t="str">
        <f>"－"</f>
        <v>－</v>
      </c>
      <c r="X275" s="36" t="n">
        <f>21</f>
        <v>21.0</v>
      </c>
    </row>
    <row r="276">
      <c r="A276" s="27" t="s">
        <v>42</v>
      </c>
      <c r="B276" s="27" t="s">
        <v>878</v>
      </c>
      <c r="C276" s="27" t="s">
        <v>879</v>
      </c>
      <c r="D276" s="27" t="s">
        <v>880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2549</f>
        <v>2549.0</v>
      </c>
      <c r="L276" s="34" t="s">
        <v>48</v>
      </c>
      <c r="M276" s="33" t="n">
        <f>2641</f>
        <v>2641.0</v>
      </c>
      <c r="N276" s="34" t="s">
        <v>49</v>
      </c>
      <c r="O276" s="33" t="n">
        <f>2385</f>
        <v>2385.0</v>
      </c>
      <c r="P276" s="34" t="s">
        <v>50</v>
      </c>
      <c r="Q276" s="33" t="n">
        <f>2542</f>
        <v>2542.0</v>
      </c>
      <c r="R276" s="34" t="s">
        <v>51</v>
      </c>
      <c r="S276" s="35" t="n">
        <f>2538.33</f>
        <v>2538.33</v>
      </c>
      <c r="T276" s="32" t="n">
        <f>129632</f>
        <v>129632.0</v>
      </c>
      <c r="U276" s="32" t="n">
        <f>53</f>
        <v>53.0</v>
      </c>
      <c r="V276" s="32" t="n">
        <f>326602337</f>
        <v>3.26602337E8</v>
      </c>
      <c r="W276" s="32" t="n">
        <f>138383</f>
        <v>138383.0</v>
      </c>
      <c r="X276" s="36" t="n">
        <f>21</f>
        <v>21.0</v>
      </c>
    </row>
    <row r="277">
      <c r="A277" s="27" t="s">
        <v>42</v>
      </c>
      <c r="B277" s="27" t="s">
        <v>881</v>
      </c>
      <c r="C277" s="27" t="s">
        <v>882</v>
      </c>
      <c r="D277" s="27" t="s">
        <v>883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2048</f>
        <v>2048.0</v>
      </c>
      <c r="L277" s="34" t="s">
        <v>48</v>
      </c>
      <c r="M277" s="33" t="n">
        <f>2091</f>
        <v>2091.0</v>
      </c>
      <c r="N277" s="34" t="s">
        <v>49</v>
      </c>
      <c r="O277" s="33" t="n">
        <f>1939</f>
        <v>1939.0</v>
      </c>
      <c r="P277" s="34" t="s">
        <v>58</v>
      </c>
      <c r="Q277" s="33" t="n">
        <f>2081</f>
        <v>2081.0</v>
      </c>
      <c r="R277" s="34" t="s">
        <v>51</v>
      </c>
      <c r="S277" s="35" t="n">
        <f>2033</f>
        <v>2033.0</v>
      </c>
      <c r="T277" s="32" t="n">
        <f>87591</f>
        <v>87591.0</v>
      </c>
      <c r="U277" s="32" t="str">
        <f>"－"</f>
        <v>－</v>
      </c>
      <c r="V277" s="32" t="n">
        <f>179721703</f>
        <v>1.79721703E8</v>
      </c>
      <c r="W277" s="32" t="str">
        <f>"－"</f>
        <v>－</v>
      </c>
      <c r="X277" s="36" t="n">
        <f>21</f>
        <v>21.0</v>
      </c>
    </row>
    <row r="278">
      <c r="A278" s="27" t="s">
        <v>42</v>
      </c>
      <c r="B278" s="27" t="s">
        <v>884</v>
      </c>
      <c r="C278" s="27" t="s">
        <v>885</v>
      </c>
      <c r="D278" s="27" t="s">
        <v>886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26320</f>
        <v>26320.0</v>
      </c>
      <c r="L278" s="34" t="s">
        <v>78</v>
      </c>
      <c r="M278" s="33" t="n">
        <f>26910</f>
        <v>26910.0</v>
      </c>
      <c r="N278" s="34" t="s">
        <v>91</v>
      </c>
      <c r="O278" s="33" t="n">
        <f>25660</f>
        <v>25660.0</v>
      </c>
      <c r="P278" s="34" t="s">
        <v>50</v>
      </c>
      <c r="Q278" s="33" t="n">
        <f>26500</f>
        <v>26500.0</v>
      </c>
      <c r="R278" s="34" t="s">
        <v>192</v>
      </c>
      <c r="S278" s="35" t="n">
        <f>26458.57</f>
        <v>26458.57</v>
      </c>
      <c r="T278" s="32" t="n">
        <f>25</f>
        <v>25.0</v>
      </c>
      <c r="U278" s="32" t="str">
        <f>"－"</f>
        <v>－</v>
      </c>
      <c r="V278" s="32" t="n">
        <f>656330</f>
        <v>656330.0</v>
      </c>
      <c r="W278" s="32" t="str">
        <f>"－"</f>
        <v>－</v>
      </c>
      <c r="X278" s="36" t="n">
        <f>7</f>
        <v>7.0</v>
      </c>
    </row>
    <row r="279">
      <c r="A279" s="27" t="s">
        <v>42</v>
      </c>
      <c r="B279" s="27" t="s">
        <v>887</v>
      </c>
      <c r="C279" s="27" t="s">
        <v>888</v>
      </c>
      <c r="D279" s="27" t="s">
        <v>889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2100</f>
        <v>2100.0</v>
      </c>
      <c r="L279" s="34" t="s">
        <v>48</v>
      </c>
      <c r="M279" s="33" t="n">
        <f>2110</f>
        <v>2110.0</v>
      </c>
      <c r="N279" s="34" t="s">
        <v>95</v>
      </c>
      <c r="O279" s="33" t="n">
        <f>1993</f>
        <v>1993.0</v>
      </c>
      <c r="P279" s="34" t="s">
        <v>58</v>
      </c>
      <c r="Q279" s="33" t="n">
        <f>2083</f>
        <v>2083.0</v>
      </c>
      <c r="R279" s="34" t="s">
        <v>51</v>
      </c>
      <c r="S279" s="35" t="n">
        <f>2064.2</f>
        <v>2064.2</v>
      </c>
      <c r="T279" s="32" t="n">
        <f>73107</f>
        <v>73107.0</v>
      </c>
      <c r="U279" s="32" t="str">
        <f>"－"</f>
        <v>－</v>
      </c>
      <c r="V279" s="32" t="n">
        <f>150315076</f>
        <v>1.50315076E8</v>
      </c>
      <c r="W279" s="32" t="str">
        <f>"－"</f>
        <v>－</v>
      </c>
      <c r="X279" s="36" t="n">
        <f>20</f>
        <v>20.0</v>
      </c>
    </row>
    <row r="280">
      <c r="A280" s="27" t="s">
        <v>42</v>
      </c>
      <c r="B280" s="27" t="s">
        <v>890</v>
      </c>
      <c r="C280" s="27" t="s">
        <v>891</v>
      </c>
      <c r="D280" s="27" t="s">
        <v>892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2325</f>
        <v>2325.0</v>
      </c>
      <c r="L280" s="34" t="s">
        <v>48</v>
      </c>
      <c r="M280" s="33" t="n">
        <f>2369</f>
        <v>2369.0</v>
      </c>
      <c r="N280" s="34" t="s">
        <v>49</v>
      </c>
      <c r="O280" s="33" t="n">
        <f>2109</f>
        <v>2109.0</v>
      </c>
      <c r="P280" s="34" t="s">
        <v>50</v>
      </c>
      <c r="Q280" s="33" t="n">
        <f>2324</f>
        <v>2324.0</v>
      </c>
      <c r="R280" s="34" t="s">
        <v>51</v>
      </c>
      <c r="S280" s="35" t="n">
        <f>2252.1</f>
        <v>2252.1</v>
      </c>
      <c r="T280" s="32" t="n">
        <f>654506</f>
        <v>654506.0</v>
      </c>
      <c r="U280" s="32" t="str">
        <f>"－"</f>
        <v>－</v>
      </c>
      <c r="V280" s="32" t="n">
        <f>1468115179</f>
        <v>1.468115179E9</v>
      </c>
      <c r="W280" s="32" t="str">
        <f>"－"</f>
        <v>－</v>
      </c>
      <c r="X280" s="36" t="n">
        <f>21</f>
        <v>21.0</v>
      </c>
    </row>
    <row r="281">
      <c r="A281" s="27" t="s">
        <v>42</v>
      </c>
      <c r="B281" s="27" t="s">
        <v>893</v>
      </c>
      <c r="C281" s="27" t="s">
        <v>894</v>
      </c>
      <c r="D281" s="27" t="s">
        <v>895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2097</f>
        <v>2097.0</v>
      </c>
      <c r="L281" s="34" t="s">
        <v>48</v>
      </c>
      <c r="M281" s="33" t="n">
        <f>2119</f>
        <v>2119.0</v>
      </c>
      <c r="N281" s="34" t="s">
        <v>78</v>
      </c>
      <c r="O281" s="33" t="n">
        <f>1996</f>
        <v>1996.0</v>
      </c>
      <c r="P281" s="34" t="s">
        <v>58</v>
      </c>
      <c r="Q281" s="33" t="n">
        <f>2066</f>
        <v>2066.0</v>
      </c>
      <c r="R281" s="34" t="s">
        <v>51</v>
      </c>
      <c r="S281" s="35" t="n">
        <f>2067.29</f>
        <v>2067.29</v>
      </c>
      <c r="T281" s="32" t="n">
        <f>150146</f>
        <v>150146.0</v>
      </c>
      <c r="U281" s="32" t="str">
        <f>"－"</f>
        <v>－</v>
      </c>
      <c r="V281" s="32" t="n">
        <f>310953273</f>
        <v>3.10953273E8</v>
      </c>
      <c r="W281" s="32" t="str">
        <f>"－"</f>
        <v>－</v>
      </c>
      <c r="X281" s="36" t="n">
        <f>21</f>
        <v>21.0</v>
      </c>
    </row>
    <row r="282">
      <c r="A282" s="27" t="s">
        <v>42</v>
      </c>
      <c r="B282" s="27" t="s">
        <v>896</v>
      </c>
      <c r="C282" s="27" t="s">
        <v>897</v>
      </c>
      <c r="D282" s="27" t="s">
        <v>898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1376</f>
        <v>1376.0</v>
      </c>
      <c r="L282" s="34" t="s">
        <v>48</v>
      </c>
      <c r="M282" s="33" t="n">
        <f>1468</f>
        <v>1468.0</v>
      </c>
      <c r="N282" s="34" t="s">
        <v>49</v>
      </c>
      <c r="O282" s="33" t="n">
        <f>1322</f>
        <v>1322.0</v>
      </c>
      <c r="P282" s="34" t="s">
        <v>50</v>
      </c>
      <c r="Q282" s="33" t="n">
        <f>1428</f>
        <v>1428.0</v>
      </c>
      <c r="R282" s="34" t="s">
        <v>51</v>
      </c>
      <c r="S282" s="35" t="n">
        <f>1405.95</f>
        <v>1405.95</v>
      </c>
      <c r="T282" s="32" t="n">
        <f>121630</f>
        <v>121630.0</v>
      </c>
      <c r="U282" s="32" t="str">
        <f>"－"</f>
        <v>－</v>
      </c>
      <c r="V282" s="32" t="n">
        <f>166023390</f>
        <v>1.6602339E8</v>
      </c>
      <c r="W282" s="32" t="str">
        <f>"－"</f>
        <v>－</v>
      </c>
      <c r="X282" s="36" t="n">
        <f>21</f>
        <v>21.0</v>
      </c>
    </row>
    <row r="283">
      <c r="A283" s="27" t="s">
        <v>42</v>
      </c>
      <c r="B283" s="27" t="s">
        <v>899</v>
      </c>
      <c r="C283" s="27" t="s">
        <v>900</v>
      </c>
      <c r="D283" s="27" t="s">
        <v>901</v>
      </c>
      <c r="E283" s="28" t="s">
        <v>902</v>
      </c>
      <c r="F283" s="29" t="s">
        <v>903</v>
      </c>
      <c r="G283" s="30" t="s">
        <v>904</v>
      </c>
      <c r="H283" s="31"/>
      <c r="I283" s="31" t="s">
        <v>47</v>
      </c>
      <c r="J283" s="32" t="n">
        <v>10.0</v>
      </c>
      <c r="K283" s="33" t="n">
        <f>5030</f>
        <v>5030.0</v>
      </c>
      <c r="L283" s="34" t="s">
        <v>51</v>
      </c>
      <c r="M283" s="33" t="n">
        <f>5040</f>
        <v>5040.0</v>
      </c>
      <c r="N283" s="34" t="s">
        <v>51</v>
      </c>
      <c r="O283" s="33" t="n">
        <f>5010</f>
        <v>5010.0</v>
      </c>
      <c r="P283" s="34" t="s">
        <v>51</v>
      </c>
      <c r="Q283" s="33" t="n">
        <f>5010</f>
        <v>5010.0</v>
      </c>
      <c r="R283" s="34" t="s">
        <v>51</v>
      </c>
      <c r="S283" s="35" t="n">
        <f>5010</f>
        <v>5010.0</v>
      </c>
      <c r="T283" s="32" t="n">
        <f>180</f>
        <v>180.0</v>
      </c>
      <c r="U283" s="32" t="str">
        <f>"－"</f>
        <v>－</v>
      </c>
      <c r="V283" s="32" t="n">
        <f>904800</f>
        <v>904800.0</v>
      </c>
      <c r="W283" s="32" t="str">
        <f>"－"</f>
        <v>－</v>
      </c>
      <c r="X283" s="36" t="n">
        <f>1</f>
        <v>1.0</v>
      </c>
    </row>
    <row r="284">
      <c r="A284" s="27" t="s">
        <v>42</v>
      </c>
      <c r="B284" s="27" t="s">
        <v>905</v>
      </c>
      <c r="C284" s="27" t="s">
        <v>906</v>
      </c>
      <c r="D284" s="27" t="s">
        <v>907</v>
      </c>
      <c r="E284" s="28" t="s">
        <v>902</v>
      </c>
      <c r="F284" s="29" t="s">
        <v>903</v>
      </c>
      <c r="G284" s="30" t="s">
        <v>904</v>
      </c>
      <c r="H284" s="31"/>
      <c r="I284" s="31" t="s">
        <v>47</v>
      </c>
      <c r="J284" s="32" t="n">
        <v>10.0</v>
      </c>
      <c r="K284" s="33" t="n">
        <f>5020</f>
        <v>5020.0</v>
      </c>
      <c r="L284" s="34" t="s">
        <v>51</v>
      </c>
      <c r="M284" s="33" t="n">
        <f>5030</f>
        <v>5030.0</v>
      </c>
      <c r="N284" s="34" t="s">
        <v>51</v>
      </c>
      <c r="O284" s="33" t="n">
        <f>5020</f>
        <v>5020.0</v>
      </c>
      <c r="P284" s="34" t="s">
        <v>51</v>
      </c>
      <c r="Q284" s="33" t="n">
        <f>5030</f>
        <v>5030.0</v>
      </c>
      <c r="R284" s="34" t="s">
        <v>51</v>
      </c>
      <c r="S284" s="35" t="n">
        <f>5030</f>
        <v>5030.0</v>
      </c>
      <c r="T284" s="32" t="n">
        <f>70</f>
        <v>70.0</v>
      </c>
      <c r="U284" s="32" t="str">
        <f>"－"</f>
        <v>－</v>
      </c>
      <c r="V284" s="32" t="n">
        <f>352000</f>
        <v>352000.0</v>
      </c>
      <c r="W284" s="32" t="str">
        <f>"－"</f>
        <v>－</v>
      </c>
      <c r="X284" s="36" t="n">
        <f>1</f>
        <v>1.0</v>
      </c>
    </row>
    <row r="285">
      <c r="A285" s="27" t="s">
        <v>42</v>
      </c>
      <c r="B285" s="27" t="s">
        <v>908</v>
      </c>
      <c r="C285" s="27" t="s">
        <v>909</v>
      </c>
      <c r="D285" s="27" t="s">
        <v>910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137600</f>
        <v>137600.0</v>
      </c>
      <c r="L285" s="34" t="s">
        <v>48</v>
      </c>
      <c r="M285" s="33" t="n">
        <f>141800</f>
        <v>141800.0</v>
      </c>
      <c r="N285" s="34" t="s">
        <v>488</v>
      </c>
      <c r="O285" s="33" t="n">
        <f>134400</f>
        <v>134400.0</v>
      </c>
      <c r="P285" s="34" t="s">
        <v>50</v>
      </c>
      <c r="Q285" s="33" t="n">
        <f>141200</f>
        <v>141200.0</v>
      </c>
      <c r="R285" s="34" t="s">
        <v>51</v>
      </c>
      <c r="S285" s="35" t="n">
        <f>138785.71</f>
        <v>138785.71</v>
      </c>
      <c r="T285" s="32" t="n">
        <f>21689</f>
        <v>21689.0</v>
      </c>
      <c r="U285" s="32" t="n">
        <f>2301</f>
        <v>2301.0</v>
      </c>
      <c r="V285" s="32" t="n">
        <f>3005277148</f>
        <v>3.005277148E9</v>
      </c>
      <c r="W285" s="32" t="n">
        <f>319806248</f>
        <v>3.19806248E8</v>
      </c>
      <c r="X285" s="36" t="n">
        <f>21</f>
        <v>21.0</v>
      </c>
    </row>
    <row r="286">
      <c r="A286" s="27" t="s">
        <v>42</v>
      </c>
      <c r="B286" s="27" t="s">
        <v>911</v>
      </c>
      <c r="C286" s="27" t="s">
        <v>912</v>
      </c>
      <c r="D286" s="27" t="s">
        <v>913</v>
      </c>
      <c r="E286" s="28" t="s">
        <v>46</v>
      </c>
      <c r="F286" s="29" t="s">
        <v>46</v>
      </c>
      <c r="G286" s="30" t="s">
        <v>46</v>
      </c>
      <c r="H286" s="31"/>
      <c r="I286" s="31" t="s">
        <v>622</v>
      </c>
      <c r="J286" s="32" t="n">
        <v>1.0</v>
      </c>
      <c r="K286" s="33" t="n">
        <f>122200</f>
        <v>122200.0</v>
      </c>
      <c r="L286" s="34" t="s">
        <v>48</v>
      </c>
      <c r="M286" s="33" t="n">
        <f>125000</f>
        <v>125000.0</v>
      </c>
      <c r="N286" s="34" t="s">
        <v>51</v>
      </c>
      <c r="O286" s="33" t="n">
        <f>117100</f>
        <v>117100.0</v>
      </c>
      <c r="P286" s="34" t="s">
        <v>50</v>
      </c>
      <c r="Q286" s="33" t="n">
        <f>125000</f>
        <v>125000.0</v>
      </c>
      <c r="R286" s="34" t="s">
        <v>51</v>
      </c>
      <c r="S286" s="35" t="n">
        <f>121504.76</f>
        <v>121504.76</v>
      </c>
      <c r="T286" s="32" t="n">
        <f>26462</f>
        <v>26462.0</v>
      </c>
      <c r="U286" s="32" t="n">
        <f>4587</f>
        <v>4587.0</v>
      </c>
      <c r="V286" s="32" t="n">
        <f>3209542179</f>
        <v>3.209542179E9</v>
      </c>
      <c r="W286" s="32" t="n">
        <f>558554379</f>
        <v>5.58554379E8</v>
      </c>
      <c r="X286" s="36" t="n">
        <f>21</f>
        <v>21.0</v>
      </c>
    </row>
    <row r="287">
      <c r="A287" s="27" t="s">
        <v>42</v>
      </c>
      <c r="B287" s="27" t="s">
        <v>914</v>
      </c>
      <c r="C287" s="27" t="s">
        <v>915</v>
      </c>
      <c r="D287" s="27" t="s">
        <v>916</v>
      </c>
      <c r="E287" s="28" t="s">
        <v>46</v>
      </c>
      <c r="F287" s="29" t="s">
        <v>46</v>
      </c>
      <c r="G287" s="30" t="s">
        <v>46</v>
      </c>
      <c r="H287" s="31"/>
      <c r="I287" s="31" t="s">
        <v>622</v>
      </c>
      <c r="J287" s="32" t="n">
        <v>1.0</v>
      </c>
      <c r="K287" s="33" t="n">
        <f>167100</f>
        <v>167100.0</v>
      </c>
      <c r="L287" s="34" t="s">
        <v>48</v>
      </c>
      <c r="M287" s="33" t="n">
        <f>171800</f>
        <v>171800.0</v>
      </c>
      <c r="N287" s="34" t="s">
        <v>51</v>
      </c>
      <c r="O287" s="33" t="n">
        <f>153600</f>
        <v>153600.0</v>
      </c>
      <c r="P287" s="34" t="s">
        <v>50</v>
      </c>
      <c r="Q287" s="33" t="n">
        <f>171400</f>
        <v>171400.0</v>
      </c>
      <c r="R287" s="34" t="s">
        <v>51</v>
      </c>
      <c r="S287" s="35" t="n">
        <f>165728.57</f>
        <v>165728.57</v>
      </c>
      <c r="T287" s="32" t="n">
        <f>59253</f>
        <v>59253.0</v>
      </c>
      <c r="U287" s="32" t="n">
        <f>11390</f>
        <v>11390.0</v>
      </c>
      <c r="V287" s="32" t="n">
        <f>9760678399</f>
        <v>9.760678399E9</v>
      </c>
      <c r="W287" s="32" t="n">
        <f>1876392799</f>
        <v>1.876392799E9</v>
      </c>
      <c r="X287" s="36" t="n">
        <f>21</f>
        <v>21.0</v>
      </c>
    </row>
    <row r="288">
      <c r="A288" s="27" t="s">
        <v>42</v>
      </c>
      <c r="B288" s="27" t="s">
        <v>917</v>
      </c>
      <c r="C288" s="27" t="s">
        <v>918</v>
      </c>
      <c r="D288" s="27" t="s">
        <v>919</v>
      </c>
      <c r="E288" s="28" t="s">
        <v>46</v>
      </c>
      <c r="F288" s="29" t="s">
        <v>46</v>
      </c>
      <c r="G288" s="30" t="s">
        <v>46</v>
      </c>
      <c r="H288" s="31"/>
      <c r="I288" s="31" t="s">
        <v>622</v>
      </c>
      <c r="J288" s="32" t="n">
        <v>1.0</v>
      </c>
      <c r="K288" s="33" t="n">
        <f>107800</f>
        <v>107800.0</v>
      </c>
      <c r="L288" s="34" t="s">
        <v>48</v>
      </c>
      <c r="M288" s="33" t="n">
        <f>108700</f>
        <v>108700.0</v>
      </c>
      <c r="N288" s="34" t="s">
        <v>51</v>
      </c>
      <c r="O288" s="33" t="n">
        <f>105500</f>
        <v>105500.0</v>
      </c>
      <c r="P288" s="34" t="s">
        <v>50</v>
      </c>
      <c r="Q288" s="33" t="n">
        <f>108200</f>
        <v>108200.0</v>
      </c>
      <c r="R288" s="34" t="s">
        <v>51</v>
      </c>
      <c r="S288" s="35" t="n">
        <f>107280.95</f>
        <v>107280.95</v>
      </c>
      <c r="T288" s="32" t="n">
        <f>22425</f>
        <v>22425.0</v>
      </c>
      <c r="U288" s="32" t="n">
        <f>1676</f>
        <v>1676.0</v>
      </c>
      <c r="V288" s="32" t="n">
        <f>2398590977</f>
        <v>2.398590977E9</v>
      </c>
      <c r="W288" s="32" t="n">
        <f>178918677</f>
        <v>1.78918677E8</v>
      </c>
      <c r="X288" s="36" t="n">
        <f>21</f>
        <v>21.0</v>
      </c>
    </row>
    <row r="289">
      <c r="A289" s="27" t="s">
        <v>42</v>
      </c>
      <c r="B289" s="27" t="s">
        <v>920</v>
      </c>
      <c r="C289" s="27" t="s">
        <v>921</v>
      </c>
      <c r="D289" s="27" t="s">
        <v>922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630000</f>
        <v>630000.0</v>
      </c>
      <c r="L289" s="34" t="s">
        <v>48</v>
      </c>
      <c r="M289" s="33" t="n">
        <f>646000</f>
        <v>646000.0</v>
      </c>
      <c r="N289" s="34" t="s">
        <v>91</v>
      </c>
      <c r="O289" s="33" t="n">
        <f>602000</f>
        <v>602000.0</v>
      </c>
      <c r="P289" s="34" t="s">
        <v>50</v>
      </c>
      <c r="Q289" s="33" t="n">
        <f>635000</f>
        <v>635000.0</v>
      </c>
      <c r="R289" s="34" t="s">
        <v>51</v>
      </c>
      <c r="S289" s="35" t="n">
        <f>627904.76</f>
        <v>627904.76</v>
      </c>
      <c r="T289" s="32" t="n">
        <f>31188</f>
        <v>31188.0</v>
      </c>
      <c r="U289" s="32" t="n">
        <f>7512</f>
        <v>7512.0</v>
      </c>
      <c r="V289" s="32" t="n">
        <f>19540610539</f>
        <v>1.9540610539E10</v>
      </c>
      <c r="W289" s="32" t="n">
        <f>4712651539</f>
        <v>4.712651539E9</v>
      </c>
      <c r="X289" s="36" t="n">
        <f>21</f>
        <v>21.0</v>
      </c>
    </row>
    <row r="290">
      <c r="A290" s="27" t="s">
        <v>42</v>
      </c>
      <c r="B290" s="27" t="s">
        <v>923</v>
      </c>
      <c r="C290" s="27" t="s">
        <v>924</v>
      </c>
      <c r="D290" s="27" t="s">
        <v>925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151000</f>
        <v>151000.0</v>
      </c>
      <c r="L290" s="34" t="s">
        <v>48</v>
      </c>
      <c r="M290" s="33" t="n">
        <f>155000</f>
        <v>155000.0</v>
      </c>
      <c r="N290" s="34" t="s">
        <v>95</v>
      </c>
      <c r="O290" s="33" t="n">
        <f>145300</f>
        <v>145300.0</v>
      </c>
      <c r="P290" s="34" t="s">
        <v>50</v>
      </c>
      <c r="Q290" s="33" t="n">
        <f>154400</f>
        <v>154400.0</v>
      </c>
      <c r="R290" s="34" t="s">
        <v>51</v>
      </c>
      <c r="S290" s="35" t="n">
        <f>151252.38</f>
        <v>151252.38</v>
      </c>
      <c r="T290" s="32" t="n">
        <f>98182</f>
        <v>98182.0</v>
      </c>
      <c r="U290" s="32" t="n">
        <f>19115</f>
        <v>19115.0</v>
      </c>
      <c r="V290" s="32" t="n">
        <f>14813822921</f>
        <v>1.4813822921E10</v>
      </c>
      <c r="W290" s="32" t="n">
        <f>2890038521</f>
        <v>2.890038521E9</v>
      </c>
      <c r="X290" s="36" t="n">
        <f>21</f>
        <v>21.0</v>
      </c>
    </row>
    <row r="291">
      <c r="A291" s="27" t="s">
        <v>42</v>
      </c>
      <c r="B291" s="27" t="s">
        <v>926</v>
      </c>
      <c r="C291" s="27" t="s">
        <v>927</v>
      </c>
      <c r="D291" s="27" t="s">
        <v>928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202700</f>
        <v>202700.0</v>
      </c>
      <c r="L291" s="34" t="s">
        <v>48</v>
      </c>
      <c r="M291" s="33" t="n">
        <f>211100</f>
        <v>211100.0</v>
      </c>
      <c r="N291" s="34" t="s">
        <v>91</v>
      </c>
      <c r="O291" s="33" t="n">
        <f>192200</f>
        <v>192200.0</v>
      </c>
      <c r="P291" s="34" t="s">
        <v>50</v>
      </c>
      <c r="Q291" s="33" t="n">
        <f>208500</f>
        <v>208500.0</v>
      </c>
      <c r="R291" s="34" t="s">
        <v>51</v>
      </c>
      <c r="S291" s="35" t="n">
        <f>203914.29</f>
        <v>203914.29</v>
      </c>
      <c r="T291" s="32" t="n">
        <f>116426</f>
        <v>116426.0</v>
      </c>
      <c r="U291" s="32" t="n">
        <f>20911</f>
        <v>20911.0</v>
      </c>
      <c r="V291" s="32" t="n">
        <f>23666260574</f>
        <v>2.3666260574E10</v>
      </c>
      <c r="W291" s="32" t="n">
        <f>4249206774</f>
        <v>4.249206774E9</v>
      </c>
      <c r="X291" s="36" t="n">
        <f>21</f>
        <v>21.0</v>
      </c>
    </row>
    <row r="292">
      <c r="A292" s="27" t="s">
        <v>42</v>
      </c>
      <c r="B292" s="27" t="s">
        <v>929</v>
      </c>
      <c r="C292" s="27" t="s">
        <v>930</v>
      </c>
      <c r="D292" s="27" t="s">
        <v>931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363500</f>
        <v>363500.0</v>
      </c>
      <c r="L292" s="34" t="s">
        <v>48</v>
      </c>
      <c r="M292" s="33" t="n">
        <f>380000</f>
        <v>380000.0</v>
      </c>
      <c r="N292" s="34" t="s">
        <v>91</v>
      </c>
      <c r="O292" s="33" t="n">
        <f>341500</f>
        <v>341500.0</v>
      </c>
      <c r="P292" s="34" t="s">
        <v>50</v>
      </c>
      <c r="Q292" s="33" t="n">
        <f>374000</f>
        <v>374000.0</v>
      </c>
      <c r="R292" s="34" t="s">
        <v>51</v>
      </c>
      <c r="S292" s="35" t="n">
        <f>363904.76</f>
        <v>363904.76</v>
      </c>
      <c r="T292" s="32" t="n">
        <f>78219</f>
        <v>78219.0</v>
      </c>
      <c r="U292" s="32" t="n">
        <f>18447</f>
        <v>18447.0</v>
      </c>
      <c r="V292" s="32" t="n">
        <f>28389866480</f>
        <v>2.838986648E10</v>
      </c>
      <c r="W292" s="32" t="n">
        <f>6695796480</f>
        <v>6.69579648E9</v>
      </c>
      <c r="X292" s="36" t="n">
        <f>21</f>
        <v>21.0</v>
      </c>
    </row>
    <row r="293">
      <c r="A293" s="27" t="s">
        <v>42</v>
      </c>
      <c r="B293" s="27" t="s">
        <v>932</v>
      </c>
      <c r="C293" s="27" t="s">
        <v>933</v>
      </c>
      <c r="D293" s="27" t="s">
        <v>934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217600</f>
        <v>217600.0</v>
      </c>
      <c r="L293" s="34" t="s">
        <v>48</v>
      </c>
      <c r="M293" s="33" t="n">
        <f>223500</f>
        <v>223500.0</v>
      </c>
      <c r="N293" s="34" t="s">
        <v>91</v>
      </c>
      <c r="O293" s="33" t="n">
        <f>208300</f>
        <v>208300.0</v>
      </c>
      <c r="P293" s="34" t="s">
        <v>50</v>
      </c>
      <c r="Q293" s="33" t="n">
        <f>219200</f>
        <v>219200.0</v>
      </c>
      <c r="R293" s="34" t="s">
        <v>51</v>
      </c>
      <c r="S293" s="35" t="n">
        <f>215852.38</f>
        <v>215852.38</v>
      </c>
      <c r="T293" s="32" t="n">
        <f>62576</f>
        <v>62576.0</v>
      </c>
      <c r="U293" s="32" t="n">
        <f>18929</f>
        <v>18929.0</v>
      </c>
      <c r="V293" s="32" t="n">
        <f>13493674951</f>
        <v>1.3493674951E10</v>
      </c>
      <c r="W293" s="32" t="n">
        <f>4089756251</f>
        <v>4.089756251E9</v>
      </c>
      <c r="X293" s="36" t="n">
        <f>21</f>
        <v>21.0</v>
      </c>
    </row>
    <row r="294">
      <c r="A294" s="27" t="s">
        <v>42</v>
      </c>
      <c r="B294" s="27" t="s">
        <v>935</v>
      </c>
      <c r="C294" s="27" t="s">
        <v>936</v>
      </c>
      <c r="D294" s="27" t="s">
        <v>937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458500</f>
        <v>458500.0</v>
      </c>
      <c r="L294" s="34" t="s">
        <v>48</v>
      </c>
      <c r="M294" s="33" t="n">
        <f>473000</f>
        <v>473000.0</v>
      </c>
      <c r="N294" s="34" t="s">
        <v>488</v>
      </c>
      <c r="O294" s="33" t="n">
        <f>443500</f>
        <v>443500.0</v>
      </c>
      <c r="P294" s="34" t="s">
        <v>50</v>
      </c>
      <c r="Q294" s="33" t="n">
        <f>467000</f>
        <v>467000.0</v>
      </c>
      <c r="R294" s="34" t="s">
        <v>51</v>
      </c>
      <c r="S294" s="35" t="n">
        <f>458833.33</f>
        <v>458833.33</v>
      </c>
      <c r="T294" s="32" t="n">
        <f>55024</f>
        <v>55024.0</v>
      </c>
      <c r="U294" s="32" t="n">
        <f>10605</f>
        <v>10605.0</v>
      </c>
      <c r="V294" s="32" t="n">
        <f>25261276362</f>
        <v>2.5261276362E10</v>
      </c>
      <c r="W294" s="32" t="n">
        <f>4875813362</f>
        <v>4.875813362E9</v>
      </c>
      <c r="X294" s="36" t="n">
        <f>21</f>
        <v>21.0</v>
      </c>
    </row>
    <row r="295">
      <c r="A295" s="27" t="s">
        <v>42</v>
      </c>
      <c r="B295" s="27" t="s">
        <v>938</v>
      </c>
      <c r="C295" s="27" t="s">
        <v>939</v>
      </c>
      <c r="D295" s="27" t="s">
        <v>940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184100</f>
        <v>184100.0</v>
      </c>
      <c r="L295" s="34" t="s">
        <v>48</v>
      </c>
      <c r="M295" s="33" t="n">
        <f>189500</f>
        <v>189500.0</v>
      </c>
      <c r="N295" s="34" t="s">
        <v>91</v>
      </c>
      <c r="O295" s="33" t="n">
        <f>175700</f>
        <v>175700.0</v>
      </c>
      <c r="P295" s="34" t="s">
        <v>50</v>
      </c>
      <c r="Q295" s="33" t="n">
        <f>185900</f>
        <v>185900.0</v>
      </c>
      <c r="R295" s="34" t="s">
        <v>51</v>
      </c>
      <c r="S295" s="35" t="n">
        <f>183738.1</f>
        <v>183738.1</v>
      </c>
      <c r="T295" s="32" t="n">
        <f>301620</f>
        <v>301620.0</v>
      </c>
      <c r="U295" s="32" t="n">
        <f>93105</f>
        <v>93105.0</v>
      </c>
      <c r="V295" s="32" t="n">
        <f>55249365876</f>
        <v>5.5249365876E10</v>
      </c>
      <c r="W295" s="32" t="n">
        <f>17025106076</f>
        <v>1.7025106076E10</v>
      </c>
      <c r="X295" s="36" t="n">
        <f>21</f>
        <v>21.0</v>
      </c>
    </row>
    <row r="296">
      <c r="A296" s="27" t="s">
        <v>42</v>
      </c>
      <c r="B296" s="27" t="s">
        <v>941</v>
      </c>
      <c r="C296" s="27" t="s">
        <v>942</v>
      </c>
      <c r="D296" s="27" t="s">
        <v>943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345500</f>
        <v>345500.0</v>
      </c>
      <c r="L296" s="34" t="s">
        <v>48</v>
      </c>
      <c r="M296" s="33" t="n">
        <f>346500</f>
        <v>346500.0</v>
      </c>
      <c r="N296" s="34" t="s">
        <v>48</v>
      </c>
      <c r="O296" s="33" t="n">
        <f>319500</f>
        <v>319500.0</v>
      </c>
      <c r="P296" s="34" t="s">
        <v>50</v>
      </c>
      <c r="Q296" s="33" t="n">
        <f>332000</f>
        <v>332000.0</v>
      </c>
      <c r="R296" s="34" t="s">
        <v>51</v>
      </c>
      <c r="S296" s="35" t="n">
        <f>331452.38</f>
        <v>331452.38</v>
      </c>
      <c r="T296" s="32" t="n">
        <f>57916</f>
        <v>57916.0</v>
      </c>
      <c r="U296" s="32" t="n">
        <f>12855</f>
        <v>12855.0</v>
      </c>
      <c r="V296" s="32" t="n">
        <f>19163653166</f>
        <v>1.9163653166E10</v>
      </c>
      <c r="W296" s="32" t="n">
        <f>4250803166</f>
        <v>4.250803166E9</v>
      </c>
      <c r="X296" s="36" t="n">
        <f>21</f>
        <v>21.0</v>
      </c>
    </row>
    <row r="297">
      <c r="A297" s="27" t="s">
        <v>42</v>
      </c>
      <c r="B297" s="27" t="s">
        <v>944</v>
      </c>
      <c r="C297" s="27" t="s">
        <v>945</v>
      </c>
      <c r="D297" s="27" t="s">
        <v>946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378000</f>
        <v>378000.0</v>
      </c>
      <c r="L297" s="34" t="s">
        <v>48</v>
      </c>
      <c r="M297" s="33" t="n">
        <f>384500</f>
        <v>384500.0</v>
      </c>
      <c r="N297" s="34" t="s">
        <v>72</v>
      </c>
      <c r="O297" s="33" t="n">
        <f>354500</f>
        <v>354500.0</v>
      </c>
      <c r="P297" s="34" t="s">
        <v>50</v>
      </c>
      <c r="Q297" s="33" t="n">
        <f>380500</f>
        <v>380500.0</v>
      </c>
      <c r="R297" s="34" t="s">
        <v>51</v>
      </c>
      <c r="S297" s="35" t="n">
        <f>372071.43</f>
        <v>372071.43</v>
      </c>
      <c r="T297" s="32" t="n">
        <f>127312</f>
        <v>127312.0</v>
      </c>
      <c r="U297" s="32" t="n">
        <f>22333</f>
        <v>22333.0</v>
      </c>
      <c r="V297" s="32" t="n">
        <f>47269289695</f>
        <v>4.7269289695E10</v>
      </c>
      <c r="W297" s="32" t="n">
        <f>8303750695</f>
        <v>8.303750695E9</v>
      </c>
      <c r="X297" s="36" t="n">
        <f>21</f>
        <v>21.0</v>
      </c>
    </row>
    <row r="298">
      <c r="A298" s="27" t="s">
        <v>42</v>
      </c>
      <c r="B298" s="27" t="s">
        <v>947</v>
      </c>
      <c r="C298" s="27" t="s">
        <v>948</v>
      </c>
      <c r="D298" s="27" t="s">
        <v>949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736000</f>
        <v>736000.0</v>
      </c>
      <c r="L298" s="34" t="s">
        <v>48</v>
      </c>
      <c r="M298" s="33" t="n">
        <f>745000</f>
        <v>745000.0</v>
      </c>
      <c r="N298" s="34" t="s">
        <v>51</v>
      </c>
      <c r="O298" s="33" t="n">
        <f>702000</f>
        <v>702000.0</v>
      </c>
      <c r="P298" s="34" t="s">
        <v>50</v>
      </c>
      <c r="Q298" s="33" t="n">
        <f>743000</f>
        <v>743000.0</v>
      </c>
      <c r="R298" s="34" t="s">
        <v>51</v>
      </c>
      <c r="S298" s="35" t="n">
        <f>727857.14</f>
        <v>727857.14</v>
      </c>
      <c r="T298" s="32" t="n">
        <f>17888</f>
        <v>17888.0</v>
      </c>
      <c r="U298" s="32" t="n">
        <f>2242</f>
        <v>2242.0</v>
      </c>
      <c r="V298" s="32" t="n">
        <f>12978699304</f>
        <v>1.2978699304E10</v>
      </c>
      <c r="W298" s="32" t="n">
        <f>1628379304</f>
        <v>1.628379304E9</v>
      </c>
      <c r="X298" s="36" t="n">
        <f>21</f>
        <v>21.0</v>
      </c>
    </row>
    <row r="299">
      <c r="A299" s="27" t="s">
        <v>42</v>
      </c>
      <c r="B299" s="27" t="s">
        <v>950</v>
      </c>
      <c r="C299" s="27" t="s">
        <v>951</v>
      </c>
      <c r="D299" s="27" t="s">
        <v>952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296500</f>
        <v>296500.0</v>
      </c>
      <c r="L299" s="34" t="s">
        <v>48</v>
      </c>
      <c r="M299" s="33" t="n">
        <f>306500</f>
        <v>306500.0</v>
      </c>
      <c r="N299" s="34" t="s">
        <v>51</v>
      </c>
      <c r="O299" s="33" t="n">
        <f>286300</f>
        <v>286300.0</v>
      </c>
      <c r="P299" s="34" t="s">
        <v>50</v>
      </c>
      <c r="Q299" s="33" t="n">
        <f>305500</f>
        <v>305500.0</v>
      </c>
      <c r="R299" s="34" t="s">
        <v>51</v>
      </c>
      <c r="S299" s="35" t="n">
        <f>297923.81</f>
        <v>297923.81</v>
      </c>
      <c r="T299" s="32" t="n">
        <f>22868</f>
        <v>22868.0</v>
      </c>
      <c r="U299" s="32" t="n">
        <f>3095</f>
        <v>3095.0</v>
      </c>
      <c r="V299" s="32" t="n">
        <f>6778129906</f>
        <v>6.778129906E9</v>
      </c>
      <c r="W299" s="32" t="n">
        <f>916754106</f>
        <v>9.16754106E8</v>
      </c>
      <c r="X299" s="36" t="n">
        <f>21</f>
        <v>21.0</v>
      </c>
    </row>
    <row r="300">
      <c r="A300" s="27" t="s">
        <v>42</v>
      </c>
      <c r="B300" s="27" t="s">
        <v>953</v>
      </c>
      <c r="C300" s="27" t="s">
        <v>954</v>
      </c>
      <c r="D300" s="27" t="s">
        <v>955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149800</f>
        <v>149800.0</v>
      </c>
      <c r="L300" s="34" t="s">
        <v>48</v>
      </c>
      <c r="M300" s="33" t="n">
        <f>156000</f>
        <v>156000.0</v>
      </c>
      <c r="N300" s="34" t="s">
        <v>488</v>
      </c>
      <c r="O300" s="33" t="n">
        <f>145400</f>
        <v>145400.0</v>
      </c>
      <c r="P300" s="34" t="s">
        <v>48</v>
      </c>
      <c r="Q300" s="33" t="n">
        <f>154000</f>
        <v>154000.0</v>
      </c>
      <c r="R300" s="34" t="s">
        <v>51</v>
      </c>
      <c r="S300" s="35" t="n">
        <f>151657.14</f>
        <v>151657.14</v>
      </c>
      <c r="T300" s="32" t="n">
        <f>164989</f>
        <v>164989.0</v>
      </c>
      <c r="U300" s="32" t="n">
        <f>60687</f>
        <v>60687.0</v>
      </c>
      <c r="V300" s="32" t="n">
        <f>24939270942</f>
        <v>2.4939270942E10</v>
      </c>
      <c r="W300" s="32" t="n">
        <f>9140053642</f>
        <v>9.140053642E9</v>
      </c>
      <c r="X300" s="36" t="n">
        <f>21</f>
        <v>21.0</v>
      </c>
    </row>
    <row r="301">
      <c r="A301" s="27" t="s">
        <v>42</v>
      </c>
      <c r="B301" s="27" t="s">
        <v>956</v>
      </c>
      <c r="C301" s="27" t="s">
        <v>957</v>
      </c>
      <c r="D301" s="27" t="s">
        <v>958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175500</f>
        <v>175500.0</v>
      </c>
      <c r="L301" s="34" t="s">
        <v>48</v>
      </c>
      <c r="M301" s="33" t="n">
        <f>180200</f>
        <v>180200.0</v>
      </c>
      <c r="N301" s="34" t="s">
        <v>95</v>
      </c>
      <c r="O301" s="33" t="n">
        <f>168200</f>
        <v>168200.0</v>
      </c>
      <c r="P301" s="34" t="s">
        <v>50</v>
      </c>
      <c r="Q301" s="33" t="n">
        <f>172500</f>
        <v>172500.0</v>
      </c>
      <c r="R301" s="34" t="s">
        <v>51</v>
      </c>
      <c r="S301" s="35" t="n">
        <f>174438.1</f>
        <v>174438.1</v>
      </c>
      <c r="T301" s="32" t="n">
        <f>163057</f>
        <v>163057.0</v>
      </c>
      <c r="U301" s="32" t="n">
        <f>29673</f>
        <v>29673.0</v>
      </c>
      <c r="V301" s="32" t="n">
        <f>28281694626</f>
        <v>2.8281694626E10</v>
      </c>
      <c r="W301" s="32" t="n">
        <f>5142557526</f>
        <v>5.142557526E9</v>
      </c>
      <c r="X301" s="36" t="n">
        <f>21</f>
        <v>21.0</v>
      </c>
    </row>
    <row r="302">
      <c r="A302" s="27" t="s">
        <v>42</v>
      </c>
      <c r="B302" s="27" t="s">
        <v>959</v>
      </c>
      <c r="C302" s="27" t="s">
        <v>960</v>
      </c>
      <c r="D302" s="27" t="s">
        <v>961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434000</f>
        <v>434000.0</v>
      </c>
      <c r="L302" s="34" t="s">
        <v>48</v>
      </c>
      <c r="M302" s="33" t="n">
        <f>439500</f>
        <v>439500.0</v>
      </c>
      <c r="N302" s="34" t="s">
        <v>334</v>
      </c>
      <c r="O302" s="33" t="n">
        <f>411000</f>
        <v>411000.0</v>
      </c>
      <c r="P302" s="34" t="s">
        <v>50</v>
      </c>
      <c r="Q302" s="33" t="n">
        <f>438000</f>
        <v>438000.0</v>
      </c>
      <c r="R302" s="34" t="s">
        <v>51</v>
      </c>
      <c r="S302" s="35" t="n">
        <f>429000</f>
        <v>429000.0</v>
      </c>
      <c r="T302" s="32" t="n">
        <f>31059</f>
        <v>31059.0</v>
      </c>
      <c r="U302" s="32" t="n">
        <f>6192</f>
        <v>6192.0</v>
      </c>
      <c r="V302" s="32" t="n">
        <f>13261115487</f>
        <v>1.3261115487E10</v>
      </c>
      <c r="W302" s="32" t="n">
        <f>2636466487</f>
        <v>2.636466487E9</v>
      </c>
      <c r="X302" s="36" t="n">
        <f>21</f>
        <v>21.0</v>
      </c>
    </row>
    <row r="303">
      <c r="A303" s="27" t="s">
        <v>42</v>
      </c>
      <c r="B303" s="27" t="s">
        <v>962</v>
      </c>
      <c r="C303" s="27" t="s">
        <v>963</v>
      </c>
      <c r="D303" s="27" t="s">
        <v>964</v>
      </c>
      <c r="E303" s="28" t="s">
        <v>46</v>
      </c>
      <c r="F303" s="29" t="s">
        <v>46</v>
      </c>
      <c r="G303" s="30" t="s">
        <v>46</v>
      </c>
      <c r="H303" s="31" t="s">
        <v>105</v>
      </c>
      <c r="I303" s="31"/>
      <c r="J303" s="32" t="n">
        <v>1.0</v>
      </c>
      <c r="K303" s="33" t="n">
        <f>22700</f>
        <v>22700.0</v>
      </c>
      <c r="L303" s="34" t="s">
        <v>48</v>
      </c>
      <c r="M303" s="33" t="n">
        <f>22740</f>
        <v>22740.0</v>
      </c>
      <c r="N303" s="34" t="s">
        <v>50</v>
      </c>
      <c r="O303" s="33" t="n">
        <f>22660</f>
        <v>22660.0</v>
      </c>
      <c r="P303" s="34" t="s">
        <v>95</v>
      </c>
      <c r="Q303" s="33" t="n">
        <f>22680</f>
        <v>22680.0</v>
      </c>
      <c r="R303" s="34" t="s">
        <v>51</v>
      </c>
      <c r="S303" s="35" t="n">
        <f>22685.71</f>
        <v>22685.71</v>
      </c>
      <c r="T303" s="32" t="n">
        <f>1255201</f>
        <v>1255201.0</v>
      </c>
      <c r="U303" s="32" t="n">
        <f>358298</f>
        <v>358298.0</v>
      </c>
      <c r="V303" s="32" t="n">
        <f>28487846824</f>
        <v>2.8487846824E10</v>
      </c>
      <c r="W303" s="32" t="n">
        <f>8133263604</f>
        <v>8.133263604E9</v>
      </c>
      <c r="X303" s="36" t="n">
        <f>21</f>
        <v>21.0</v>
      </c>
    </row>
    <row r="304">
      <c r="A304" s="27" t="s">
        <v>42</v>
      </c>
      <c r="B304" s="27" t="s">
        <v>965</v>
      </c>
      <c r="C304" s="27" t="s">
        <v>966</v>
      </c>
      <c r="D304" s="27" t="s">
        <v>967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92800</f>
        <v>92800.0</v>
      </c>
      <c r="L304" s="34" t="s">
        <v>48</v>
      </c>
      <c r="M304" s="33" t="n">
        <f>94100</f>
        <v>94100.0</v>
      </c>
      <c r="N304" s="34" t="s">
        <v>95</v>
      </c>
      <c r="O304" s="33" t="n">
        <f>85400</f>
        <v>85400.0</v>
      </c>
      <c r="P304" s="34" t="s">
        <v>192</v>
      </c>
      <c r="Q304" s="33" t="n">
        <f>86200</f>
        <v>86200.0</v>
      </c>
      <c r="R304" s="34" t="s">
        <v>51</v>
      </c>
      <c r="S304" s="35" t="n">
        <f>91066.67</f>
        <v>91066.67</v>
      </c>
      <c r="T304" s="32" t="n">
        <f>324042</f>
        <v>324042.0</v>
      </c>
      <c r="U304" s="32" t="n">
        <f>73489</f>
        <v>73489.0</v>
      </c>
      <c r="V304" s="32" t="n">
        <f>29328560495</f>
        <v>2.9328560495E10</v>
      </c>
      <c r="W304" s="32" t="n">
        <f>6671132495</f>
        <v>6.671132495E9</v>
      </c>
      <c r="X304" s="36" t="n">
        <f>21</f>
        <v>21.0</v>
      </c>
    </row>
    <row r="305">
      <c r="A305" s="27" t="s">
        <v>42</v>
      </c>
      <c r="B305" s="27" t="s">
        <v>968</v>
      </c>
      <c r="C305" s="27" t="s">
        <v>969</v>
      </c>
      <c r="D305" s="27" t="s">
        <v>970</v>
      </c>
      <c r="E305" s="28" t="s">
        <v>46</v>
      </c>
      <c r="F305" s="29" t="s">
        <v>46</v>
      </c>
      <c r="G305" s="30" t="s">
        <v>46</v>
      </c>
      <c r="H305" s="31"/>
      <c r="I305" s="31" t="s">
        <v>622</v>
      </c>
      <c r="J305" s="32" t="n">
        <v>1.0</v>
      </c>
      <c r="K305" s="33" t="n">
        <f>137200</f>
        <v>137200.0</v>
      </c>
      <c r="L305" s="34" t="s">
        <v>48</v>
      </c>
      <c r="M305" s="33" t="n">
        <f>139400</f>
        <v>139400.0</v>
      </c>
      <c r="N305" s="34" t="s">
        <v>488</v>
      </c>
      <c r="O305" s="33" t="n">
        <f>130700</f>
        <v>130700.0</v>
      </c>
      <c r="P305" s="34" t="s">
        <v>51</v>
      </c>
      <c r="Q305" s="33" t="n">
        <f>131200</f>
        <v>131200.0</v>
      </c>
      <c r="R305" s="34" t="s">
        <v>51</v>
      </c>
      <c r="S305" s="35" t="n">
        <f>136538.1</f>
        <v>136538.1</v>
      </c>
      <c r="T305" s="32" t="n">
        <f>46505</f>
        <v>46505.0</v>
      </c>
      <c r="U305" s="32" t="n">
        <f>5743</f>
        <v>5743.0</v>
      </c>
      <c r="V305" s="32" t="n">
        <f>6334041340</f>
        <v>6.33404134E9</v>
      </c>
      <c r="W305" s="32" t="n">
        <f>782091840</f>
        <v>7.8209184E8</v>
      </c>
      <c r="X305" s="36" t="n">
        <f>21</f>
        <v>21.0</v>
      </c>
    </row>
    <row r="306">
      <c r="A306" s="27" t="s">
        <v>42</v>
      </c>
      <c r="B306" s="27" t="s">
        <v>971</v>
      </c>
      <c r="C306" s="27" t="s">
        <v>972</v>
      </c>
      <c r="D306" s="27" t="s">
        <v>973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288800</f>
        <v>288800.0</v>
      </c>
      <c r="L306" s="34" t="s">
        <v>48</v>
      </c>
      <c r="M306" s="33" t="n">
        <f>293500</f>
        <v>293500.0</v>
      </c>
      <c r="N306" s="34" t="s">
        <v>488</v>
      </c>
      <c r="O306" s="33" t="n">
        <f>272700</f>
        <v>272700.0</v>
      </c>
      <c r="P306" s="34" t="s">
        <v>50</v>
      </c>
      <c r="Q306" s="33" t="n">
        <f>290600</f>
        <v>290600.0</v>
      </c>
      <c r="R306" s="34" t="s">
        <v>51</v>
      </c>
      <c r="S306" s="35" t="n">
        <f>286423.81</f>
        <v>286423.81</v>
      </c>
      <c r="T306" s="32" t="n">
        <f>54231</f>
        <v>54231.0</v>
      </c>
      <c r="U306" s="32" t="n">
        <f>9387</f>
        <v>9387.0</v>
      </c>
      <c r="V306" s="32" t="n">
        <f>15479626344</f>
        <v>1.5479626344E10</v>
      </c>
      <c r="W306" s="32" t="n">
        <f>2685078144</f>
        <v>2.685078144E9</v>
      </c>
      <c r="X306" s="36" t="n">
        <f>21</f>
        <v>21.0</v>
      </c>
    </row>
    <row r="307">
      <c r="A307" s="27" t="s">
        <v>42</v>
      </c>
      <c r="B307" s="27" t="s">
        <v>974</v>
      </c>
      <c r="C307" s="27" t="s">
        <v>975</v>
      </c>
      <c r="D307" s="27" t="s">
        <v>976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154500</f>
        <v>154500.0</v>
      </c>
      <c r="L307" s="34" t="s">
        <v>48</v>
      </c>
      <c r="M307" s="33" t="n">
        <f>157500</f>
        <v>157500.0</v>
      </c>
      <c r="N307" s="34" t="s">
        <v>179</v>
      </c>
      <c r="O307" s="33" t="n">
        <f>147600</f>
        <v>147600.0</v>
      </c>
      <c r="P307" s="34" t="s">
        <v>50</v>
      </c>
      <c r="Q307" s="33" t="n">
        <f>156500</f>
        <v>156500.0</v>
      </c>
      <c r="R307" s="34" t="s">
        <v>51</v>
      </c>
      <c r="S307" s="35" t="n">
        <f>154252.38</f>
        <v>154252.38</v>
      </c>
      <c r="T307" s="32" t="n">
        <f>17645</f>
        <v>17645.0</v>
      </c>
      <c r="U307" s="32" t="n">
        <f>4789</f>
        <v>4789.0</v>
      </c>
      <c r="V307" s="32" t="n">
        <f>2711285121</f>
        <v>2.711285121E9</v>
      </c>
      <c r="W307" s="32" t="n">
        <f>738592721</f>
        <v>7.38592721E8</v>
      </c>
      <c r="X307" s="36" t="n">
        <f>21</f>
        <v>21.0</v>
      </c>
    </row>
    <row r="308">
      <c r="A308" s="27" t="s">
        <v>42</v>
      </c>
      <c r="B308" s="27" t="s">
        <v>977</v>
      </c>
      <c r="C308" s="27" t="s">
        <v>978</v>
      </c>
      <c r="D308" s="27" t="s">
        <v>979</v>
      </c>
      <c r="E308" s="28" t="s">
        <v>46</v>
      </c>
      <c r="F308" s="29" t="s">
        <v>46</v>
      </c>
      <c r="G308" s="30" t="s">
        <v>46</v>
      </c>
      <c r="H308" s="31"/>
      <c r="I308" s="31" t="s">
        <v>622</v>
      </c>
      <c r="J308" s="32" t="n">
        <v>1.0</v>
      </c>
      <c r="K308" s="33" t="n">
        <f>117200</f>
        <v>117200.0</v>
      </c>
      <c r="L308" s="34" t="s">
        <v>48</v>
      </c>
      <c r="M308" s="33" t="n">
        <f>121300</f>
        <v>121300.0</v>
      </c>
      <c r="N308" s="34" t="s">
        <v>192</v>
      </c>
      <c r="O308" s="33" t="n">
        <f>113500</f>
        <v>113500.0</v>
      </c>
      <c r="P308" s="34" t="s">
        <v>50</v>
      </c>
      <c r="Q308" s="33" t="n">
        <f>120200</f>
        <v>120200.0</v>
      </c>
      <c r="R308" s="34" t="s">
        <v>51</v>
      </c>
      <c r="S308" s="35" t="n">
        <f>118347.62</f>
        <v>118347.62</v>
      </c>
      <c r="T308" s="32" t="n">
        <f>29199</f>
        <v>29199.0</v>
      </c>
      <c r="U308" s="32" t="n">
        <f>3811</f>
        <v>3811.0</v>
      </c>
      <c r="V308" s="32" t="n">
        <f>3447218002</f>
        <v>3.447218002E9</v>
      </c>
      <c r="W308" s="32" t="n">
        <f>450091202</f>
        <v>4.50091202E8</v>
      </c>
      <c r="X308" s="36" t="n">
        <f>21</f>
        <v>21.0</v>
      </c>
    </row>
    <row r="309">
      <c r="A309" s="27" t="s">
        <v>42</v>
      </c>
      <c r="B309" s="27" t="s">
        <v>980</v>
      </c>
      <c r="C309" s="27" t="s">
        <v>981</v>
      </c>
      <c r="D309" s="27" t="s">
        <v>982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160700</f>
        <v>160700.0</v>
      </c>
      <c r="L309" s="34" t="s">
        <v>48</v>
      </c>
      <c r="M309" s="33" t="n">
        <f>172700</f>
        <v>172700.0</v>
      </c>
      <c r="N309" s="34" t="s">
        <v>488</v>
      </c>
      <c r="O309" s="33" t="n">
        <f>156200</f>
        <v>156200.0</v>
      </c>
      <c r="P309" s="34" t="s">
        <v>50</v>
      </c>
      <c r="Q309" s="33" t="n">
        <f>170700</f>
        <v>170700.0</v>
      </c>
      <c r="R309" s="34" t="s">
        <v>51</v>
      </c>
      <c r="S309" s="35" t="n">
        <f>168042.86</f>
        <v>168042.86</v>
      </c>
      <c r="T309" s="32" t="n">
        <f>325340</f>
        <v>325340.0</v>
      </c>
      <c r="U309" s="32" t="n">
        <f>70294</f>
        <v>70294.0</v>
      </c>
      <c r="V309" s="32" t="n">
        <f>54382813156</f>
        <v>5.4382813156E10</v>
      </c>
      <c r="W309" s="32" t="n">
        <f>11742333656</f>
        <v>1.1742333656E10</v>
      </c>
      <c r="X309" s="36" t="n">
        <f>21</f>
        <v>21.0</v>
      </c>
    </row>
    <row r="310">
      <c r="A310" s="27" t="s">
        <v>42</v>
      </c>
      <c r="B310" s="27" t="s">
        <v>983</v>
      </c>
      <c r="C310" s="27" t="s">
        <v>984</v>
      </c>
      <c r="D310" s="27" t="s">
        <v>985</v>
      </c>
      <c r="E310" s="28" t="s">
        <v>46</v>
      </c>
      <c r="F310" s="29" t="s">
        <v>46</v>
      </c>
      <c r="G310" s="30" t="s">
        <v>46</v>
      </c>
      <c r="H310" s="31"/>
      <c r="I310" s="31" t="s">
        <v>622</v>
      </c>
      <c r="J310" s="32" t="n">
        <v>1.0</v>
      </c>
      <c r="K310" s="33" t="n">
        <f>95800</f>
        <v>95800.0</v>
      </c>
      <c r="L310" s="34" t="s">
        <v>48</v>
      </c>
      <c r="M310" s="33" t="n">
        <f>97500</f>
        <v>97500.0</v>
      </c>
      <c r="N310" s="34" t="s">
        <v>51</v>
      </c>
      <c r="O310" s="33" t="n">
        <f>89800</f>
        <v>89800.0</v>
      </c>
      <c r="P310" s="34" t="s">
        <v>73</v>
      </c>
      <c r="Q310" s="33" t="n">
        <f>97500</f>
        <v>97500.0</v>
      </c>
      <c r="R310" s="34" t="s">
        <v>51</v>
      </c>
      <c r="S310" s="35" t="n">
        <f>92800</f>
        <v>92800.0</v>
      </c>
      <c r="T310" s="32" t="n">
        <f>30955</f>
        <v>30955.0</v>
      </c>
      <c r="U310" s="32" t="n">
        <f>2541</f>
        <v>2541.0</v>
      </c>
      <c r="V310" s="32" t="n">
        <f>2891525454</f>
        <v>2.891525454E9</v>
      </c>
      <c r="W310" s="32" t="n">
        <f>235301054</f>
        <v>2.35301054E8</v>
      </c>
      <c r="X310" s="36" t="n">
        <f>21</f>
        <v>21.0</v>
      </c>
    </row>
    <row r="311">
      <c r="A311" s="27" t="s">
        <v>42</v>
      </c>
      <c r="B311" s="27" t="s">
        <v>986</v>
      </c>
      <c r="C311" s="27" t="s">
        <v>987</v>
      </c>
      <c r="D311" s="27" t="s">
        <v>988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189000</f>
        <v>189000.0</v>
      </c>
      <c r="L311" s="34" t="s">
        <v>48</v>
      </c>
      <c r="M311" s="33" t="n">
        <f>194800</f>
        <v>194800.0</v>
      </c>
      <c r="N311" s="34" t="s">
        <v>106</v>
      </c>
      <c r="O311" s="33" t="n">
        <f>179200</f>
        <v>179200.0</v>
      </c>
      <c r="P311" s="34" t="s">
        <v>317</v>
      </c>
      <c r="Q311" s="33" t="n">
        <f>189600</f>
        <v>189600.0</v>
      </c>
      <c r="R311" s="34" t="s">
        <v>51</v>
      </c>
      <c r="S311" s="35" t="n">
        <f>187823.81</f>
        <v>187823.81</v>
      </c>
      <c r="T311" s="32" t="n">
        <f>115404</f>
        <v>115404.0</v>
      </c>
      <c r="U311" s="32" t="n">
        <f>28518</f>
        <v>28518.0</v>
      </c>
      <c r="V311" s="32" t="n">
        <f>21619167403</f>
        <v>2.1619167403E10</v>
      </c>
      <c r="W311" s="32" t="n">
        <f>5340056603</f>
        <v>5.340056603E9</v>
      </c>
      <c r="X311" s="36" t="n">
        <f>21</f>
        <v>21.0</v>
      </c>
    </row>
    <row r="312">
      <c r="A312" s="27" t="s">
        <v>42</v>
      </c>
      <c r="B312" s="27" t="s">
        <v>989</v>
      </c>
      <c r="C312" s="27" t="s">
        <v>990</v>
      </c>
      <c r="D312" s="27" t="s">
        <v>991</v>
      </c>
      <c r="E312" s="28" t="s">
        <v>46</v>
      </c>
      <c r="F312" s="29" t="s">
        <v>46</v>
      </c>
      <c r="G312" s="30" t="s">
        <v>46</v>
      </c>
      <c r="H312" s="31"/>
      <c r="I312" s="31" t="s">
        <v>622</v>
      </c>
      <c r="J312" s="32" t="n">
        <v>1.0</v>
      </c>
      <c r="K312" s="33" t="n">
        <f>57400</f>
        <v>57400.0</v>
      </c>
      <c r="L312" s="34" t="s">
        <v>48</v>
      </c>
      <c r="M312" s="33" t="n">
        <f>60900</f>
        <v>60900.0</v>
      </c>
      <c r="N312" s="34" t="s">
        <v>192</v>
      </c>
      <c r="O312" s="33" t="n">
        <f>55100</f>
        <v>55100.0</v>
      </c>
      <c r="P312" s="34" t="s">
        <v>50</v>
      </c>
      <c r="Q312" s="33" t="n">
        <f>60400</f>
        <v>60400.0</v>
      </c>
      <c r="R312" s="34" t="s">
        <v>51</v>
      </c>
      <c r="S312" s="35" t="n">
        <f>58161.9</f>
        <v>58161.9</v>
      </c>
      <c r="T312" s="32" t="n">
        <f>109526</f>
        <v>109526.0</v>
      </c>
      <c r="U312" s="32" t="n">
        <f>20201</f>
        <v>20201.0</v>
      </c>
      <c r="V312" s="32" t="n">
        <f>6380038769</f>
        <v>6.380038769E9</v>
      </c>
      <c r="W312" s="32" t="n">
        <f>1177174669</f>
        <v>1.177174669E9</v>
      </c>
      <c r="X312" s="36" t="n">
        <f>21</f>
        <v>21.0</v>
      </c>
    </row>
    <row r="313">
      <c r="A313" s="27" t="s">
        <v>42</v>
      </c>
      <c r="B313" s="27" t="s">
        <v>992</v>
      </c>
      <c r="C313" s="27" t="s">
        <v>993</v>
      </c>
      <c r="D313" s="27" t="s">
        <v>994</v>
      </c>
      <c r="E313" s="28" t="s">
        <v>46</v>
      </c>
      <c r="F313" s="29" t="s">
        <v>46</v>
      </c>
      <c r="G313" s="30" t="s">
        <v>46</v>
      </c>
      <c r="H313" s="31"/>
      <c r="I313" s="31" t="s">
        <v>622</v>
      </c>
      <c r="J313" s="32" t="n">
        <v>1.0</v>
      </c>
      <c r="K313" s="33" t="n">
        <f>130100</f>
        <v>130100.0</v>
      </c>
      <c r="L313" s="34" t="s">
        <v>48</v>
      </c>
      <c r="M313" s="33" t="n">
        <f>132400</f>
        <v>132400.0</v>
      </c>
      <c r="N313" s="34" t="s">
        <v>91</v>
      </c>
      <c r="O313" s="33" t="n">
        <f>126300</f>
        <v>126300.0</v>
      </c>
      <c r="P313" s="34" t="s">
        <v>50</v>
      </c>
      <c r="Q313" s="33" t="n">
        <f>131600</f>
        <v>131600.0</v>
      </c>
      <c r="R313" s="34" t="s">
        <v>51</v>
      </c>
      <c r="S313" s="35" t="n">
        <f>130380.95</f>
        <v>130380.95</v>
      </c>
      <c r="T313" s="32" t="n">
        <f>8619</f>
        <v>8619.0</v>
      </c>
      <c r="U313" s="32" t="n">
        <f>1569</f>
        <v>1569.0</v>
      </c>
      <c r="V313" s="32" t="n">
        <f>1119069108</f>
        <v>1.119069108E9</v>
      </c>
      <c r="W313" s="32" t="n">
        <f>204386708</f>
        <v>2.04386708E8</v>
      </c>
      <c r="X313" s="36" t="n">
        <f>21</f>
        <v>21.0</v>
      </c>
    </row>
    <row r="314">
      <c r="A314" s="27" t="s">
        <v>42</v>
      </c>
      <c r="B314" s="27" t="s">
        <v>995</v>
      </c>
      <c r="C314" s="27" t="s">
        <v>996</v>
      </c>
      <c r="D314" s="27" t="s">
        <v>997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598000</f>
        <v>598000.0</v>
      </c>
      <c r="L314" s="34" t="s">
        <v>48</v>
      </c>
      <c r="M314" s="33" t="n">
        <f>606000</f>
        <v>606000.0</v>
      </c>
      <c r="N314" s="34" t="s">
        <v>51</v>
      </c>
      <c r="O314" s="33" t="n">
        <f>550000</f>
        <v>550000.0</v>
      </c>
      <c r="P314" s="34" t="s">
        <v>317</v>
      </c>
      <c r="Q314" s="33" t="n">
        <f>606000</f>
        <v>606000.0</v>
      </c>
      <c r="R314" s="34" t="s">
        <v>51</v>
      </c>
      <c r="S314" s="35" t="n">
        <f>583095.24</f>
        <v>583095.24</v>
      </c>
      <c r="T314" s="32" t="n">
        <f>40461</f>
        <v>40461.0</v>
      </c>
      <c r="U314" s="32" t="n">
        <f>9735</f>
        <v>9735.0</v>
      </c>
      <c r="V314" s="32" t="n">
        <f>23442735192</f>
        <v>2.3442735192E10</v>
      </c>
      <c r="W314" s="32" t="n">
        <f>5626848192</f>
        <v>5.626848192E9</v>
      </c>
      <c r="X314" s="36" t="n">
        <f>21</f>
        <v>21.0</v>
      </c>
    </row>
    <row r="315">
      <c r="A315" s="27" t="s">
        <v>42</v>
      </c>
      <c r="B315" s="27" t="s">
        <v>998</v>
      </c>
      <c r="C315" s="27" t="s">
        <v>999</v>
      </c>
      <c r="D315" s="27" t="s">
        <v>1000</v>
      </c>
      <c r="E315" s="28" t="s">
        <v>46</v>
      </c>
      <c r="F315" s="29" t="s">
        <v>46</v>
      </c>
      <c r="G315" s="30" t="s">
        <v>46</v>
      </c>
      <c r="H315" s="31"/>
      <c r="I315" s="31" t="s">
        <v>622</v>
      </c>
      <c r="J315" s="32" t="n">
        <v>1.0</v>
      </c>
      <c r="K315" s="33" t="n">
        <f>80200</f>
        <v>80200.0</v>
      </c>
      <c r="L315" s="34" t="s">
        <v>48</v>
      </c>
      <c r="M315" s="33" t="n">
        <f>83200</f>
        <v>83200.0</v>
      </c>
      <c r="N315" s="34" t="s">
        <v>488</v>
      </c>
      <c r="O315" s="33" t="n">
        <f>79100</f>
        <v>79100.0</v>
      </c>
      <c r="P315" s="34" t="s">
        <v>50</v>
      </c>
      <c r="Q315" s="33" t="n">
        <f>81500</f>
        <v>81500.0</v>
      </c>
      <c r="R315" s="34" t="s">
        <v>51</v>
      </c>
      <c r="S315" s="35" t="n">
        <f>81276.19</f>
        <v>81276.19</v>
      </c>
      <c r="T315" s="32" t="n">
        <f>13705</f>
        <v>13705.0</v>
      </c>
      <c r="U315" s="32" t="n">
        <f>2509</f>
        <v>2509.0</v>
      </c>
      <c r="V315" s="32" t="n">
        <f>1112725051</f>
        <v>1.112725051E9</v>
      </c>
      <c r="W315" s="32" t="n">
        <f>204158651</f>
        <v>2.04158651E8</v>
      </c>
      <c r="X315" s="36" t="n">
        <f>21</f>
        <v>21.0</v>
      </c>
    </row>
    <row r="316">
      <c r="A316" s="27" t="s">
        <v>42</v>
      </c>
      <c r="B316" s="27" t="s">
        <v>1001</v>
      </c>
      <c r="C316" s="27" t="s">
        <v>1002</v>
      </c>
      <c r="D316" s="27" t="s">
        <v>1003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53900</f>
        <v>53900.0</v>
      </c>
      <c r="L316" s="34" t="s">
        <v>48</v>
      </c>
      <c r="M316" s="33" t="n">
        <f>55300</f>
        <v>55300.0</v>
      </c>
      <c r="N316" s="34" t="s">
        <v>488</v>
      </c>
      <c r="O316" s="33" t="n">
        <f>51700</f>
        <v>51700.0</v>
      </c>
      <c r="P316" s="34" t="s">
        <v>50</v>
      </c>
      <c r="Q316" s="33" t="n">
        <f>52700</f>
        <v>52700.0</v>
      </c>
      <c r="R316" s="34" t="s">
        <v>51</v>
      </c>
      <c r="S316" s="35" t="n">
        <f>53761.9</f>
        <v>53761.9</v>
      </c>
      <c r="T316" s="32" t="n">
        <f>153777</f>
        <v>153777.0</v>
      </c>
      <c r="U316" s="32" t="n">
        <f>21293</f>
        <v>21293.0</v>
      </c>
      <c r="V316" s="32" t="n">
        <f>8231529540</f>
        <v>8.23152954E9</v>
      </c>
      <c r="W316" s="32" t="n">
        <f>1145799040</f>
        <v>1.14579904E9</v>
      </c>
      <c r="X316" s="36" t="n">
        <f>21</f>
        <v>21.0</v>
      </c>
    </row>
    <row r="317">
      <c r="A317" s="27" t="s">
        <v>42</v>
      </c>
      <c r="B317" s="27" t="s">
        <v>1004</v>
      </c>
      <c r="C317" s="27" t="s">
        <v>1005</v>
      </c>
      <c r="D317" s="27" t="s">
        <v>1006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137600</f>
        <v>137600.0</v>
      </c>
      <c r="L317" s="34" t="s">
        <v>48</v>
      </c>
      <c r="M317" s="33" t="n">
        <f>144000</f>
        <v>144000.0</v>
      </c>
      <c r="N317" s="34" t="s">
        <v>51</v>
      </c>
      <c r="O317" s="33" t="n">
        <f>131800</f>
        <v>131800.0</v>
      </c>
      <c r="P317" s="34" t="s">
        <v>50</v>
      </c>
      <c r="Q317" s="33" t="n">
        <f>141500</f>
        <v>141500.0</v>
      </c>
      <c r="R317" s="34" t="s">
        <v>51</v>
      </c>
      <c r="S317" s="35" t="n">
        <f>138671.43</f>
        <v>138671.43</v>
      </c>
      <c r="T317" s="32" t="n">
        <f>15914</f>
        <v>15914.0</v>
      </c>
      <c r="U317" s="32" t="n">
        <f>3213</f>
        <v>3213.0</v>
      </c>
      <c r="V317" s="32" t="n">
        <f>2207059664</f>
        <v>2.207059664E9</v>
      </c>
      <c r="W317" s="32" t="n">
        <f>444836164</f>
        <v>4.44836164E8</v>
      </c>
      <c r="X317" s="36" t="n">
        <f>21</f>
        <v>21.0</v>
      </c>
    </row>
    <row r="318">
      <c r="A318" s="27" t="s">
        <v>42</v>
      </c>
      <c r="B318" s="27" t="s">
        <v>1007</v>
      </c>
      <c r="C318" s="27" t="s">
        <v>1008</v>
      </c>
      <c r="D318" s="27" t="s">
        <v>1009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492500</f>
        <v>492500.0</v>
      </c>
      <c r="L318" s="34" t="s">
        <v>48</v>
      </c>
      <c r="M318" s="33" t="n">
        <f>498500</f>
        <v>498500.0</v>
      </c>
      <c r="N318" s="34" t="s">
        <v>91</v>
      </c>
      <c r="O318" s="33" t="n">
        <f>465000</f>
        <v>465000.0</v>
      </c>
      <c r="P318" s="34" t="s">
        <v>317</v>
      </c>
      <c r="Q318" s="33" t="n">
        <f>493000</f>
        <v>493000.0</v>
      </c>
      <c r="R318" s="34" t="s">
        <v>51</v>
      </c>
      <c r="S318" s="35" t="n">
        <f>486119.05</f>
        <v>486119.05</v>
      </c>
      <c r="T318" s="32" t="n">
        <f>28248</f>
        <v>28248.0</v>
      </c>
      <c r="U318" s="32" t="n">
        <f>7017</f>
        <v>7017.0</v>
      </c>
      <c r="V318" s="32" t="n">
        <f>13696624723</f>
        <v>1.3696624723E10</v>
      </c>
      <c r="W318" s="32" t="n">
        <f>3402544723</f>
        <v>3.402544723E9</v>
      </c>
      <c r="X318" s="36" t="n">
        <f>21</f>
        <v>21.0</v>
      </c>
    </row>
    <row r="319">
      <c r="A319" s="27" t="s">
        <v>42</v>
      </c>
      <c r="B319" s="27" t="s">
        <v>1010</v>
      </c>
      <c r="C319" s="27" t="s">
        <v>1011</v>
      </c>
      <c r="D319" s="27" t="s">
        <v>1012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208900</f>
        <v>208900.0</v>
      </c>
      <c r="L319" s="34" t="s">
        <v>48</v>
      </c>
      <c r="M319" s="33" t="n">
        <f>221700</f>
        <v>221700.0</v>
      </c>
      <c r="N319" s="34" t="s">
        <v>51</v>
      </c>
      <c r="O319" s="33" t="n">
        <f>196200</f>
        <v>196200.0</v>
      </c>
      <c r="P319" s="34" t="s">
        <v>50</v>
      </c>
      <c r="Q319" s="33" t="n">
        <f>221500</f>
        <v>221500.0</v>
      </c>
      <c r="R319" s="34" t="s">
        <v>51</v>
      </c>
      <c r="S319" s="35" t="n">
        <f>211633.33</f>
        <v>211633.33</v>
      </c>
      <c r="T319" s="32" t="n">
        <f>53989</f>
        <v>53989.0</v>
      </c>
      <c r="U319" s="32" t="n">
        <f>10691</f>
        <v>10691.0</v>
      </c>
      <c r="V319" s="32" t="n">
        <f>11366552295</f>
        <v>1.1366552295E10</v>
      </c>
      <c r="W319" s="32" t="n">
        <f>2234771095</f>
        <v>2.234771095E9</v>
      </c>
      <c r="X319" s="36" t="n">
        <f>21</f>
        <v>21.0</v>
      </c>
    </row>
    <row r="320">
      <c r="A320" s="27" t="s">
        <v>42</v>
      </c>
      <c r="B320" s="27" t="s">
        <v>1013</v>
      </c>
      <c r="C320" s="27" t="s">
        <v>1014</v>
      </c>
      <c r="D320" s="27" t="s">
        <v>1015</v>
      </c>
      <c r="E320" s="28" t="s">
        <v>46</v>
      </c>
      <c r="F320" s="29" t="s">
        <v>46</v>
      </c>
      <c r="G320" s="30" t="s">
        <v>46</v>
      </c>
      <c r="H320" s="31"/>
      <c r="I320" s="31" t="s">
        <v>622</v>
      </c>
      <c r="J320" s="32" t="n">
        <v>1.0</v>
      </c>
      <c r="K320" s="33" t="n">
        <f>112700</f>
        <v>112700.0</v>
      </c>
      <c r="L320" s="34" t="s">
        <v>48</v>
      </c>
      <c r="M320" s="33" t="n">
        <f>117500</f>
        <v>117500.0</v>
      </c>
      <c r="N320" s="34" t="s">
        <v>95</v>
      </c>
      <c r="O320" s="33" t="n">
        <f>108900</f>
        <v>108900.0</v>
      </c>
      <c r="P320" s="34" t="s">
        <v>50</v>
      </c>
      <c r="Q320" s="33" t="n">
        <f>116500</f>
        <v>116500.0</v>
      </c>
      <c r="R320" s="34" t="s">
        <v>51</v>
      </c>
      <c r="S320" s="35" t="n">
        <f>114100</f>
        <v>114100.0</v>
      </c>
      <c r="T320" s="32" t="n">
        <f>18824</f>
        <v>18824.0</v>
      </c>
      <c r="U320" s="32" t="n">
        <f>1937</f>
        <v>1937.0</v>
      </c>
      <c r="V320" s="32" t="n">
        <f>2140787138</f>
        <v>2.140787138E9</v>
      </c>
      <c r="W320" s="32" t="n">
        <f>221194238</f>
        <v>2.21194238E8</v>
      </c>
      <c r="X320" s="36" t="n">
        <f>21</f>
        <v>21.0</v>
      </c>
    </row>
    <row r="321">
      <c r="A321" s="27" t="s">
        <v>42</v>
      </c>
      <c r="B321" s="27" t="s">
        <v>1016</v>
      </c>
      <c r="C321" s="27" t="s">
        <v>1017</v>
      </c>
      <c r="D321" s="27" t="s">
        <v>1018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109600</f>
        <v>109600.0</v>
      </c>
      <c r="L321" s="34" t="s">
        <v>48</v>
      </c>
      <c r="M321" s="33" t="n">
        <f>111900</f>
        <v>111900.0</v>
      </c>
      <c r="N321" s="34" t="s">
        <v>488</v>
      </c>
      <c r="O321" s="33" t="n">
        <f>105300</f>
        <v>105300.0</v>
      </c>
      <c r="P321" s="34" t="s">
        <v>50</v>
      </c>
      <c r="Q321" s="33" t="n">
        <f>111000</f>
        <v>111000.0</v>
      </c>
      <c r="R321" s="34" t="s">
        <v>51</v>
      </c>
      <c r="S321" s="35" t="n">
        <f>109547.62</f>
        <v>109547.62</v>
      </c>
      <c r="T321" s="32" t="n">
        <f>65410</f>
        <v>65410.0</v>
      </c>
      <c r="U321" s="32" t="n">
        <f>6859</f>
        <v>6859.0</v>
      </c>
      <c r="V321" s="32" t="n">
        <f>7148787982</f>
        <v>7.148787982E9</v>
      </c>
      <c r="W321" s="32" t="n">
        <f>752014882</f>
        <v>7.52014882E8</v>
      </c>
      <c r="X321" s="36" t="n">
        <f>21</f>
        <v>21.0</v>
      </c>
    </row>
    <row r="322">
      <c r="A322" s="27" t="s">
        <v>42</v>
      </c>
      <c r="B322" s="27" t="s">
        <v>1019</v>
      </c>
      <c r="C322" s="27" t="s">
        <v>1020</v>
      </c>
      <c r="D322" s="27" t="s">
        <v>1021</v>
      </c>
      <c r="E322" s="28" t="s">
        <v>46</v>
      </c>
      <c r="F322" s="29" t="s">
        <v>46</v>
      </c>
      <c r="G322" s="30" t="s">
        <v>46</v>
      </c>
      <c r="H322" s="31"/>
      <c r="I322" s="31" t="s">
        <v>622</v>
      </c>
      <c r="J322" s="32" t="n">
        <v>1.0</v>
      </c>
      <c r="K322" s="33" t="n">
        <f>155000</f>
        <v>155000.0</v>
      </c>
      <c r="L322" s="34" t="s">
        <v>48</v>
      </c>
      <c r="M322" s="33" t="n">
        <f>165100</f>
        <v>165100.0</v>
      </c>
      <c r="N322" s="34" t="s">
        <v>91</v>
      </c>
      <c r="O322" s="33" t="n">
        <f>148200</f>
        <v>148200.0</v>
      </c>
      <c r="P322" s="34" t="s">
        <v>50</v>
      </c>
      <c r="Q322" s="33" t="n">
        <f>162100</f>
        <v>162100.0</v>
      </c>
      <c r="R322" s="34" t="s">
        <v>51</v>
      </c>
      <c r="S322" s="35" t="n">
        <f>158271.43</f>
        <v>158271.43</v>
      </c>
      <c r="T322" s="32" t="n">
        <f>43507</f>
        <v>43507.0</v>
      </c>
      <c r="U322" s="32" t="n">
        <f>9469</f>
        <v>9469.0</v>
      </c>
      <c r="V322" s="32" t="n">
        <f>6864897964</f>
        <v>6.864897964E9</v>
      </c>
      <c r="W322" s="32" t="n">
        <f>1506380564</f>
        <v>1.506380564E9</v>
      </c>
      <c r="X322" s="36" t="n">
        <f>21</f>
        <v>21.0</v>
      </c>
    </row>
    <row r="323">
      <c r="A323" s="27" t="s">
        <v>42</v>
      </c>
      <c r="B323" s="27" t="s">
        <v>1022</v>
      </c>
      <c r="C323" s="27" t="s">
        <v>1023</v>
      </c>
      <c r="D323" s="27" t="s">
        <v>1024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730000</f>
        <v>730000.0</v>
      </c>
      <c r="L323" s="34" t="s">
        <v>48</v>
      </c>
      <c r="M323" s="33" t="n">
        <f>747000</f>
        <v>747000.0</v>
      </c>
      <c r="N323" s="34" t="s">
        <v>334</v>
      </c>
      <c r="O323" s="33" t="n">
        <f>696000</f>
        <v>696000.0</v>
      </c>
      <c r="P323" s="34" t="s">
        <v>50</v>
      </c>
      <c r="Q323" s="33" t="n">
        <f>740000</f>
        <v>740000.0</v>
      </c>
      <c r="R323" s="34" t="s">
        <v>51</v>
      </c>
      <c r="S323" s="35" t="n">
        <f>724857.14</f>
        <v>724857.14</v>
      </c>
      <c r="T323" s="32" t="n">
        <f>125161</f>
        <v>125161.0</v>
      </c>
      <c r="U323" s="32" t="n">
        <f>24301</f>
        <v>24301.0</v>
      </c>
      <c r="V323" s="32" t="n">
        <f>90408201177</f>
        <v>9.0408201177E10</v>
      </c>
      <c r="W323" s="32" t="n">
        <f>17547116177</f>
        <v>1.7547116177E10</v>
      </c>
      <c r="X323" s="36" t="n">
        <f>21</f>
        <v>21.0</v>
      </c>
    </row>
    <row r="324">
      <c r="A324" s="27" t="s">
        <v>42</v>
      </c>
      <c r="B324" s="27" t="s">
        <v>1025</v>
      </c>
      <c r="C324" s="27" t="s">
        <v>1026</v>
      </c>
      <c r="D324" s="27" t="s">
        <v>1027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668000</f>
        <v>668000.0</v>
      </c>
      <c r="L324" s="34" t="s">
        <v>48</v>
      </c>
      <c r="M324" s="33" t="n">
        <f>709000</f>
        <v>709000.0</v>
      </c>
      <c r="N324" s="34" t="s">
        <v>91</v>
      </c>
      <c r="O324" s="33" t="n">
        <f>649000</f>
        <v>649000.0</v>
      </c>
      <c r="P324" s="34" t="s">
        <v>58</v>
      </c>
      <c r="Q324" s="33" t="n">
        <f>698000</f>
        <v>698000.0</v>
      </c>
      <c r="R324" s="34" t="s">
        <v>51</v>
      </c>
      <c r="S324" s="35" t="n">
        <f>684761.9</f>
        <v>684761.9</v>
      </c>
      <c r="T324" s="32" t="n">
        <f>107512</f>
        <v>107512.0</v>
      </c>
      <c r="U324" s="32" t="n">
        <f>25090</f>
        <v>25090.0</v>
      </c>
      <c r="V324" s="32" t="n">
        <f>73276634693</f>
        <v>7.3276634693E10</v>
      </c>
      <c r="W324" s="32" t="n">
        <f>17036794693</f>
        <v>1.7036794693E10</v>
      </c>
      <c r="X324" s="36" t="n">
        <f>21</f>
        <v>21.0</v>
      </c>
    </row>
    <row r="325">
      <c r="A325" s="27" t="s">
        <v>42</v>
      </c>
      <c r="B325" s="27" t="s">
        <v>1028</v>
      </c>
      <c r="C325" s="27" t="s">
        <v>1029</v>
      </c>
      <c r="D325" s="27" t="s">
        <v>1030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107900</f>
        <v>107900.0</v>
      </c>
      <c r="L325" s="34" t="s">
        <v>48</v>
      </c>
      <c r="M325" s="33" t="n">
        <f>111200</f>
        <v>111200.0</v>
      </c>
      <c r="N325" s="34" t="s">
        <v>597</v>
      </c>
      <c r="O325" s="33" t="n">
        <f>102200</f>
        <v>102200.0</v>
      </c>
      <c r="P325" s="34" t="s">
        <v>50</v>
      </c>
      <c r="Q325" s="33" t="n">
        <f>104500</f>
        <v>104500.0</v>
      </c>
      <c r="R325" s="34" t="s">
        <v>51</v>
      </c>
      <c r="S325" s="35" t="n">
        <f>106938.1</f>
        <v>106938.1</v>
      </c>
      <c r="T325" s="32" t="n">
        <f>471915</f>
        <v>471915.0</v>
      </c>
      <c r="U325" s="32" t="n">
        <f>79989</f>
        <v>79989.0</v>
      </c>
      <c r="V325" s="32" t="n">
        <f>50450536578</f>
        <v>5.0450536578E10</v>
      </c>
      <c r="W325" s="32" t="n">
        <f>8590532678</f>
        <v>8.590532678E9</v>
      </c>
      <c r="X325" s="36" t="n">
        <f>21</f>
        <v>21.0</v>
      </c>
    </row>
    <row r="326">
      <c r="A326" s="27" t="s">
        <v>42</v>
      </c>
      <c r="B326" s="27" t="s">
        <v>1031</v>
      </c>
      <c r="C326" s="27" t="s">
        <v>1032</v>
      </c>
      <c r="D326" s="27" t="s">
        <v>1033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194500</f>
        <v>194500.0</v>
      </c>
      <c r="L326" s="34" t="s">
        <v>48</v>
      </c>
      <c r="M326" s="33" t="n">
        <f>194600</f>
        <v>194600.0</v>
      </c>
      <c r="N326" s="34" t="s">
        <v>48</v>
      </c>
      <c r="O326" s="33" t="n">
        <f>179600</f>
        <v>179600.0</v>
      </c>
      <c r="P326" s="34" t="s">
        <v>179</v>
      </c>
      <c r="Q326" s="33" t="n">
        <f>188900</f>
        <v>188900.0</v>
      </c>
      <c r="R326" s="34" t="s">
        <v>51</v>
      </c>
      <c r="S326" s="35" t="n">
        <f>187771.43</f>
        <v>187771.43</v>
      </c>
      <c r="T326" s="32" t="n">
        <f>253292</f>
        <v>253292.0</v>
      </c>
      <c r="U326" s="32" t="n">
        <f>61385</f>
        <v>61385.0</v>
      </c>
      <c r="V326" s="32" t="n">
        <f>47536058688</f>
        <v>4.7536058688E10</v>
      </c>
      <c r="W326" s="32" t="n">
        <f>11557286988</f>
        <v>1.1557286988E10</v>
      </c>
      <c r="X326" s="36" t="n">
        <f>21</f>
        <v>21.0</v>
      </c>
    </row>
    <row r="327">
      <c r="A327" s="27" t="s">
        <v>42</v>
      </c>
      <c r="B327" s="27" t="s">
        <v>1034</v>
      </c>
      <c r="C327" s="27" t="s">
        <v>1035</v>
      </c>
      <c r="D327" s="27" t="s">
        <v>1036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410000</f>
        <v>410000.0</v>
      </c>
      <c r="L327" s="34" t="s">
        <v>48</v>
      </c>
      <c r="M327" s="33" t="n">
        <f>420500</f>
        <v>420500.0</v>
      </c>
      <c r="N327" s="34" t="s">
        <v>51</v>
      </c>
      <c r="O327" s="33" t="n">
        <f>383000</f>
        <v>383000.0</v>
      </c>
      <c r="P327" s="34" t="s">
        <v>50</v>
      </c>
      <c r="Q327" s="33" t="n">
        <f>417500</f>
        <v>417500.0</v>
      </c>
      <c r="R327" s="34" t="s">
        <v>51</v>
      </c>
      <c r="S327" s="35" t="n">
        <f>406500</f>
        <v>406500.0</v>
      </c>
      <c r="T327" s="32" t="n">
        <f>60121</f>
        <v>60121.0</v>
      </c>
      <c r="U327" s="32" t="n">
        <f>20201</f>
        <v>20201.0</v>
      </c>
      <c r="V327" s="32" t="n">
        <f>24428821124</f>
        <v>2.4428821124E10</v>
      </c>
      <c r="W327" s="32" t="n">
        <f>8242377124</f>
        <v>8.242377124E9</v>
      </c>
      <c r="X327" s="36" t="n">
        <f>21</f>
        <v>21.0</v>
      </c>
    </row>
    <row r="328">
      <c r="A328" s="27" t="s">
        <v>42</v>
      </c>
      <c r="B328" s="27" t="s">
        <v>1037</v>
      </c>
      <c r="C328" s="27" t="s">
        <v>1038</v>
      </c>
      <c r="D328" s="27" t="s">
        <v>1039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154000</f>
        <v>154000.0</v>
      </c>
      <c r="L328" s="34" t="s">
        <v>48</v>
      </c>
      <c r="M328" s="33" t="n">
        <f>157500</f>
        <v>157500.0</v>
      </c>
      <c r="N328" s="34" t="s">
        <v>179</v>
      </c>
      <c r="O328" s="33" t="n">
        <f>146000</f>
        <v>146000.0</v>
      </c>
      <c r="P328" s="34" t="s">
        <v>50</v>
      </c>
      <c r="Q328" s="33" t="n">
        <f>151400</f>
        <v>151400.0</v>
      </c>
      <c r="R328" s="34" t="s">
        <v>51</v>
      </c>
      <c r="S328" s="35" t="n">
        <f>152423.81</f>
        <v>152423.81</v>
      </c>
      <c r="T328" s="32" t="n">
        <f>125054</f>
        <v>125054.0</v>
      </c>
      <c r="U328" s="32" t="n">
        <f>17726</f>
        <v>17726.0</v>
      </c>
      <c r="V328" s="32" t="n">
        <f>19112896026</f>
        <v>1.9112896026E10</v>
      </c>
      <c r="W328" s="32" t="n">
        <f>2711330626</f>
        <v>2.711330626E9</v>
      </c>
      <c r="X328" s="36" t="n">
        <f>21</f>
        <v>21.0</v>
      </c>
    </row>
    <row r="329">
      <c r="A329" s="27" t="s">
        <v>42</v>
      </c>
      <c r="B329" s="27" t="s">
        <v>1040</v>
      </c>
      <c r="C329" s="27" t="s">
        <v>1041</v>
      </c>
      <c r="D329" s="27" t="s">
        <v>1042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184400</f>
        <v>184400.0</v>
      </c>
      <c r="L329" s="34" t="s">
        <v>48</v>
      </c>
      <c r="M329" s="33" t="n">
        <f>191200</f>
        <v>191200.0</v>
      </c>
      <c r="N329" s="34" t="s">
        <v>51</v>
      </c>
      <c r="O329" s="33" t="n">
        <f>177000</f>
        <v>177000.0</v>
      </c>
      <c r="P329" s="34" t="s">
        <v>50</v>
      </c>
      <c r="Q329" s="33" t="n">
        <f>191100</f>
        <v>191100.0</v>
      </c>
      <c r="R329" s="34" t="s">
        <v>51</v>
      </c>
      <c r="S329" s="35" t="n">
        <f>186176.19</f>
        <v>186176.19</v>
      </c>
      <c r="T329" s="32" t="n">
        <f>61283</f>
        <v>61283.0</v>
      </c>
      <c r="U329" s="32" t="n">
        <f>15585</f>
        <v>15585.0</v>
      </c>
      <c r="V329" s="32" t="n">
        <f>11358971946</f>
        <v>1.1358971946E10</v>
      </c>
      <c r="W329" s="32" t="n">
        <f>2894284746</f>
        <v>2.894284746E9</v>
      </c>
      <c r="X329" s="36" t="n">
        <f>21</f>
        <v>21.0</v>
      </c>
    </row>
    <row r="330">
      <c r="A330" s="27" t="s">
        <v>42</v>
      </c>
      <c r="B330" s="27" t="s">
        <v>1043</v>
      </c>
      <c r="C330" s="27" t="s">
        <v>1044</v>
      </c>
      <c r="D330" s="27" t="s">
        <v>1045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115800</f>
        <v>115800.0</v>
      </c>
      <c r="L330" s="34" t="s">
        <v>48</v>
      </c>
      <c r="M330" s="33" t="n">
        <f>118600</f>
        <v>118600.0</v>
      </c>
      <c r="N330" s="34" t="s">
        <v>91</v>
      </c>
      <c r="O330" s="33" t="n">
        <f>111000</f>
        <v>111000.0</v>
      </c>
      <c r="P330" s="34" t="s">
        <v>50</v>
      </c>
      <c r="Q330" s="33" t="n">
        <f>117300</f>
        <v>117300.0</v>
      </c>
      <c r="R330" s="34" t="s">
        <v>51</v>
      </c>
      <c r="S330" s="35" t="n">
        <f>115500</f>
        <v>115500.0</v>
      </c>
      <c r="T330" s="32" t="n">
        <f>87098</f>
        <v>87098.0</v>
      </c>
      <c r="U330" s="32" t="n">
        <f>33184</f>
        <v>33184.0</v>
      </c>
      <c r="V330" s="32" t="n">
        <f>10064110133</f>
        <v>1.0064110133E10</v>
      </c>
      <c r="W330" s="32" t="n">
        <f>3840773733</f>
        <v>3.840773733E9</v>
      </c>
      <c r="X330" s="36" t="n">
        <f>21</f>
        <v>21.0</v>
      </c>
    </row>
    <row r="331">
      <c r="A331" s="27" t="s">
        <v>42</v>
      </c>
      <c r="B331" s="27" t="s">
        <v>1046</v>
      </c>
      <c r="C331" s="27" t="s">
        <v>1047</v>
      </c>
      <c r="D331" s="27" t="s">
        <v>1048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151600</f>
        <v>151600.0</v>
      </c>
      <c r="L331" s="34" t="s">
        <v>48</v>
      </c>
      <c r="M331" s="33" t="n">
        <f>151700</f>
        <v>151700.0</v>
      </c>
      <c r="N331" s="34" t="s">
        <v>48</v>
      </c>
      <c r="O331" s="33" t="n">
        <f>138300</f>
        <v>138300.0</v>
      </c>
      <c r="P331" s="34" t="s">
        <v>321</v>
      </c>
      <c r="Q331" s="33" t="n">
        <f>142000</f>
        <v>142000.0</v>
      </c>
      <c r="R331" s="34" t="s">
        <v>51</v>
      </c>
      <c r="S331" s="35" t="n">
        <f>142557.14</f>
        <v>142557.14</v>
      </c>
      <c r="T331" s="32" t="n">
        <f>400667</f>
        <v>400667.0</v>
      </c>
      <c r="U331" s="32" t="n">
        <f>68123</f>
        <v>68123.0</v>
      </c>
      <c r="V331" s="32" t="n">
        <f>57091245987</f>
        <v>5.7091245987E10</v>
      </c>
      <c r="W331" s="32" t="n">
        <f>9706877787</f>
        <v>9.706877787E9</v>
      </c>
      <c r="X331" s="36" t="n">
        <f>21</f>
        <v>21.0</v>
      </c>
    </row>
    <row r="332">
      <c r="A332" s="27" t="s">
        <v>42</v>
      </c>
      <c r="B332" s="27" t="s">
        <v>1049</v>
      </c>
      <c r="C332" s="27" t="s">
        <v>1050</v>
      </c>
      <c r="D332" s="27" t="s">
        <v>1051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148100</f>
        <v>148100.0</v>
      </c>
      <c r="L332" s="34" t="s">
        <v>48</v>
      </c>
      <c r="M332" s="33" t="n">
        <f>149800</f>
        <v>149800.0</v>
      </c>
      <c r="N332" s="34" t="s">
        <v>91</v>
      </c>
      <c r="O332" s="33" t="n">
        <f>142400</f>
        <v>142400.0</v>
      </c>
      <c r="P332" s="34" t="s">
        <v>58</v>
      </c>
      <c r="Q332" s="33" t="n">
        <f>147100</f>
        <v>147100.0</v>
      </c>
      <c r="R332" s="34" t="s">
        <v>51</v>
      </c>
      <c r="S332" s="35" t="n">
        <f>146461.9</f>
        <v>146461.9</v>
      </c>
      <c r="T332" s="32" t="n">
        <f>74722</f>
        <v>74722.0</v>
      </c>
      <c r="U332" s="32" t="n">
        <f>20463</f>
        <v>20463.0</v>
      </c>
      <c r="V332" s="32" t="n">
        <f>10936744467</f>
        <v>1.0936744467E10</v>
      </c>
      <c r="W332" s="32" t="n">
        <f>3002638467</f>
        <v>3.002638467E9</v>
      </c>
      <c r="X332" s="36" t="n">
        <f>21</f>
        <v>21.0</v>
      </c>
    </row>
    <row r="333">
      <c r="A333" s="27" t="s">
        <v>42</v>
      </c>
      <c r="B333" s="27" t="s">
        <v>1052</v>
      </c>
      <c r="C333" s="27" t="s">
        <v>1053</v>
      </c>
      <c r="D333" s="27" t="s">
        <v>1054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43550</f>
        <v>43550.0</v>
      </c>
      <c r="L333" s="34" t="s">
        <v>48</v>
      </c>
      <c r="M333" s="33" t="n">
        <f>45750</f>
        <v>45750.0</v>
      </c>
      <c r="N333" s="34" t="s">
        <v>51</v>
      </c>
      <c r="O333" s="33" t="n">
        <f>41000</f>
        <v>41000.0</v>
      </c>
      <c r="P333" s="34" t="s">
        <v>62</v>
      </c>
      <c r="Q333" s="33" t="n">
        <f>45000</f>
        <v>45000.0</v>
      </c>
      <c r="R333" s="34" t="s">
        <v>51</v>
      </c>
      <c r="S333" s="35" t="n">
        <f>43052.38</f>
        <v>43052.38</v>
      </c>
      <c r="T333" s="32" t="n">
        <f>700332</f>
        <v>700332.0</v>
      </c>
      <c r="U333" s="32" t="n">
        <f>154339</f>
        <v>154339.0</v>
      </c>
      <c r="V333" s="32" t="n">
        <f>30087122495</f>
        <v>3.0087122495E10</v>
      </c>
      <c r="W333" s="32" t="n">
        <f>6613320695</f>
        <v>6.613320695E9</v>
      </c>
      <c r="X333" s="36" t="n">
        <f>21</f>
        <v>21.0</v>
      </c>
    </row>
    <row r="334">
      <c r="A334" s="27" t="s">
        <v>42</v>
      </c>
      <c r="B334" s="27" t="s">
        <v>1055</v>
      </c>
      <c r="C334" s="27" t="s">
        <v>1056</v>
      </c>
      <c r="D334" s="27" t="s">
        <v>1057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490000</f>
        <v>490000.0</v>
      </c>
      <c r="L334" s="34" t="s">
        <v>48</v>
      </c>
      <c r="M334" s="33" t="n">
        <f>522000</f>
        <v>522000.0</v>
      </c>
      <c r="N334" s="34" t="s">
        <v>597</v>
      </c>
      <c r="O334" s="33" t="n">
        <f>472000</f>
        <v>472000.0</v>
      </c>
      <c r="P334" s="34" t="s">
        <v>48</v>
      </c>
      <c r="Q334" s="33" t="n">
        <f>504000</f>
        <v>504000.0</v>
      </c>
      <c r="R334" s="34" t="s">
        <v>51</v>
      </c>
      <c r="S334" s="35" t="n">
        <f>501404.76</f>
        <v>501404.76</v>
      </c>
      <c r="T334" s="32" t="n">
        <f>45122</f>
        <v>45122.0</v>
      </c>
      <c r="U334" s="32" t="n">
        <f>7034</f>
        <v>7034.0</v>
      </c>
      <c r="V334" s="32" t="n">
        <f>22624045762</f>
        <v>2.2624045762E10</v>
      </c>
      <c r="W334" s="32" t="n">
        <f>3538190762</f>
        <v>3.538190762E9</v>
      </c>
      <c r="X334" s="36" t="n">
        <f>21</f>
        <v>21.0</v>
      </c>
    </row>
    <row r="335">
      <c r="A335" s="27" t="s">
        <v>42</v>
      </c>
      <c r="B335" s="27" t="s">
        <v>1058</v>
      </c>
      <c r="C335" s="27" t="s">
        <v>1059</v>
      </c>
      <c r="D335" s="27" t="s">
        <v>1060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164400</f>
        <v>164400.0</v>
      </c>
      <c r="L335" s="34" t="s">
        <v>48</v>
      </c>
      <c r="M335" s="33" t="n">
        <f>164700</f>
        <v>164700.0</v>
      </c>
      <c r="N335" s="34" t="s">
        <v>48</v>
      </c>
      <c r="O335" s="33" t="n">
        <f>155100</f>
        <v>155100.0</v>
      </c>
      <c r="P335" s="34" t="s">
        <v>72</v>
      </c>
      <c r="Q335" s="33" t="n">
        <f>159100</f>
        <v>159100.0</v>
      </c>
      <c r="R335" s="34" t="s">
        <v>51</v>
      </c>
      <c r="S335" s="35" t="n">
        <f>159428.57</f>
        <v>159428.57</v>
      </c>
      <c r="T335" s="32" t="n">
        <f>54367</f>
        <v>54367.0</v>
      </c>
      <c r="U335" s="32" t="n">
        <f>11237</f>
        <v>11237.0</v>
      </c>
      <c r="V335" s="32" t="n">
        <f>8679539571</f>
        <v>8.679539571E9</v>
      </c>
      <c r="W335" s="32" t="n">
        <f>1793840371</f>
        <v>1.793840371E9</v>
      </c>
      <c r="X335" s="36" t="n">
        <f>21</f>
        <v>21.0</v>
      </c>
    </row>
    <row r="336">
      <c r="A336" s="27" t="s">
        <v>42</v>
      </c>
      <c r="B336" s="27" t="s">
        <v>1061</v>
      </c>
      <c r="C336" s="27" t="s">
        <v>1062</v>
      </c>
      <c r="D336" s="27" t="s">
        <v>1063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335500</f>
        <v>335500.0</v>
      </c>
      <c r="L336" s="34" t="s">
        <v>48</v>
      </c>
      <c r="M336" s="33" t="n">
        <f>343500</f>
        <v>343500.0</v>
      </c>
      <c r="N336" s="34" t="s">
        <v>91</v>
      </c>
      <c r="O336" s="33" t="n">
        <f>316500</f>
        <v>316500.0</v>
      </c>
      <c r="P336" s="34" t="s">
        <v>50</v>
      </c>
      <c r="Q336" s="33" t="n">
        <f>340500</f>
        <v>340500.0</v>
      </c>
      <c r="R336" s="34" t="s">
        <v>51</v>
      </c>
      <c r="S336" s="35" t="n">
        <f>333785.71</f>
        <v>333785.71</v>
      </c>
      <c r="T336" s="32" t="n">
        <f>42696</f>
        <v>42696.0</v>
      </c>
      <c r="U336" s="32" t="n">
        <f>8755</f>
        <v>8755.0</v>
      </c>
      <c r="V336" s="32" t="n">
        <f>14198715033</f>
        <v>1.4198715033E10</v>
      </c>
      <c r="W336" s="32" t="n">
        <f>2924388533</f>
        <v>2.924388533E9</v>
      </c>
      <c r="X336" s="36" t="n">
        <f>21</f>
        <v>21.0</v>
      </c>
    </row>
    <row r="337">
      <c r="A337" s="27" t="s">
        <v>42</v>
      </c>
      <c r="B337" s="27" t="s">
        <v>1064</v>
      </c>
      <c r="C337" s="27" t="s">
        <v>1065</v>
      </c>
      <c r="D337" s="27" t="s">
        <v>1066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167100</f>
        <v>167100.0</v>
      </c>
      <c r="L337" s="34" t="s">
        <v>48</v>
      </c>
      <c r="M337" s="33" t="n">
        <f>172600</f>
        <v>172600.0</v>
      </c>
      <c r="N337" s="34" t="s">
        <v>91</v>
      </c>
      <c r="O337" s="33" t="n">
        <f>159800</f>
        <v>159800.0</v>
      </c>
      <c r="P337" s="34" t="s">
        <v>50</v>
      </c>
      <c r="Q337" s="33" t="n">
        <f>169100</f>
        <v>169100.0</v>
      </c>
      <c r="R337" s="34" t="s">
        <v>51</v>
      </c>
      <c r="S337" s="35" t="n">
        <f>167761.9</f>
        <v>167761.9</v>
      </c>
      <c r="T337" s="32" t="n">
        <f>37755</f>
        <v>37755.0</v>
      </c>
      <c r="U337" s="32" t="n">
        <f>8299</f>
        <v>8299.0</v>
      </c>
      <c r="V337" s="32" t="n">
        <f>6316945702</f>
        <v>6.316945702E9</v>
      </c>
      <c r="W337" s="32" t="n">
        <f>1397783402</f>
        <v>1.397783402E9</v>
      </c>
      <c r="X337" s="36" t="n">
        <f>21</f>
        <v>21.0</v>
      </c>
    </row>
    <row r="338">
      <c r="A338" s="27" t="s">
        <v>42</v>
      </c>
      <c r="B338" s="27" t="s">
        <v>1067</v>
      </c>
      <c r="C338" s="27" t="s">
        <v>1068</v>
      </c>
      <c r="D338" s="27" t="s">
        <v>1069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773000</f>
        <v>773000.0</v>
      </c>
      <c r="L338" s="34" t="s">
        <v>48</v>
      </c>
      <c r="M338" s="33" t="n">
        <f>773000</f>
        <v>773000.0</v>
      </c>
      <c r="N338" s="34" t="s">
        <v>48</v>
      </c>
      <c r="O338" s="33" t="n">
        <f>705000</f>
        <v>705000.0</v>
      </c>
      <c r="P338" s="34" t="s">
        <v>179</v>
      </c>
      <c r="Q338" s="33" t="n">
        <f>721000</f>
        <v>721000.0</v>
      </c>
      <c r="R338" s="34" t="s">
        <v>51</v>
      </c>
      <c r="S338" s="35" t="n">
        <f>729285.71</f>
        <v>729285.71</v>
      </c>
      <c r="T338" s="32" t="n">
        <f>48461</f>
        <v>48461.0</v>
      </c>
      <c r="U338" s="32" t="n">
        <f>7505</f>
        <v>7505.0</v>
      </c>
      <c r="V338" s="32" t="n">
        <f>35323462256</f>
        <v>3.5323462256E10</v>
      </c>
      <c r="W338" s="32" t="n">
        <f>5465906256</f>
        <v>5.465906256E9</v>
      </c>
      <c r="X338" s="36" t="n">
        <f>21</f>
        <v>21.0</v>
      </c>
    </row>
    <row r="339">
      <c r="A339" s="27" t="s">
        <v>42</v>
      </c>
      <c r="B339" s="27" t="s">
        <v>1070</v>
      </c>
      <c r="C339" s="27" t="s">
        <v>1071</v>
      </c>
      <c r="D339" s="27" t="s">
        <v>1072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89900</f>
        <v>89900.0</v>
      </c>
      <c r="L339" s="34" t="s">
        <v>48</v>
      </c>
      <c r="M339" s="33" t="n">
        <f>91700</f>
        <v>91700.0</v>
      </c>
      <c r="N339" s="34" t="s">
        <v>95</v>
      </c>
      <c r="O339" s="33" t="n">
        <f>85300</f>
        <v>85300.0</v>
      </c>
      <c r="P339" s="34" t="s">
        <v>51</v>
      </c>
      <c r="Q339" s="33" t="n">
        <f>86300</f>
        <v>86300.0</v>
      </c>
      <c r="R339" s="34" t="s">
        <v>51</v>
      </c>
      <c r="S339" s="35" t="n">
        <f>89271.43</f>
        <v>89271.43</v>
      </c>
      <c r="T339" s="32" t="n">
        <f>102468</f>
        <v>102468.0</v>
      </c>
      <c r="U339" s="32" t="n">
        <f>18547</f>
        <v>18547.0</v>
      </c>
      <c r="V339" s="32" t="n">
        <f>9119972415</f>
        <v>9.119972415E9</v>
      </c>
      <c r="W339" s="32" t="n">
        <f>1652036515</f>
        <v>1.652036515E9</v>
      </c>
      <c r="X339" s="36" t="n">
        <f>21</f>
        <v>21.0</v>
      </c>
    </row>
    <row r="340">
      <c r="A340" s="27" t="s">
        <v>42</v>
      </c>
      <c r="B340" s="27" t="s">
        <v>1073</v>
      </c>
      <c r="C340" s="27" t="s">
        <v>1074</v>
      </c>
      <c r="D340" s="27" t="s">
        <v>1075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752000</f>
        <v>752000.0</v>
      </c>
      <c r="L340" s="34" t="s">
        <v>48</v>
      </c>
      <c r="M340" s="33" t="n">
        <f>756000</f>
        <v>756000.0</v>
      </c>
      <c r="N340" s="34" t="s">
        <v>48</v>
      </c>
      <c r="O340" s="33" t="n">
        <f>705000</f>
        <v>705000.0</v>
      </c>
      <c r="P340" s="34" t="s">
        <v>50</v>
      </c>
      <c r="Q340" s="33" t="n">
        <f>735000</f>
        <v>735000.0</v>
      </c>
      <c r="R340" s="34" t="s">
        <v>51</v>
      </c>
      <c r="S340" s="35" t="n">
        <f>730000</f>
        <v>730000.0</v>
      </c>
      <c r="T340" s="32" t="n">
        <f>29608</f>
        <v>29608.0</v>
      </c>
      <c r="U340" s="32" t="n">
        <f>4873</f>
        <v>4873.0</v>
      </c>
      <c r="V340" s="32" t="n">
        <f>21606109581</f>
        <v>2.1606109581E10</v>
      </c>
      <c r="W340" s="32" t="n">
        <f>3565329581</f>
        <v>3.565329581E9</v>
      </c>
      <c r="X340" s="36" t="n">
        <f>21</f>
        <v>21.0</v>
      </c>
    </row>
    <row r="341">
      <c r="A341" s="27" t="s">
        <v>42</v>
      </c>
      <c r="B341" s="27" t="s">
        <v>1076</v>
      </c>
      <c r="C341" s="27" t="s">
        <v>1077</v>
      </c>
      <c r="D341" s="27" t="s">
        <v>1078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164000</f>
        <v>164000.0</v>
      </c>
      <c r="L341" s="34" t="s">
        <v>48</v>
      </c>
      <c r="M341" s="33" t="n">
        <f>169800</f>
        <v>169800.0</v>
      </c>
      <c r="N341" s="34" t="s">
        <v>488</v>
      </c>
      <c r="O341" s="33" t="n">
        <f>158200</f>
        <v>158200.0</v>
      </c>
      <c r="P341" s="34" t="s">
        <v>50</v>
      </c>
      <c r="Q341" s="33" t="n">
        <f>168300</f>
        <v>168300.0</v>
      </c>
      <c r="R341" s="34" t="s">
        <v>51</v>
      </c>
      <c r="S341" s="35" t="n">
        <f>165728.57</f>
        <v>165728.57</v>
      </c>
      <c r="T341" s="32" t="n">
        <f>39766</f>
        <v>39766.0</v>
      </c>
      <c r="U341" s="32" t="n">
        <f>7018</f>
        <v>7018.0</v>
      </c>
      <c r="V341" s="32" t="n">
        <f>6568535646</f>
        <v>6.568535646E9</v>
      </c>
      <c r="W341" s="32" t="n">
        <f>1164603346</f>
        <v>1.164603346E9</v>
      </c>
      <c r="X341" s="36" t="n">
        <f>21</f>
        <v>21.0</v>
      </c>
    </row>
    <row r="342">
      <c r="A342" s="27" t="s">
        <v>42</v>
      </c>
      <c r="B342" s="27" t="s">
        <v>1079</v>
      </c>
      <c r="C342" s="27" t="s">
        <v>1080</v>
      </c>
      <c r="D342" s="27" t="s">
        <v>1081</v>
      </c>
      <c r="E342" s="28" t="s">
        <v>46</v>
      </c>
      <c r="F342" s="29" t="s">
        <v>46</v>
      </c>
      <c r="G342" s="30" t="s">
        <v>46</v>
      </c>
      <c r="H342" s="31"/>
      <c r="I342" s="31" t="s">
        <v>622</v>
      </c>
      <c r="J342" s="32" t="n">
        <v>1.0</v>
      </c>
      <c r="K342" s="33" t="n">
        <f>249400</f>
        <v>249400.0</v>
      </c>
      <c r="L342" s="34" t="s">
        <v>48</v>
      </c>
      <c r="M342" s="33" t="n">
        <f>251000</f>
        <v>251000.0</v>
      </c>
      <c r="N342" s="34" t="s">
        <v>95</v>
      </c>
      <c r="O342" s="33" t="n">
        <f>236000</f>
        <v>236000.0</v>
      </c>
      <c r="P342" s="34" t="s">
        <v>50</v>
      </c>
      <c r="Q342" s="33" t="n">
        <f>239600</f>
        <v>239600.0</v>
      </c>
      <c r="R342" s="34" t="s">
        <v>51</v>
      </c>
      <c r="S342" s="35" t="n">
        <f>245233.33</f>
        <v>245233.33</v>
      </c>
      <c r="T342" s="32" t="n">
        <f>16923</f>
        <v>16923.0</v>
      </c>
      <c r="U342" s="32" t="n">
        <f>2332</f>
        <v>2332.0</v>
      </c>
      <c r="V342" s="32" t="n">
        <f>4138228488</f>
        <v>4.138228488E9</v>
      </c>
      <c r="W342" s="32" t="n">
        <f>572263188</f>
        <v>5.72263188E8</v>
      </c>
      <c r="X342" s="36" t="n">
        <f>21</f>
        <v>21.0</v>
      </c>
    </row>
    <row r="343">
      <c r="A343" s="27" t="s">
        <v>42</v>
      </c>
      <c r="B343" s="27" t="s">
        <v>1082</v>
      </c>
      <c r="C343" s="27" t="s">
        <v>1083</v>
      </c>
      <c r="D343" s="27" t="s">
        <v>1084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329000</f>
        <v>329000.0</v>
      </c>
      <c r="L343" s="34" t="s">
        <v>48</v>
      </c>
      <c r="M343" s="33" t="n">
        <f>337000</f>
        <v>337000.0</v>
      </c>
      <c r="N343" s="34" t="s">
        <v>91</v>
      </c>
      <c r="O343" s="33" t="n">
        <f>308500</f>
        <v>308500.0</v>
      </c>
      <c r="P343" s="34" t="s">
        <v>50</v>
      </c>
      <c r="Q343" s="33" t="n">
        <f>327000</f>
        <v>327000.0</v>
      </c>
      <c r="R343" s="34" t="s">
        <v>51</v>
      </c>
      <c r="S343" s="35" t="n">
        <f>324500</f>
        <v>324500.0</v>
      </c>
      <c r="T343" s="32" t="n">
        <f>140816</f>
        <v>140816.0</v>
      </c>
      <c r="U343" s="32" t="n">
        <f>30557</f>
        <v>30557.0</v>
      </c>
      <c r="V343" s="32" t="n">
        <f>45634184302</f>
        <v>4.5634184302E10</v>
      </c>
      <c r="W343" s="32" t="n">
        <f>9902843302</f>
        <v>9.902843302E9</v>
      </c>
      <c r="X343" s="36" t="n">
        <f>21</f>
        <v>21.0</v>
      </c>
    </row>
    <row r="344">
      <c r="A344" s="27" t="s">
        <v>42</v>
      </c>
      <c r="B344" s="27" t="s">
        <v>1085</v>
      </c>
      <c r="C344" s="27" t="s">
        <v>1086</v>
      </c>
      <c r="D344" s="27" t="s">
        <v>1087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68100</f>
        <v>68100.0</v>
      </c>
      <c r="L344" s="34" t="s">
        <v>48</v>
      </c>
      <c r="M344" s="33" t="n">
        <f>69100</f>
        <v>69100.0</v>
      </c>
      <c r="N344" s="34" t="s">
        <v>192</v>
      </c>
      <c r="O344" s="33" t="n">
        <f>64300</f>
        <v>64300.0</v>
      </c>
      <c r="P344" s="34" t="s">
        <v>58</v>
      </c>
      <c r="Q344" s="33" t="n">
        <f>68800</f>
        <v>68800.0</v>
      </c>
      <c r="R344" s="34" t="s">
        <v>51</v>
      </c>
      <c r="S344" s="35" t="n">
        <f>66666.67</f>
        <v>66666.67</v>
      </c>
      <c r="T344" s="32" t="n">
        <f>436574</f>
        <v>436574.0</v>
      </c>
      <c r="U344" s="32" t="n">
        <f>142816</f>
        <v>142816.0</v>
      </c>
      <c r="V344" s="32" t="n">
        <f>29111322650</f>
        <v>2.911132265E10</v>
      </c>
      <c r="W344" s="32" t="n">
        <f>9529088450</f>
        <v>9.52908845E9</v>
      </c>
      <c r="X344" s="36" t="n">
        <f>21</f>
        <v>21.0</v>
      </c>
    </row>
    <row r="345">
      <c r="A345" s="27" t="s">
        <v>42</v>
      </c>
      <c r="B345" s="27" t="s">
        <v>1088</v>
      </c>
      <c r="C345" s="27" t="s">
        <v>1089</v>
      </c>
      <c r="D345" s="27" t="s">
        <v>1090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112200</f>
        <v>112200.0</v>
      </c>
      <c r="L345" s="34" t="s">
        <v>48</v>
      </c>
      <c r="M345" s="33" t="n">
        <f>115600</f>
        <v>115600.0</v>
      </c>
      <c r="N345" s="34" t="s">
        <v>488</v>
      </c>
      <c r="O345" s="33" t="n">
        <f>106700</f>
        <v>106700.0</v>
      </c>
      <c r="P345" s="34" t="s">
        <v>50</v>
      </c>
      <c r="Q345" s="33" t="n">
        <f>115000</f>
        <v>115000.0</v>
      </c>
      <c r="R345" s="34" t="s">
        <v>51</v>
      </c>
      <c r="S345" s="35" t="n">
        <f>112671.43</f>
        <v>112671.43</v>
      </c>
      <c r="T345" s="32" t="n">
        <f>189318</f>
        <v>189318.0</v>
      </c>
      <c r="U345" s="32" t="n">
        <f>44102</f>
        <v>44102.0</v>
      </c>
      <c r="V345" s="32" t="n">
        <f>21106739205</f>
        <v>2.1106739205E10</v>
      </c>
      <c r="W345" s="32" t="n">
        <f>4898168405</f>
        <v>4.898168405E9</v>
      </c>
      <c r="X345" s="36" t="n">
        <f>21</f>
        <v>21.0</v>
      </c>
    </row>
    <row r="346">
      <c r="A346" s="27" t="s">
        <v>42</v>
      </c>
      <c r="B346" s="27" t="s">
        <v>1091</v>
      </c>
      <c r="C346" s="27" t="s">
        <v>1092</v>
      </c>
      <c r="D346" s="27" t="s">
        <v>1093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138000</f>
        <v>138000.0</v>
      </c>
      <c r="L346" s="34" t="s">
        <v>48</v>
      </c>
      <c r="M346" s="33" t="n">
        <f>139000</f>
        <v>139000.0</v>
      </c>
      <c r="N346" s="34" t="s">
        <v>91</v>
      </c>
      <c r="O346" s="33" t="n">
        <f>130900</f>
        <v>130900.0</v>
      </c>
      <c r="P346" s="34" t="s">
        <v>50</v>
      </c>
      <c r="Q346" s="33" t="n">
        <f>137700</f>
        <v>137700.0</v>
      </c>
      <c r="R346" s="34" t="s">
        <v>51</v>
      </c>
      <c r="S346" s="35" t="n">
        <f>135942.86</f>
        <v>135942.86</v>
      </c>
      <c r="T346" s="32" t="n">
        <f>81713</f>
        <v>81713.0</v>
      </c>
      <c r="U346" s="32" t="n">
        <f>16611</f>
        <v>16611.0</v>
      </c>
      <c r="V346" s="32" t="n">
        <f>11103543550</f>
        <v>1.110354355E10</v>
      </c>
      <c r="W346" s="32" t="n">
        <f>2257521750</f>
        <v>2.25752175E9</v>
      </c>
      <c r="X346" s="36" t="n">
        <f>21</f>
        <v>21.0</v>
      </c>
    </row>
    <row r="347">
      <c r="A347" s="27" t="s">
        <v>42</v>
      </c>
      <c r="B347" s="27" t="s">
        <v>1094</v>
      </c>
      <c r="C347" s="27" t="s">
        <v>1095</v>
      </c>
      <c r="D347" s="27" t="s">
        <v>1096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122200</f>
        <v>122200.0</v>
      </c>
      <c r="L347" s="34" t="s">
        <v>48</v>
      </c>
      <c r="M347" s="33" t="n">
        <f>123000</f>
        <v>123000.0</v>
      </c>
      <c r="N347" s="34" t="s">
        <v>321</v>
      </c>
      <c r="O347" s="33" t="n">
        <f>121400</f>
        <v>121400.0</v>
      </c>
      <c r="P347" s="34" t="s">
        <v>208</v>
      </c>
      <c r="Q347" s="33" t="n">
        <f>122200</f>
        <v>122200.0</v>
      </c>
      <c r="R347" s="34" t="s">
        <v>51</v>
      </c>
      <c r="S347" s="35" t="n">
        <f>121895.24</f>
        <v>121895.24</v>
      </c>
      <c r="T347" s="32" t="n">
        <f>8513</f>
        <v>8513.0</v>
      </c>
      <c r="U347" s="32" t="n">
        <f>28</f>
        <v>28.0</v>
      </c>
      <c r="V347" s="32" t="n">
        <f>1038391848</f>
        <v>1.038391848E9</v>
      </c>
      <c r="W347" s="32" t="n">
        <f>3414748</f>
        <v>3414748.0</v>
      </c>
      <c r="X347" s="36" t="n">
        <f>21</f>
        <v>21.0</v>
      </c>
    </row>
    <row r="348">
      <c r="A348" s="27" t="s">
        <v>42</v>
      </c>
      <c r="B348" s="27" t="s">
        <v>1097</v>
      </c>
      <c r="C348" s="27" t="s">
        <v>1098</v>
      </c>
      <c r="D348" s="27" t="s">
        <v>1099</v>
      </c>
      <c r="E348" s="28" t="s">
        <v>46</v>
      </c>
      <c r="F348" s="29" t="s">
        <v>46</v>
      </c>
      <c r="G348" s="30" t="s">
        <v>46</v>
      </c>
      <c r="H348" s="31"/>
      <c r="I348" s="31" t="s">
        <v>622</v>
      </c>
      <c r="J348" s="32" t="n">
        <v>1.0</v>
      </c>
      <c r="K348" s="33" t="n">
        <f>66300</f>
        <v>66300.0</v>
      </c>
      <c r="L348" s="34" t="s">
        <v>48</v>
      </c>
      <c r="M348" s="33" t="n">
        <f>67000</f>
        <v>67000.0</v>
      </c>
      <c r="N348" s="34" t="s">
        <v>74</v>
      </c>
      <c r="O348" s="33" t="n">
        <f>65600</f>
        <v>65600.0</v>
      </c>
      <c r="P348" s="34" t="s">
        <v>50</v>
      </c>
      <c r="Q348" s="33" t="n">
        <f>66700</f>
        <v>66700.0</v>
      </c>
      <c r="R348" s="34" t="s">
        <v>51</v>
      </c>
      <c r="S348" s="35" t="n">
        <f>66119.05</f>
        <v>66119.05</v>
      </c>
      <c r="T348" s="32" t="n">
        <f>3492</f>
        <v>3492.0</v>
      </c>
      <c r="U348" s="32" t="n">
        <f>10</f>
        <v>10.0</v>
      </c>
      <c r="V348" s="32" t="n">
        <f>230937400</f>
        <v>2.309374E8</v>
      </c>
      <c r="W348" s="32" t="n">
        <f>664700</f>
        <v>664700.0</v>
      </c>
      <c r="X348" s="36" t="n">
        <f>21</f>
        <v>21.0</v>
      </c>
    </row>
    <row r="349">
      <c r="A349" s="27" t="s">
        <v>42</v>
      </c>
      <c r="B349" s="27" t="s">
        <v>1100</v>
      </c>
      <c r="C349" s="27" t="s">
        <v>1101</v>
      </c>
      <c r="D349" s="27" t="s">
        <v>1102</v>
      </c>
      <c r="E349" s="28" t="s">
        <v>46</v>
      </c>
      <c r="F349" s="29" t="s">
        <v>46</v>
      </c>
      <c r="G349" s="30" t="s">
        <v>46</v>
      </c>
      <c r="H349" s="31"/>
      <c r="I349" s="31" t="s">
        <v>622</v>
      </c>
      <c r="J349" s="32" t="n">
        <v>1.0</v>
      </c>
      <c r="K349" s="33" t="n">
        <f>108300</f>
        <v>108300.0</v>
      </c>
      <c r="L349" s="34" t="s">
        <v>48</v>
      </c>
      <c r="M349" s="33" t="n">
        <f>109800</f>
        <v>109800.0</v>
      </c>
      <c r="N349" s="34" t="s">
        <v>51</v>
      </c>
      <c r="O349" s="33" t="n">
        <f>107500</f>
        <v>107500.0</v>
      </c>
      <c r="P349" s="34" t="s">
        <v>50</v>
      </c>
      <c r="Q349" s="33" t="n">
        <f>108600</f>
        <v>108600.0</v>
      </c>
      <c r="R349" s="34" t="s">
        <v>51</v>
      </c>
      <c r="S349" s="35" t="n">
        <f>108019.05</f>
        <v>108019.05</v>
      </c>
      <c r="T349" s="32" t="n">
        <f>5959</f>
        <v>5959.0</v>
      </c>
      <c r="U349" s="32" t="n">
        <f>1836</f>
        <v>1836.0</v>
      </c>
      <c r="V349" s="32" t="n">
        <f>643946699</f>
        <v>6.43946699E8</v>
      </c>
      <c r="W349" s="32" t="n">
        <f>198429899</f>
        <v>1.98429899E8</v>
      </c>
      <c r="X349" s="36" t="n">
        <f>21</f>
        <v>21.0</v>
      </c>
    </row>
    <row r="350">
      <c r="A350" s="27" t="s">
        <v>42</v>
      </c>
      <c r="B350" s="27" t="s">
        <v>1103</v>
      </c>
      <c r="C350" s="27" t="s">
        <v>1104</v>
      </c>
      <c r="D350" s="27" t="s">
        <v>1105</v>
      </c>
      <c r="E350" s="28" t="s">
        <v>46</v>
      </c>
      <c r="F350" s="29" t="s">
        <v>46</v>
      </c>
      <c r="G350" s="30" t="s">
        <v>46</v>
      </c>
      <c r="H350" s="31"/>
      <c r="I350" s="31" t="s">
        <v>622</v>
      </c>
      <c r="J350" s="32" t="n">
        <v>1.0</v>
      </c>
      <c r="K350" s="33" t="n">
        <f>125200</f>
        <v>125200.0</v>
      </c>
      <c r="L350" s="34" t="s">
        <v>48</v>
      </c>
      <c r="M350" s="33" t="n">
        <f>125600</f>
        <v>125600.0</v>
      </c>
      <c r="N350" s="34" t="s">
        <v>48</v>
      </c>
      <c r="O350" s="33" t="n">
        <f>124400</f>
        <v>124400.0</v>
      </c>
      <c r="P350" s="34" t="s">
        <v>179</v>
      </c>
      <c r="Q350" s="33" t="n">
        <f>124700</f>
        <v>124700.0</v>
      </c>
      <c r="R350" s="34" t="s">
        <v>51</v>
      </c>
      <c r="S350" s="35" t="n">
        <f>124942.86</f>
        <v>124942.86</v>
      </c>
      <c r="T350" s="32" t="n">
        <f>13824</f>
        <v>13824.0</v>
      </c>
      <c r="U350" s="32" t="n">
        <f>1161</f>
        <v>1161.0</v>
      </c>
      <c r="V350" s="32" t="n">
        <f>1727337603</f>
        <v>1.727337603E9</v>
      </c>
      <c r="W350" s="32" t="n">
        <f>144220003</f>
        <v>1.44220003E8</v>
      </c>
      <c r="X350" s="36" t="n">
        <f>21</f>
        <v>21.0</v>
      </c>
    </row>
    <row r="351">
      <c r="A351" s="27" t="s">
        <v>42</v>
      </c>
      <c r="B351" s="27" t="s">
        <v>1106</v>
      </c>
      <c r="C351" s="27" t="s">
        <v>1107</v>
      </c>
      <c r="D351" s="27" t="s">
        <v>1108</v>
      </c>
      <c r="E351" s="28" t="s">
        <v>46</v>
      </c>
      <c r="F351" s="29" t="s">
        <v>46</v>
      </c>
      <c r="G351" s="30" t="s">
        <v>46</v>
      </c>
      <c r="H351" s="31"/>
      <c r="I351" s="31" t="s">
        <v>622</v>
      </c>
      <c r="J351" s="32" t="n">
        <v>1.0</v>
      </c>
      <c r="K351" s="33" t="n">
        <f>101300</f>
        <v>101300.0</v>
      </c>
      <c r="L351" s="34" t="s">
        <v>48</v>
      </c>
      <c r="M351" s="33" t="n">
        <f>103500</f>
        <v>103500.0</v>
      </c>
      <c r="N351" s="34" t="s">
        <v>488</v>
      </c>
      <c r="O351" s="33" t="n">
        <f>101200</f>
        <v>101200.0</v>
      </c>
      <c r="P351" s="34" t="s">
        <v>78</v>
      </c>
      <c r="Q351" s="33" t="n">
        <f>102300</f>
        <v>102300.0</v>
      </c>
      <c r="R351" s="34" t="s">
        <v>51</v>
      </c>
      <c r="S351" s="35" t="n">
        <f>102204.76</f>
        <v>102204.76</v>
      </c>
      <c r="T351" s="32" t="n">
        <f>3498</f>
        <v>3498.0</v>
      </c>
      <c r="U351" s="32" t="n">
        <f>450</f>
        <v>450.0</v>
      </c>
      <c r="V351" s="32" t="n">
        <f>354646600</f>
        <v>3.546466E8</v>
      </c>
      <c r="W351" s="32" t="n">
        <f>43262400</f>
        <v>4.32624E7</v>
      </c>
      <c r="X351" s="36" t="n">
        <f>21</f>
        <v>21.0</v>
      </c>
    </row>
    <row r="352">
      <c r="A352" s="27" t="s">
        <v>42</v>
      </c>
      <c r="B352" s="27" t="s">
        <v>1109</v>
      </c>
      <c r="C352" s="27" t="s">
        <v>1110</v>
      </c>
      <c r="D352" s="27" t="s">
        <v>1111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99100</f>
        <v>99100.0</v>
      </c>
      <c r="L352" s="34" t="s">
        <v>48</v>
      </c>
      <c r="M352" s="33" t="n">
        <f>99500</f>
        <v>99500.0</v>
      </c>
      <c r="N352" s="34" t="s">
        <v>208</v>
      </c>
      <c r="O352" s="33" t="n">
        <f>96300</f>
        <v>96300.0</v>
      </c>
      <c r="P352" s="34" t="s">
        <v>95</v>
      </c>
      <c r="Q352" s="33" t="n">
        <f>97400</f>
        <v>97400.0</v>
      </c>
      <c r="R352" s="34" t="s">
        <v>51</v>
      </c>
      <c r="S352" s="35" t="n">
        <f>98047.62</f>
        <v>98047.62</v>
      </c>
      <c r="T352" s="32" t="n">
        <f>34305</f>
        <v>34305.0</v>
      </c>
      <c r="U352" s="32" t="n">
        <f>1002</f>
        <v>1002.0</v>
      </c>
      <c r="V352" s="32" t="n">
        <f>3358172950</f>
        <v>3.35817295E9</v>
      </c>
      <c r="W352" s="32" t="n">
        <f>91088150</f>
        <v>9.108815E7</v>
      </c>
      <c r="X352" s="36" t="n">
        <f>21</f>
        <v>21.0</v>
      </c>
    </row>
    <row r="353">
      <c r="A353" s="27" t="s">
        <v>42</v>
      </c>
      <c r="B353" s="27" t="s">
        <v>1112</v>
      </c>
      <c r="C353" s="27" t="s">
        <v>1113</v>
      </c>
      <c r="D353" s="27" t="s">
        <v>1114</v>
      </c>
      <c r="E353" s="28" t="s">
        <v>46</v>
      </c>
      <c r="F353" s="29" t="s">
        <v>46</v>
      </c>
      <c r="G353" s="30" t="s">
        <v>46</v>
      </c>
      <c r="H353" s="31"/>
      <c r="I353" s="31" t="s">
        <v>622</v>
      </c>
      <c r="J353" s="32" t="n">
        <v>1.0</v>
      </c>
      <c r="K353" s="33" t="n">
        <f>100100</f>
        <v>100100.0</v>
      </c>
      <c r="L353" s="34" t="s">
        <v>48</v>
      </c>
      <c r="M353" s="33" t="n">
        <f>101200</f>
        <v>101200.0</v>
      </c>
      <c r="N353" s="34" t="s">
        <v>321</v>
      </c>
      <c r="O353" s="33" t="n">
        <f>99000</f>
        <v>99000.0</v>
      </c>
      <c r="P353" s="34" t="s">
        <v>334</v>
      </c>
      <c r="Q353" s="33" t="n">
        <f>99800</f>
        <v>99800.0</v>
      </c>
      <c r="R353" s="34" t="s">
        <v>51</v>
      </c>
      <c r="S353" s="35" t="n">
        <f>99880.95</f>
        <v>99880.95</v>
      </c>
      <c r="T353" s="32" t="n">
        <f>8032</f>
        <v>8032.0</v>
      </c>
      <c r="U353" s="32" t="n">
        <f>1531</f>
        <v>1531.0</v>
      </c>
      <c r="V353" s="32" t="n">
        <f>798668400</f>
        <v>7.986684E8</v>
      </c>
      <c r="W353" s="32" t="n">
        <f>149262800</f>
        <v>1.492628E8</v>
      </c>
      <c r="X353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