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<sst xmlns="http://schemas.openxmlformats.org/spreadsheetml/2006/main" count="4171" uniqueCount="1101">
  <si>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</si>
  <si>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</si>
  <si>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</si>
  <si>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</si>
  <si>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</si>
  <si>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</si>
  <si>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</si>
  <si>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</si>
  <si>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</si>
  <si>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</si>
  <si>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</si>
  <si>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</si>
  <si>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</si>
  <si>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</si>
  <si>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</si>
  <si>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</si>
  <si>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</si>
  <si>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</si>
  <si>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</si>
  <si>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</si>
  <si>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</si>
  <si>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</si>
  <si>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</si>
  <si>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</si>
  <si>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</si>
  <si>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</si>
  <si>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</si>
  <si>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</si>
  <si>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</si>
  <si>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</si>
  <si>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</si>
  <si>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</si>
  <si>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</si>
  <si>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</si>
  <si>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</si>
  <si>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</si>
  <si>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</si>
  <si>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</si>
  <si>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</si>
  <si>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</si>
  <si>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</si>
  <si>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</si>
  <si>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2021/11</t>
  </si>
  <si>
    <t>1305</t>
  </si>
  <si>
    <t>ダイワ上場投信－トピックス　受益証券</t>
  </si>
  <si>
    <t>Daiwa ETF-TOPIX</t>
  </si>
  <si>
    <t/>
  </si>
  <si>
    <t>貸借</t>
  </si>
  <si>
    <t>1</t>
  </si>
  <si>
    <t>16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</si>
  <si>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</si>
  <si>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</si>
  <si>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</si>
  <si>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</si>
  <si>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</si>
  <si>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</si>
  <si>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</si>
  <si>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</si>
  <si>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</si>
  <si>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</si>
  <si>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</t>
  </si>
  <si>
    <t>10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</si>
  <si>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</si>
  <si>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</si>
  <si>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</si>
  <si>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</si>
  <si>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</si>
  <si>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</si>
  <si>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5</t>
  </si>
  <si>
    <t>29</t>
  </si>
  <si>
    <t>1313</t>
  </si>
  <si>
    <t>サムスンＫＯＤＥＸ２００証券上場指数投資信託[株式]　受益証券</t>
  </si>
  <si>
    <t>SAMSUNG KODEX200 SECURITIES EXCHANGE TRADED FUND [STOCK]</t>
  </si>
  <si>
    <t>8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</si>
  <si>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</si>
  <si>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</si>
  <si>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</si>
  <si>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</si>
  <si>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</si>
  <si>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</si>
  <si>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4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</si>
  <si>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</si>
  <si>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</si>
  <si>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</si>
  <si>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</si>
  <si>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</si>
  <si>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</si>
  <si>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26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</si>
  <si>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</si>
  <si>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</si>
  <si>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</si>
  <si>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</si>
  <si>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</si>
  <si>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</si>
  <si>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</si>
  <si>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</si>
  <si>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</si>
  <si>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12</t>
  </si>
  <si>
    <t>1326</t>
  </si>
  <si>
    <t>ＳＰＤＲゴールド・シェア　受益証券</t>
  </si>
  <si>
    <t>SPDR Gold Shares</t>
  </si>
  <si>
    <t>18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</si>
  <si>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</si>
  <si>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</si>
  <si>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</si>
  <si>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 xml:space="preserve">上場廃止  </t>
  </si>
  <si>
    <t xml:space="preserve">Removal  </t>
  </si>
  <si>
    <t xml:space="preserve">2021/11/05  </t>
  </si>
  <si>
    <t>整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</si>
  <si>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</si>
  <si>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</si>
  <si>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</si>
  <si>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</si>
  <si>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</si>
  <si>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</si>
  <si>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</si>
  <si>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</si>
  <si>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</si>
  <si>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</si>
  <si>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</si>
  <si>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</si>
  <si>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</si>
  <si>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</si>
  <si>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</si>
  <si>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</si>
  <si>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</si>
  <si>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</si>
  <si>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</si>
  <si>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</si>
  <si>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</si>
  <si>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</si>
  <si>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</si>
  <si>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</si>
  <si>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17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</si>
  <si>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</si>
  <si>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</si>
  <si>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</si>
  <si>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</si>
  <si>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</si>
  <si>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</si>
  <si>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</si>
  <si>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</si>
  <si>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</si>
  <si>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</si>
  <si>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</si>
  <si>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</si>
  <si>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</si>
  <si>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</si>
  <si>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</si>
  <si>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</si>
  <si>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</si>
  <si>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</si>
  <si>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</si>
  <si>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</si>
  <si>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</si>
  <si>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</si>
  <si>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</si>
  <si>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</si>
  <si>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</si>
  <si>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</si>
  <si>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</si>
  <si>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</si>
  <si>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</si>
  <si>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</si>
  <si>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</si>
  <si>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</si>
  <si>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</si>
  <si>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</si>
  <si>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</si>
  <si>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</si>
  <si>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</si>
  <si>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</si>
  <si>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</si>
  <si>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</si>
  <si>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</si>
  <si>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</si>
  <si>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</si>
  <si>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</si>
  <si>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</si>
  <si>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</si>
  <si>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</si>
  <si>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</si>
  <si>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</si>
  <si>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</si>
  <si>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</si>
  <si>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</si>
  <si>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</si>
  <si>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</si>
  <si>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</si>
  <si>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</si>
  <si>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</si>
  <si>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22</t>
  </si>
  <si>
    <t>1394</t>
  </si>
  <si>
    <t>ＵＢＳ　ＥＴＦ　先進国株（ＭＳＣＩワールド）　受益証券</t>
  </si>
  <si>
    <t>UBS ETF MSCI World UCITS ETF-JDR</t>
  </si>
  <si>
    <t>24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</si>
  <si>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</si>
  <si>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</si>
  <si>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</si>
  <si>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</si>
  <si>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</si>
  <si>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</si>
  <si>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</si>
  <si>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</si>
  <si>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</si>
  <si>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</si>
  <si>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</si>
  <si>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</si>
  <si>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</si>
  <si>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</si>
  <si>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</si>
  <si>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</si>
  <si>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</si>
  <si>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</si>
  <si>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</si>
  <si>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</si>
  <si>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</si>
  <si>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</si>
  <si>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</si>
  <si>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</si>
  <si>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</si>
  <si>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</si>
  <si>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</si>
  <si>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</si>
  <si>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</si>
  <si>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</si>
  <si>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</si>
  <si>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</si>
  <si>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</si>
  <si>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15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</si>
  <si>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</si>
  <si>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</si>
  <si>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</si>
  <si>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</si>
  <si>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</si>
  <si>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</si>
  <si>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</si>
  <si>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</si>
  <si>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</si>
  <si>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</si>
  <si>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</si>
  <si>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</si>
  <si>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9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</si>
  <si>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</si>
  <si>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</si>
  <si>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</si>
  <si>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</si>
  <si>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</si>
  <si>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</si>
  <si>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</si>
  <si>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</si>
  <si>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</si>
  <si>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</si>
  <si>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</si>
  <si>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</si>
  <si>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</si>
  <si>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</si>
  <si>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</si>
  <si>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</si>
  <si>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</si>
  <si>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</si>
  <si>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</si>
  <si>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</si>
  <si>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</si>
  <si>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</si>
  <si>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</si>
  <si>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</si>
  <si>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</si>
  <si>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</si>
  <si>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</si>
  <si>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</si>
  <si>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</si>
  <si>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</si>
  <si>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</si>
  <si>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</si>
  <si>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</si>
  <si>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</si>
  <si>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</si>
  <si>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</si>
  <si>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</si>
  <si>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</si>
  <si>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</si>
  <si>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</si>
  <si>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</si>
  <si>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</si>
  <si>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</si>
  <si>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</si>
  <si>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</si>
  <si>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</si>
  <si>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</si>
  <si>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</si>
  <si>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</si>
  <si>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</si>
  <si>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</si>
  <si>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</si>
  <si>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</si>
  <si>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</si>
  <si>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</si>
  <si>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</si>
  <si>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</si>
  <si>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</si>
  <si>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</si>
  <si>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</si>
  <si>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</si>
  <si>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</si>
  <si>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</si>
  <si>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</si>
  <si>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</si>
  <si>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</si>
  <si>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</si>
  <si>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</si>
  <si>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</si>
  <si>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</si>
  <si>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</si>
  <si>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</si>
  <si>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</si>
  <si>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</si>
  <si>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</si>
  <si>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</si>
  <si>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</si>
  <si>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</si>
  <si>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</si>
  <si>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</si>
  <si>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</si>
  <si>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</si>
  <si>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</si>
  <si>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</si>
  <si>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</si>
  <si>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</si>
  <si>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</si>
  <si>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</si>
  <si>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</si>
  <si>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</si>
  <si>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</si>
  <si>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</si>
  <si>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</si>
  <si>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</si>
  <si>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</si>
  <si>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</si>
  <si>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</si>
  <si>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</si>
  <si>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</si>
  <si>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25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</si>
  <si>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</si>
  <si>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</si>
  <si>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</si>
  <si>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</si>
  <si>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</si>
  <si>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</si>
  <si>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</si>
  <si>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</si>
  <si>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</si>
  <si>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</si>
  <si>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</si>
  <si>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</si>
  <si>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</si>
  <si>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</si>
  <si>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</si>
  <si>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</si>
  <si>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</si>
  <si>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</si>
  <si>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</si>
  <si>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</si>
  <si>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</si>
  <si>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</si>
  <si>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19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</si>
  <si>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</si>
  <si>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</si>
  <si>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</si>
  <si>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</si>
  <si>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</si>
  <si>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</si>
  <si>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</si>
  <si>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</si>
  <si>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</si>
  <si>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</si>
  <si>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</si>
  <si>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</si>
  <si>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</si>
  <si>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</si>
  <si>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</si>
  <si>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</si>
  <si>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</si>
  <si>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</si>
  <si>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</si>
  <si>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</si>
  <si>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</si>
  <si>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</si>
  <si>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</si>
  <si>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</si>
  <si>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</si>
  <si>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</si>
  <si>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</si>
  <si>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</si>
  <si>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</si>
  <si>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</si>
  <si>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</si>
  <si>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</si>
  <si>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</si>
  <si>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</si>
  <si>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</si>
  <si>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</si>
  <si>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</si>
  <si>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</si>
  <si>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</si>
  <si>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</si>
  <si>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</si>
  <si>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</si>
  <si>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</si>
  <si>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</si>
  <si>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</si>
  <si>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</si>
  <si>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</si>
  <si>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</si>
  <si>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</si>
  <si>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</si>
  <si>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</si>
  <si>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</si>
  <si>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</si>
  <si>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</si>
  <si>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</si>
  <si>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</si>
  <si>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</si>
  <si>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</si>
  <si>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</si>
  <si>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</si>
  <si>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</si>
  <si>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</si>
  <si>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</si>
  <si>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</si>
  <si>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</si>
  <si>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</si>
  <si>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</si>
  <si>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</si>
  <si>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</si>
  <si>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</si>
  <si>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</si>
  <si>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</si>
  <si>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</si>
  <si>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</si>
  <si>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</si>
  <si>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</si>
  <si>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</si>
  <si>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</si>
  <si>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</si>
  <si>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</si>
  <si>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</si>
  <si>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</si>
  <si>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</si>
  <si>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</si>
  <si>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</si>
  <si>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</si>
  <si>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</si>
  <si>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</si>
  <si>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</si>
  <si>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</si>
  <si>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</si>
  <si>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</si>
  <si>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</si>
  <si>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</si>
  <si>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</si>
  <si>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</si>
  <si>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</si>
  <si>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</si>
  <si>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</si>
  <si>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</si>
  <si>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</si>
  <si>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</si>
  <si>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</si>
  <si>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</si>
  <si>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</si>
  <si>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</si>
  <si>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</si>
  <si>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</si>
  <si>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</si>
  <si>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</si>
  <si>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</si>
  <si>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</si>
  <si>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</si>
  <si>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</si>
  <si>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</si>
  <si>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</si>
  <si>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</si>
  <si>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</si>
  <si>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</si>
  <si>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</si>
  <si>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</si>
  <si>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</si>
  <si>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</si>
  <si>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</si>
  <si>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</si>
  <si>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</si>
  <si>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</si>
  <si>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</si>
  <si>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</si>
  <si>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</si>
  <si>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</si>
  <si>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</si>
  <si>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</si>
  <si>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</si>
  <si>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</si>
  <si>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</si>
  <si>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</si>
  <si>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</si>
  <si>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</si>
  <si>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</si>
  <si>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</si>
  <si>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</si>
  <si>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</si>
  <si>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</si>
  <si>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</si>
  <si>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</si>
  <si>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</si>
  <si>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</si>
  <si>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</si>
  <si>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</si>
  <si>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</si>
  <si>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</si>
  <si>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</si>
  <si>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</si>
  <si>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</si>
  <si>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</si>
  <si>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</si>
  <si>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</si>
  <si>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</si>
  <si>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</si>
  <si>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</si>
  <si>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</si>
  <si>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</si>
  <si>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</si>
  <si>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</si>
  <si>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</si>
  <si>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</si>
  <si>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</si>
  <si>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</si>
  <si>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</si>
  <si>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</si>
  <si>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</si>
  <si>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</si>
  <si>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</si>
  <si>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11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</si>
  <si>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</si>
  <si>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</si>
  <si>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</si>
  <si>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</si>
  <si>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</si>
  <si>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</si>
  <si>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</si>
  <si>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</si>
  <si>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</si>
  <si>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</si>
  <si>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</si>
  <si>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</si>
  <si>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</si>
  <si>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</si>
  <si>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</si>
  <si>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</si>
  <si>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</si>
  <si>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</si>
  <si>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</si>
  <si>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</si>
  <si>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</si>
  <si>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</si>
  <si>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</si>
  <si>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</si>
  <si>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</si>
  <si>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</si>
  <si>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</si>
  <si>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</si>
  <si>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</si>
  <si>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</si>
  <si>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</si>
  <si>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</si>
  <si>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</si>
  <si>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</si>
  <si>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</si>
  <si>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</si>
  <si>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</si>
  <si>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</si>
  <si>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</si>
  <si>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</si>
  <si>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</si>
  <si>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</si>
  <si>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</si>
  <si>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</si>
  <si>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</si>
  <si>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</si>
  <si>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</si>
  <si>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</si>
  <si>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</si>
  <si>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</si>
  <si>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</si>
  <si>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</si>
  <si>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</si>
  <si>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</si>
  <si>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</si>
  <si>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</si>
  <si>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</si>
  <si>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</si>
  <si>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</si>
  <si>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</si>
  <si>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</si>
  <si>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</si>
  <si>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</si>
  <si>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</si>
  <si>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</si>
  <si>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</si>
  <si>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</si>
  <si>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</si>
  <si>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</si>
  <si>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</si>
  <si>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</si>
  <si>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</si>
  <si>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</si>
  <si>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</si>
  <si>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</si>
  <si>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</si>
  <si>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</si>
  <si>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</si>
  <si>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</si>
  <si>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</si>
  <si>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</si>
  <si>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</si>
  <si>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</si>
  <si>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</si>
  <si>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</si>
  <si>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</si>
  <si>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</si>
  <si>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</si>
  <si>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</si>
  <si>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</si>
  <si>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</si>
  <si>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</si>
  <si>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</si>
  <si>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</si>
  <si>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</si>
  <si>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</si>
  <si>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</si>
  <si>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</si>
  <si>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</si>
  <si>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</si>
  <si>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</si>
  <si>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</si>
  <si>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</si>
  <si>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</si>
  <si>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</si>
  <si>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</si>
  <si>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</si>
  <si>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</si>
  <si>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</si>
  <si>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</si>
  <si>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</si>
  <si>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</si>
  <si>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</si>
  <si>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</si>
  <si>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</si>
  <si>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</si>
  <si>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</si>
  <si>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</si>
  <si>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</si>
  <si>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</si>
  <si>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</si>
  <si>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</si>
  <si>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</si>
  <si>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</si>
  <si>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</si>
  <si>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</si>
  <si>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</si>
  <si>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</si>
  <si>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</si>
  <si>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</si>
  <si>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</si>
  <si>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</si>
  <si>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</si>
  <si>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</si>
  <si>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</si>
  <si>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</si>
  <si>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</si>
  <si>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</si>
  <si>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</si>
  <si>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</si>
  <si>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</si>
  <si>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</si>
  <si>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</si>
  <si>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</si>
  <si>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</si>
  <si>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</si>
  <si>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</si>
  <si>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</si>
  <si>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</si>
  <si>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</si>
  <si>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</si>
  <si>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</si>
  <si>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</si>
  <si>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</si>
  <si>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</si>
  <si>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</si>
  <si>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</si>
  <si>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</si>
  <si>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</si>
  <si>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</si>
  <si>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</si>
  <si>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</si>
  <si>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</si>
  <si>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</si>
  <si>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</si>
  <si>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</si>
  <si>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</si>
  <si>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</si>
  <si>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</si>
  <si>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</si>
  <si>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</si>
  <si>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</si>
  <si>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</si>
  <si>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</si>
  <si>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</si>
  <si>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</si>
  <si>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</si>
  <si>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</si>
  <si>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</si>
  <si>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</si>
  <si>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</si>
  <si>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</si>
  <si>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</si>
  <si>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</si>
  <si>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</si>
  <si>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</si>
  <si>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</si>
  <si>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</si>
  <si>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</si>
  <si>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</si>
  <si>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</si>
  <si>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</si>
  <si>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</si>
  <si>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</si>
  <si>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</si>
  <si>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</si>
  <si>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</si>
  <si>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</si>
  <si>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</si>
  <si>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</si>
  <si>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</si>
  <si>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</si>
  <si>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</si>
  <si>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</si>
  <si>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</si>
  <si>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</si>
  <si>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</si>
  <si>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</si>
  <si>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</si>
  <si>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</si>
  <si>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</si>
  <si>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</si>
  <si>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</si>
  <si>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</si>
  <si>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</si>
  <si>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</si>
  <si>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</si>
  <si>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</si>
  <si>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</si>
  <si>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</si>
  <si>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</si>
  <si>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</si>
  <si>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</si>
  <si>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</si>
  <si>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</si>
  <si>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</si>
  <si>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</si>
  <si>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</si>
  <si>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</si>
  <si>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</si>
  <si>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</si>
  <si>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</si>
  <si>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</si>
  <si>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</si>
  <si>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</si>
  <si>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</si>
  <si>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</si>
  <si>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</si>
  <si>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</si>
  <si>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</si>
  <si>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</si>
  <si>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</si>
  <si>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</si>
  <si>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</si>
  <si>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</si>
  <si>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</si>
  <si>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</si>
  <si>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</si>
  <si>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</si>
  <si>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</si>
  <si>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</si>
  <si>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</si>
  <si>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</si>
  <si>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</si>
  <si>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</si>
  <si>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</si>
  <si>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</si>
  <si>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</si>
  <si>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</si>
  <si>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</si>
  <si>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</si>
  <si>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</si>
  <si>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</si>
  <si>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</si>
  <si>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</si>
  <si>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</si>
  <si>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</si>
  <si>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</si>
  <si>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</si>
  <si>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</si>
  <si>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</si>
  <si>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</si>
  <si>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</si>
  <si>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</si>
  <si>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</si>
  <si>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</si>
  <si>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</si>
  <si>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</si>
  <si>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</si>
  <si>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</si>
  <si>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</si>
  <si>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</si>
  <si>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</si>
  <si>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</si>
  <si>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</si>
  <si>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</si>
  <si>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</si>
  <si>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</si>
  <si>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</si>
  <si>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</si>
  <si>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</si>
  <si>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</si>
  <si>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</si>
  <si>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</si>
  <si>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</si>
  <si>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</si>
  <si>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</si>
  <si>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</si>
  <si>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</si>
  <si>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</si>
  <si>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</si>
  <si>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</si>
  <si>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</si>
  <si>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</si>
  <si>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</si>
  <si>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</si>
  <si>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</si>
  <si>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</si>
  <si>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</si>
  <si>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</si>
  <si>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</si>
  <si>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</si>
  <si>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</si>
  <si>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</si>
  <si>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</si>
  <si>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</si>
  <si>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</si>
  <si>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</si>
  <si>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</si>
  <si>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</si>
  <si>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</si>
  <si>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</si>
  <si>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</si>
  <si>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</si>
  <si>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</si>
  <si>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</si>
  <si>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</si>
  <si>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</si>
  <si>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</si>
  <si>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</si>
  <si>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</si>
  <si>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</si>
  <si>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</si>
  <si>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</si>
  <si>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</si>
  <si>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</si>
  <si>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</si>
  <si>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</si>
  <si>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</si>
  <si>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</si>
  <si>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</si>
  <si>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</si>
  <si>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</si>
  <si>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</si>
  <si>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</si>
  <si>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</si>
  <si>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</si>
  <si>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</si>
  <si>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</si>
  <si>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</si>
  <si>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</si>
  <si>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</si>
  <si>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</si>
  <si>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</si>
  <si>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</si>
  <si>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</si>
  <si>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</si>
  <si>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</si>
  <si>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</si>
  <si>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</si>
  <si>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</si>
  <si>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</si>
  <si>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</si>
  <si>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</si>
  <si>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</si>
  <si>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</si>
  <si>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</si>
  <si>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</si>
  <si>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</si>
  <si>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</si>
  <si>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</si>
  <si>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</si>
  <si>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</si>
  <si>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</si>
  <si>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</si>
  <si>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</si>
  <si>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</si>
  <si>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</si>
  <si>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</si>
  <si>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</si>
  <si>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</si>
  <si>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</si>
  <si>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</si>
  <si>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</si>
  <si>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</si>
  <si>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</si>
  <si>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</si>
  <si>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</si>
  <si>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</si>
  <si>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</si>
  <si>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</si>
  <si>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</si>
  <si>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</si>
  <si>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</si>
  <si>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</si>
  <si>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</si>
  <si>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</si>
  <si>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</si>
  <si>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</si>
  <si>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</si>
  <si>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</si>
  <si>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</si>
  <si>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</si>
  <si>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</si>
  <si>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</si>
  <si>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</si>
  <si>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</si>
  <si>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</si>
  <si>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</si>
  <si>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 xml:space="preserve">2021/11/09  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</si>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</sst>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4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2140</f>
        <v>2140.0</v>
      </c>
      <c r="L7" s="34" t="s">
        <v>48</v>
      </c>
      <c r="M7" s="33" t="n">
        <f>2170</f>
        <v>2170.0</v>
      </c>
      <c r="N7" s="34" t="s">
        <v>49</v>
      </c>
      <c r="O7" s="33" t="n">
        <f>2025</f>
        <v>2025.0</v>
      </c>
      <c r="P7" s="34" t="s">
        <v>50</v>
      </c>
      <c r="Q7" s="33" t="n">
        <f>2027.5</f>
        <v>2027.5</v>
      </c>
      <c r="R7" s="34" t="s">
        <v>50</v>
      </c>
      <c r="S7" s="35" t="n">
        <f>2127.53</f>
        <v>2127.53</v>
      </c>
      <c r="T7" s="32" t="n">
        <f>6640180</f>
        <v>6640180.0</v>
      </c>
      <c r="U7" s="32" t="n">
        <f>1565020</f>
        <v>1565020.0</v>
      </c>
      <c r="V7" s="32" t="n">
        <f>14068640120</f>
        <v>1.406864012E10</v>
      </c>
      <c r="W7" s="32" t="n">
        <f>3282719180</f>
        <v>3.28271918E9</v>
      </c>
      <c r="X7" s="36" t="n">
        <f>20</f>
        <v>20.0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2117</f>
        <v>2117.0</v>
      </c>
      <c r="L8" s="34" t="s">
        <v>48</v>
      </c>
      <c r="M8" s="33" t="n">
        <f>2147</f>
        <v>2147.0</v>
      </c>
      <c r="N8" s="34" t="s">
        <v>49</v>
      </c>
      <c r="O8" s="33" t="n">
        <f>2002</f>
        <v>2002.0</v>
      </c>
      <c r="P8" s="34" t="s">
        <v>50</v>
      </c>
      <c r="Q8" s="33" t="n">
        <f>2008</f>
        <v>2008.0</v>
      </c>
      <c r="R8" s="34" t="s">
        <v>50</v>
      </c>
      <c r="S8" s="35" t="n">
        <f>2104.13</f>
        <v>2104.13</v>
      </c>
      <c r="T8" s="32" t="n">
        <f>45812390</f>
        <v>4.581239E7</v>
      </c>
      <c r="U8" s="32" t="n">
        <f>1387800</f>
        <v>1387800.0</v>
      </c>
      <c r="V8" s="32" t="n">
        <f>95886936484</f>
        <v>9.5886936484E10</v>
      </c>
      <c r="W8" s="32" t="n">
        <f>2896947224</f>
        <v>2.896947224E9</v>
      </c>
      <c r="X8" s="36" t="n">
        <f>20</f>
        <v>20.0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2092</f>
        <v>2092.0</v>
      </c>
      <c r="L9" s="34" t="s">
        <v>48</v>
      </c>
      <c r="M9" s="33" t="n">
        <f>2122</f>
        <v>2122.0</v>
      </c>
      <c r="N9" s="34" t="s">
        <v>49</v>
      </c>
      <c r="O9" s="33" t="n">
        <f>1980.5</f>
        <v>1980.5</v>
      </c>
      <c r="P9" s="34" t="s">
        <v>50</v>
      </c>
      <c r="Q9" s="33" t="n">
        <f>1980.5</f>
        <v>1980.5</v>
      </c>
      <c r="R9" s="34" t="s">
        <v>50</v>
      </c>
      <c r="S9" s="35" t="n">
        <f>2080.7</f>
        <v>2080.7</v>
      </c>
      <c r="T9" s="32" t="n">
        <f>6009100</f>
        <v>6009100.0</v>
      </c>
      <c r="U9" s="32" t="n">
        <f>55000</f>
        <v>55000.0</v>
      </c>
      <c r="V9" s="32" t="n">
        <f>12471367650</f>
        <v>1.247136765E10</v>
      </c>
      <c r="W9" s="32" t="n">
        <f>115305000</f>
        <v>1.15305E8</v>
      </c>
      <c r="X9" s="36" t="n">
        <f>20</f>
        <v>20.0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43650</f>
        <v>43650.0</v>
      </c>
      <c r="L10" s="34" t="s">
        <v>48</v>
      </c>
      <c r="M10" s="33" t="n">
        <f>44100</f>
        <v>44100.0</v>
      </c>
      <c r="N10" s="34" t="s">
        <v>60</v>
      </c>
      <c r="O10" s="33" t="n">
        <f>41850</f>
        <v>41850.0</v>
      </c>
      <c r="P10" s="34" t="s">
        <v>61</v>
      </c>
      <c r="Q10" s="33" t="n">
        <f>42100</f>
        <v>42100.0</v>
      </c>
      <c r="R10" s="34" t="s">
        <v>50</v>
      </c>
      <c r="S10" s="35" t="n">
        <f>43165</f>
        <v>43165.0</v>
      </c>
      <c r="T10" s="32" t="n">
        <f>5205</f>
        <v>5205.0</v>
      </c>
      <c r="U10" s="32" t="n">
        <f>8</f>
        <v>8.0</v>
      </c>
      <c r="V10" s="32" t="n">
        <f>224279020</f>
        <v>2.2427902E8</v>
      </c>
      <c r="W10" s="32" t="n">
        <f>345750</f>
        <v>345750.0</v>
      </c>
      <c r="X10" s="36" t="n">
        <f>20</f>
        <v>20.0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961</f>
        <v>961.0</v>
      </c>
      <c r="L11" s="34" t="s">
        <v>48</v>
      </c>
      <c r="M11" s="33" t="n">
        <f>995</f>
        <v>995.0</v>
      </c>
      <c r="N11" s="34" t="s">
        <v>49</v>
      </c>
      <c r="O11" s="33" t="n">
        <f>939.7</f>
        <v>939.7</v>
      </c>
      <c r="P11" s="34" t="s">
        <v>50</v>
      </c>
      <c r="Q11" s="33" t="n">
        <f>942.1</f>
        <v>942.1</v>
      </c>
      <c r="R11" s="34" t="s">
        <v>50</v>
      </c>
      <c r="S11" s="35" t="n">
        <f>973.95</f>
        <v>973.95</v>
      </c>
      <c r="T11" s="32" t="n">
        <f>60740</f>
        <v>60740.0</v>
      </c>
      <c r="U11" s="32" t="n">
        <f>140</f>
        <v>140.0</v>
      </c>
      <c r="V11" s="32" t="n">
        <f>59193280</f>
        <v>5.919328E7</v>
      </c>
      <c r="W11" s="32" t="n">
        <f>136729</f>
        <v>136729.0</v>
      </c>
      <c r="X11" s="36" t="n">
        <f>20</f>
        <v>20.0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21100</f>
        <v>21100.0</v>
      </c>
      <c r="L12" s="34" t="s">
        <v>48</v>
      </c>
      <c r="M12" s="33" t="n">
        <f>21700</f>
        <v>21700.0</v>
      </c>
      <c r="N12" s="34" t="s">
        <v>68</v>
      </c>
      <c r="O12" s="33" t="n">
        <f>19585</f>
        <v>19585.0</v>
      </c>
      <c r="P12" s="34" t="s">
        <v>69</v>
      </c>
      <c r="Q12" s="33" t="n">
        <f>20550</f>
        <v>20550.0</v>
      </c>
      <c r="R12" s="34" t="s">
        <v>50</v>
      </c>
      <c r="S12" s="35" t="n">
        <f>21057.25</f>
        <v>21057.25</v>
      </c>
      <c r="T12" s="32" t="n">
        <f>1087</f>
        <v>1087.0</v>
      </c>
      <c r="U12" s="32" t="n">
        <f>7</f>
        <v>7.0</v>
      </c>
      <c r="V12" s="32" t="n">
        <f>23018775</f>
        <v>2.3018775E7</v>
      </c>
      <c r="W12" s="32" t="n">
        <f>149140</f>
        <v>149140.0</v>
      </c>
      <c r="X12" s="36" t="n">
        <f>20</f>
        <v>20.0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3875</f>
        <v>3875.0</v>
      </c>
      <c r="L13" s="34" t="s">
        <v>48</v>
      </c>
      <c r="M13" s="33" t="n">
        <f>4070</f>
        <v>4070.0</v>
      </c>
      <c r="N13" s="34" t="s">
        <v>73</v>
      </c>
      <c r="O13" s="33" t="n">
        <f>3581</f>
        <v>3581.0</v>
      </c>
      <c r="P13" s="34" t="s">
        <v>69</v>
      </c>
      <c r="Q13" s="33" t="n">
        <f>3650</f>
        <v>3650.0</v>
      </c>
      <c r="R13" s="34" t="s">
        <v>50</v>
      </c>
      <c r="S13" s="35" t="n">
        <f>3852.5</f>
        <v>3852.5</v>
      </c>
      <c r="T13" s="32" t="n">
        <f>1970</f>
        <v>1970.0</v>
      </c>
      <c r="U13" s="32" t="str">
        <f>"－"</f>
        <v>－</v>
      </c>
      <c r="V13" s="32" t="n">
        <f>7543370</f>
        <v>7543370.0</v>
      </c>
      <c r="W13" s="32" t="str">
        <f>"－"</f>
        <v>－</v>
      </c>
      <c r="X13" s="36" t="n">
        <f>18</f>
        <v>18.0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382</f>
        <v>382.0</v>
      </c>
      <c r="L14" s="34" t="s">
        <v>60</v>
      </c>
      <c r="M14" s="33" t="n">
        <f>382</f>
        <v>382.0</v>
      </c>
      <c r="N14" s="34" t="s">
        <v>60</v>
      </c>
      <c r="O14" s="33" t="n">
        <f>362.3</f>
        <v>362.3</v>
      </c>
      <c r="P14" s="34" t="s">
        <v>50</v>
      </c>
      <c r="Q14" s="33" t="n">
        <f>362.3</f>
        <v>362.3</v>
      </c>
      <c r="R14" s="34" t="s">
        <v>50</v>
      </c>
      <c r="S14" s="35" t="n">
        <f>377.33</f>
        <v>377.33</v>
      </c>
      <c r="T14" s="32" t="n">
        <f>101000</f>
        <v>101000.0</v>
      </c>
      <c r="U14" s="32" t="n">
        <f>4000</f>
        <v>4000.0</v>
      </c>
      <c r="V14" s="32" t="n">
        <f>38050600</f>
        <v>3.80506E7</v>
      </c>
      <c r="W14" s="32" t="n">
        <f>1521000</f>
        <v>1521000.0</v>
      </c>
      <c r="X14" s="36" t="n">
        <f>18</f>
        <v>18.0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30300</f>
        <v>30300.0</v>
      </c>
      <c r="L15" s="34" t="s">
        <v>48</v>
      </c>
      <c r="M15" s="33" t="n">
        <f>30850</f>
        <v>30850.0</v>
      </c>
      <c r="N15" s="34" t="s">
        <v>80</v>
      </c>
      <c r="O15" s="33" t="n">
        <f>28635</f>
        <v>28635.0</v>
      </c>
      <c r="P15" s="34" t="s">
        <v>50</v>
      </c>
      <c r="Q15" s="33" t="n">
        <f>28650</f>
        <v>28650.0</v>
      </c>
      <c r="R15" s="34" t="s">
        <v>50</v>
      </c>
      <c r="S15" s="35" t="n">
        <f>30234</f>
        <v>30234.0</v>
      </c>
      <c r="T15" s="32" t="n">
        <f>1178801</f>
        <v>1178801.0</v>
      </c>
      <c r="U15" s="32" t="n">
        <f>128024</f>
        <v>128024.0</v>
      </c>
      <c r="V15" s="32" t="n">
        <f>35323908904</f>
        <v>3.5323908904E10</v>
      </c>
      <c r="W15" s="32" t="n">
        <f>3806735124</f>
        <v>3.806735124E9</v>
      </c>
      <c r="X15" s="36" t="n">
        <f>20</f>
        <v>20.0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30350</f>
        <v>30350.0</v>
      </c>
      <c r="L16" s="34" t="s">
        <v>48</v>
      </c>
      <c r="M16" s="33" t="n">
        <f>30900</f>
        <v>30900.0</v>
      </c>
      <c r="N16" s="34" t="s">
        <v>80</v>
      </c>
      <c r="O16" s="33" t="n">
        <f>28720</f>
        <v>28720.0</v>
      </c>
      <c r="P16" s="34" t="s">
        <v>50</v>
      </c>
      <c r="Q16" s="33" t="n">
        <f>29300</f>
        <v>29300.0</v>
      </c>
      <c r="R16" s="34" t="s">
        <v>50</v>
      </c>
      <c r="S16" s="35" t="n">
        <f>30331</f>
        <v>30331.0</v>
      </c>
      <c r="T16" s="32" t="n">
        <f>4223694</f>
        <v>4223694.0</v>
      </c>
      <c r="U16" s="32" t="n">
        <f>430810</f>
        <v>430810.0</v>
      </c>
      <c r="V16" s="32" t="n">
        <f>127165037900</f>
        <v>1.271650379E11</v>
      </c>
      <c r="W16" s="32" t="n">
        <f>13017265395</f>
        <v>1.3017265395E10</v>
      </c>
      <c r="X16" s="36" t="n">
        <f>20</f>
        <v>20.0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8180</f>
        <v>8180.0</v>
      </c>
      <c r="L17" s="34" t="s">
        <v>48</v>
      </c>
      <c r="M17" s="33" t="n">
        <f>8410</f>
        <v>8410.0</v>
      </c>
      <c r="N17" s="34" t="s">
        <v>87</v>
      </c>
      <c r="O17" s="33" t="n">
        <f>8000</f>
        <v>8000.0</v>
      </c>
      <c r="P17" s="34" t="s">
        <v>61</v>
      </c>
      <c r="Q17" s="33" t="n">
        <f>8280</f>
        <v>8280.0</v>
      </c>
      <c r="R17" s="34" t="s">
        <v>50</v>
      </c>
      <c r="S17" s="35" t="n">
        <f>8232</f>
        <v>8232.0</v>
      </c>
      <c r="T17" s="32" t="n">
        <f>11340</f>
        <v>11340.0</v>
      </c>
      <c r="U17" s="32" t="n">
        <f>70</f>
        <v>70.0</v>
      </c>
      <c r="V17" s="32" t="n">
        <f>93460290</f>
        <v>9.346029E7</v>
      </c>
      <c r="W17" s="32" t="n">
        <f>574900</f>
        <v>574900.0</v>
      </c>
      <c r="X17" s="36" t="n">
        <f>20</f>
        <v>20.0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489</f>
        <v>489.0</v>
      </c>
      <c r="L18" s="34" t="s">
        <v>48</v>
      </c>
      <c r="M18" s="33" t="n">
        <f>489</f>
        <v>489.0</v>
      </c>
      <c r="N18" s="34" t="s">
        <v>48</v>
      </c>
      <c r="O18" s="33" t="n">
        <f>430</f>
        <v>430.0</v>
      </c>
      <c r="P18" s="34" t="s">
        <v>69</v>
      </c>
      <c r="Q18" s="33" t="n">
        <f>466.1</f>
        <v>466.1</v>
      </c>
      <c r="R18" s="34" t="s">
        <v>50</v>
      </c>
      <c r="S18" s="35" t="n">
        <f>477.61</f>
        <v>477.61</v>
      </c>
      <c r="T18" s="32" t="n">
        <f>117700</f>
        <v>117700.0</v>
      </c>
      <c r="U18" s="32" t="n">
        <f>200</f>
        <v>200.0</v>
      </c>
      <c r="V18" s="32" t="n">
        <f>55175490</f>
        <v>5.517549E7</v>
      </c>
      <c r="W18" s="32" t="n">
        <f>94100</f>
        <v>94100.0</v>
      </c>
      <c r="X18" s="36" t="n">
        <f>20</f>
        <v>20.0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184</f>
        <v>184.0</v>
      </c>
      <c r="L19" s="34" t="s">
        <v>48</v>
      </c>
      <c r="M19" s="33" t="n">
        <f>190</f>
        <v>190.0</v>
      </c>
      <c r="N19" s="34" t="s">
        <v>60</v>
      </c>
      <c r="O19" s="33" t="n">
        <f>155</f>
        <v>155.0</v>
      </c>
      <c r="P19" s="34" t="s">
        <v>69</v>
      </c>
      <c r="Q19" s="33" t="n">
        <f>160.3</f>
        <v>160.3</v>
      </c>
      <c r="R19" s="34" t="s">
        <v>50</v>
      </c>
      <c r="S19" s="35" t="n">
        <f>174.62</f>
        <v>174.62</v>
      </c>
      <c r="T19" s="32" t="n">
        <f>979700</f>
        <v>979700.0</v>
      </c>
      <c r="U19" s="32" t="n">
        <f>400</f>
        <v>400.0</v>
      </c>
      <c r="V19" s="32" t="n">
        <f>167670100</f>
        <v>1.676701E8</v>
      </c>
      <c r="W19" s="32" t="n">
        <f>75200</f>
        <v>75200.0</v>
      </c>
      <c r="X19" s="36" t="n">
        <f>20</f>
        <v>20.0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171</f>
        <v>171.0</v>
      </c>
      <c r="L20" s="34" t="s">
        <v>48</v>
      </c>
      <c r="M20" s="33" t="n">
        <f>176</f>
        <v>176.0</v>
      </c>
      <c r="N20" s="34" t="s">
        <v>97</v>
      </c>
      <c r="O20" s="33" t="n">
        <f>164</f>
        <v>164.0</v>
      </c>
      <c r="P20" s="34" t="s">
        <v>69</v>
      </c>
      <c r="Q20" s="33" t="n">
        <f>166</f>
        <v>166.0</v>
      </c>
      <c r="R20" s="34" t="s">
        <v>50</v>
      </c>
      <c r="S20" s="35" t="n">
        <f>170.33</f>
        <v>170.33</v>
      </c>
      <c r="T20" s="32" t="n">
        <f>560200</f>
        <v>560200.0</v>
      </c>
      <c r="U20" s="32" t="n">
        <f>300</f>
        <v>300.0</v>
      </c>
      <c r="V20" s="32" t="n">
        <f>95124540</f>
        <v>9.512454E7</v>
      </c>
      <c r="W20" s="32" t="n">
        <f>51200</f>
        <v>51200.0</v>
      </c>
      <c r="X20" s="36" t="n">
        <f>20</f>
        <v>20.0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19000</f>
        <v>19000.0</v>
      </c>
      <c r="L21" s="34" t="s">
        <v>48</v>
      </c>
      <c r="M21" s="33" t="n">
        <f>19960</f>
        <v>19960.0</v>
      </c>
      <c r="N21" s="34" t="s">
        <v>101</v>
      </c>
      <c r="O21" s="33" t="n">
        <f>18920</f>
        <v>18920.0</v>
      </c>
      <c r="P21" s="34" t="s">
        <v>80</v>
      </c>
      <c r="Q21" s="33" t="n">
        <f>18990</f>
        <v>18990.0</v>
      </c>
      <c r="R21" s="34" t="s">
        <v>50</v>
      </c>
      <c r="S21" s="35" t="n">
        <f>19433</f>
        <v>19433.0</v>
      </c>
      <c r="T21" s="32" t="n">
        <f>265280</f>
        <v>265280.0</v>
      </c>
      <c r="U21" s="32" t="n">
        <f>8</f>
        <v>8.0</v>
      </c>
      <c r="V21" s="32" t="n">
        <f>5136676835</f>
        <v>5.136676835E9</v>
      </c>
      <c r="W21" s="32" t="n">
        <f>152720</f>
        <v>152720.0</v>
      </c>
      <c r="X21" s="36" t="n">
        <f>20</f>
        <v>20.0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105</v>
      </c>
      <c r="F22" s="29" t="s">
        <v>106</v>
      </c>
      <c r="G22" s="30" t="s">
        <v>107</v>
      </c>
      <c r="H22" s="31" t="s">
        <v>108</v>
      </c>
      <c r="I22" s="31"/>
      <c r="J22" s="32" t="n">
        <v>1.0</v>
      </c>
      <c r="K22" s="33" t="n">
        <f>4475</f>
        <v>4475.0</v>
      </c>
      <c r="L22" s="34" t="s">
        <v>48</v>
      </c>
      <c r="M22" s="33" t="n">
        <f>4565</f>
        <v>4565.0</v>
      </c>
      <c r="N22" s="34" t="s">
        <v>48</v>
      </c>
      <c r="O22" s="33" t="n">
        <f>4425</f>
        <v>4425.0</v>
      </c>
      <c r="P22" s="34" t="s">
        <v>80</v>
      </c>
      <c r="Q22" s="33" t="n">
        <f>4475</f>
        <v>4475.0</v>
      </c>
      <c r="R22" s="34" t="s">
        <v>80</v>
      </c>
      <c r="S22" s="35" t="n">
        <f>4513.33</f>
        <v>4513.33</v>
      </c>
      <c r="T22" s="32" t="n">
        <f>4116</f>
        <v>4116.0</v>
      </c>
      <c r="U22" s="32" t="str">
        <f>"－"</f>
        <v>－</v>
      </c>
      <c r="V22" s="32" t="n">
        <f>18459630</f>
        <v>1.845963E7</v>
      </c>
      <c r="W22" s="32" t="str">
        <f>"－"</f>
        <v>－</v>
      </c>
      <c r="X22" s="36" t="n">
        <f>3</f>
        <v>3.0</v>
      </c>
    </row>
    <row r="23">
      <c r="A23" s="27" t="s">
        <v>42</v>
      </c>
      <c r="B23" s="27" t="s">
        <v>109</v>
      </c>
      <c r="C23" s="27" t="s">
        <v>110</v>
      </c>
      <c r="D23" s="27" t="s">
        <v>111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5140</f>
        <v>5140.0</v>
      </c>
      <c r="L23" s="34" t="s">
        <v>48</v>
      </c>
      <c r="M23" s="33" t="n">
        <f>5410</f>
        <v>5410.0</v>
      </c>
      <c r="N23" s="34" t="s">
        <v>101</v>
      </c>
      <c r="O23" s="33" t="n">
        <f>5120</f>
        <v>5120.0</v>
      </c>
      <c r="P23" s="34" t="s">
        <v>80</v>
      </c>
      <c r="Q23" s="33" t="n">
        <f>5140</f>
        <v>5140.0</v>
      </c>
      <c r="R23" s="34" t="s">
        <v>50</v>
      </c>
      <c r="S23" s="35" t="n">
        <f>5258.4</f>
        <v>5258.4</v>
      </c>
      <c r="T23" s="32" t="n">
        <f>550130</f>
        <v>550130.0</v>
      </c>
      <c r="U23" s="32" t="n">
        <f>20</f>
        <v>20.0</v>
      </c>
      <c r="V23" s="32" t="n">
        <f>2884979360</f>
        <v>2.88497936E9</v>
      </c>
      <c r="W23" s="32" t="n">
        <f>104600</f>
        <v>104600.0</v>
      </c>
      <c r="X23" s="36" t="n">
        <f>20</f>
        <v>20.0</v>
      </c>
    </row>
    <row r="24">
      <c r="A24" s="27" t="s">
        <v>42</v>
      </c>
      <c r="B24" s="27" t="s">
        <v>112</v>
      </c>
      <c r="C24" s="27" t="s">
        <v>113</v>
      </c>
      <c r="D24" s="27" t="s">
        <v>114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30500</f>
        <v>30500.0</v>
      </c>
      <c r="L24" s="34" t="s">
        <v>48</v>
      </c>
      <c r="M24" s="33" t="n">
        <f>31050</f>
        <v>31050.0</v>
      </c>
      <c r="N24" s="34" t="s">
        <v>80</v>
      </c>
      <c r="O24" s="33" t="n">
        <f>28820</f>
        <v>28820.0</v>
      </c>
      <c r="P24" s="34" t="s">
        <v>50</v>
      </c>
      <c r="Q24" s="33" t="n">
        <f>28845</f>
        <v>28845.0</v>
      </c>
      <c r="R24" s="34" t="s">
        <v>50</v>
      </c>
      <c r="S24" s="35" t="n">
        <f>30423.25</f>
        <v>30423.25</v>
      </c>
      <c r="T24" s="32" t="n">
        <f>352625</f>
        <v>352625.0</v>
      </c>
      <c r="U24" s="32" t="n">
        <f>34854</f>
        <v>34854.0</v>
      </c>
      <c r="V24" s="32" t="n">
        <f>10647313642</f>
        <v>1.0647313642E10</v>
      </c>
      <c r="W24" s="32" t="n">
        <f>1042703237</f>
        <v>1.042703237E9</v>
      </c>
      <c r="X24" s="36" t="n">
        <f>20</f>
        <v>20.0</v>
      </c>
    </row>
    <row r="25">
      <c r="A25" s="27" t="s">
        <v>42</v>
      </c>
      <c r="B25" s="27" t="s">
        <v>115</v>
      </c>
      <c r="C25" s="27" t="s">
        <v>116</v>
      </c>
      <c r="D25" s="27" t="s">
        <v>117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30400</f>
        <v>30400.0</v>
      </c>
      <c r="L25" s="34" t="s">
        <v>48</v>
      </c>
      <c r="M25" s="33" t="n">
        <f>30950</f>
        <v>30950.0</v>
      </c>
      <c r="N25" s="34" t="s">
        <v>80</v>
      </c>
      <c r="O25" s="33" t="n">
        <f>28740</f>
        <v>28740.0</v>
      </c>
      <c r="P25" s="34" t="s">
        <v>50</v>
      </c>
      <c r="Q25" s="33" t="n">
        <f>28755</f>
        <v>28755.0</v>
      </c>
      <c r="R25" s="34" t="s">
        <v>50</v>
      </c>
      <c r="S25" s="35" t="n">
        <f>30342.5</f>
        <v>30342.5</v>
      </c>
      <c r="T25" s="32" t="n">
        <f>866000</f>
        <v>866000.0</v>
      </c>
      <c r="U25" s="32" t="n">
        <f>90320</f>
        <v>90320.0</v>
      </c>
      <c r="V25" s="32" t="n">
        <f>26007796357</f>
        <v>2.6007796357E10</v>
      </c>
      <c r="W25" s="32" t="n">
        <f>2696438707</f>
        <v>2.696438707E9</v>
      </c>
      <c r="X25" s="36" t="n">
        <f>20</f>
        <v>20.0</v>
      </c>
    </row>
    <row r="26">
      <c r="A26" s="27" t="s">
        <v>42</v>
      </c>
      <c r="B26" s="27" t="s">
        <v>118</v>
      </c>
      <c r="C26" s="27" t="s">
        <v>119</v>
      </c>
      <c r="D26" s="27" t="s">
        <v>120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2260</f>
        <v>2260.0</v>
      </c>
      <c r="L26" s="34" t="s">
        <v>48</v>
      </c>
      <c r="M26" s="33" t="n">
        <f>2265</f>
        <v>2265.0</v>
      </c>
      <c r="N26" s="34" t="s">
        <v>73</v>
      </c>
      <c r="O26" s="33" t="n">
        <f>2154</f>
        <v>2154.0</v>
      </c>
      <c r="P26" s="34" t="s">
        <v>69</v>
      </c>
      <c r="Q26" s="33" t="n">
        <f>2156</f>
        <v>2156.0</v>
      </c>
      <c r="R26" s="34" t="s">
        <v>50</v>
      </c>
      <c r="S26" s="35" t="n">
        <f>2213.23</f>
        <v>2213.23</v>
      </c>
      <c r="T26" s="32" t="n">
        <f>6041140</f>
        <v>6041140.0</v>
      </c>
      <c r="U26" s="32" t="n">
        <f>997890</f>
        <v>997890.0</v>
      </c>
      <c r="V26" s="32" t="n">
        <f>13400253966</f>
        <v>1.3400253966E10</v>
      </c>
      <c r="W26" s="32" t="n">
        <f>2207683226</f>
        <v>2.207683226E9</v>
      </c>
      <c r="X26" s="36" t="n">
        <f>20</f>
        <v>20.0</v>
      </c>
    </row>
    <row r="27">
      <c r="A27" s="27" t="s">
        <v>42</v>
      </c>
      <c r="B27" s="27" t="s">
        <v>121</v>
      </c>
      <c r="C27" s="27" t="s">
        <v>122</v>
      </c>
      <c r="D27" s="27" t="s">
        <v>123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100.0</v>
      </c>
      <c r="K27" s="33" t="n">
        <f>2124</f>
        <v>2124.0</v>
      </c>
      <c r="L27" s="34" t="s">
        <v>48</v>
      </c>
      <c r="M27" s="33" t="n">
        <f>2125</f>
        <v>2125.0</v>
      </c>
      <c r="N27" s="34" t="s">
        <v>80</v>
      </c>
      <c r="O27" s="33" t="n">
        <f>2036</f>
        <v>2036.0</v>
      </c>
      <c r="P27" s="34" t="s">
        <v>69</v>
      </c>
      <c r="Q27" s="33" t="n">
        <f>2037</f>
        <v>2037.0</v>
      </c>
      <c r="R27" s="34" t="s">
        <v>50</v>
      </c>
      <c r="S27" s="35" t="n">
        <f>2087.25</f>
        <v>2087.25</v>
      </c>
      <c r="T27" s="32" t="n">
        <f>929000</f>
        <v>929000.0</v>
      </c>
      <c r="U27" s="32" t="n">
        <f>75200</f>
        <v>75200.0</v>
      </c>
      <c r="V27" s="32" t="n">
        <f>1941681474</f>
        <v>1.941681474E9</v>
      </c>
      <c r="W27" s="32" t="n">
        <f>157568224</f>
        <v>1.57568224E8</v>
      </c>
      <c r="X27" s="36" t="n">
        <f>20</f>
        <v>20.0</v>
      </c>
    </row>
    <row r="28">
      <c r="A28" s="27" t="s">
        <v>42</v>
      </c>
      <c r="B28" s="27" t="s">
        <v>124</v>
      </c>
      <c r="C28" s="27" t="s">
        <v>125</v>
      </c>
      <c r="D28" s="27" t="s">
        <v>126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30500</f>
        <v>30500.0</v>
      </c>
      <c r="L28" s="34" t="s">
        <v>48</v>
      </c>
      <c r="M28" s="33" t="n">
        <f>31050</f>
        <v>31050.0</v>
      </c>
      <c r="N28" s="34" t="s">
        <v>80</v>
      </c>
      <c r="O28" s="33" t="n">
        <f>28835</f>
        <v>28835.0</v>
      </c>
      <c r="P28" s="34" t="s">
        <v>50</v>
      </c>
      <c r="Q28" s="33" t="n">
        <f>28855</f>
        <v>28855.0</v>
      </c>
      <c r="R28" s="34" t="s">
        <v>50</v>
      </c>
      <c r="S28" s="35" t="n">
        <f>30438.5</f>
        <v>30438.5</v>
      </c>
      <c r="T28" s="32" t="n">
        <f>563159</f>
        <v>563159.0</v>
      </c>
      <c r="U28" s="32" t="n">
        <f>100523</f>
        <v>100523.0</v>
      </c>
      <c r="V28" s="32" t="n">
        <f>16969457575</f>
        <v>1.6969457575E10</v>
      </c>
      <c r="W28" s="32" t="n">
        <f>2995120835</f>
        <v>2.995120835E9</v>
      </c>
      <c r="X28" s="36" t="n">
        <f>20</f>
        <v>20.0</v>
      </c>
    </row>
    <row r="29">
      <c r="A29" s="27" t="s">
        <v>42</v>
      </c>
      <c r="B29" s="27" t="s">
        <v>127</v>
      </c>
      <c r="C29" s="27" t="s">
        <v>128</v>
      </c>
      <c r="D29" s="27" t="s">
        <v>129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10.0</v>
      </c>
      <c r="K29" s="33" t="n">
        <f>2118</f>
        <v>2118.0</v>
      </c>
      <c r="L29" s="34" t="s">
        <v>48</v>
      </c>
      <c r="M29" s="33" t="n">
        <f>2147</f>
        <v>2147.0</v>
      </c>
      <c r="N29" s="34" t="s">
        <v>49</v>
      </c>
      <c r="O29" s="33" t="n">
        <f>2002.5</f>
        <v>2002.5</v>
      </c>
      <c r="P29" s="34" t="s">
        <v>50</v>
      </c>
      <c r="Q29" s="33" t="n">
        <f>2002.5</f>
        <v>2002.5</v>
      </c>
      <c r="R29" s="34" t="s">
        <v>50</v>
      </c>
      <c r="S29" s="35" t="n">
        <f>2104.95</f>
        <v>2104.95</v>
      </c>
      <c r="T29" s="32" t="n">
        <f>4405110</f>
        <v>4405110.0</v>
      </c>
      <c r="U29" s="32" t="n">
        <f>380150</f>
        <v>380150.0</v>
      </c>
      <c r="V29" s="32" t="n">
        <f>9197644190</f>
        <v>9.19764419E9</v>
      </c>
      <c r="W29" s="32" t="n">
        <f>800109040</f>
        <v>8.0010904E8</v>
      </c>
      <c r="X29" s="36" t="n">
        <f>20</f>
        <v>20.0</v>
      </c>
    </row>
    <row r="30">
      <c r="A30" s="27" t="s">
        <v>42</v>
      </c>
      <c r="B30" s="27" t="s">
        <v>130</v>
      </c>
      <c r="C30" s="27" t="s">
        <v>131</v>
      </c>
      <c r="D30" s="27" t="s">
        <v>132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13490</f>
        <v>13490.0</v>
      </c>
      <c r="L30" s="34" t="s">
        <v>48</v>
      </c>
      <c r="M30" s="33" t="n">
        <f>13720</f>
        <v>13720.0</v>
      </c>
      <c r="N30" s="34" t="s">
        <v>133</v>
      </c>
      <c r="O30" s="33" t="n">
        <f>13480</f>
        <v>13480.0</v>
      </c>
      <c r="P30" s="34" t="s">
        <v>68</v>
      </c>
      <c r="Q30" s="33" t="n">
        <f>13480</f>
        <v>13480.0</v>
      </c>
      <c r="R30" s="34" t="s">
        <v>69</v>
      </c>
      <c r="S30" s="35" t="n">
        <f>13585.56</f>
        <v>13585.56</v>
      </c>
      <c r="T30" s="32" t="n">
        <f>589</f>
        <v>589.0</v>
      </c>
      <c r="U30" s="32" t="str">
        <f>"－"</f>
        <v>－</v>
      </c>
      <c r="V30" s="32" t="n">
        <f>7993195</f>
        <v>7993195.0</v>
      </c>
      <c r="W30" s="32" t="str">
        <f>"－"</f>
        <v>－</v>
      </c>
      <c r="X30" s="36" t="n">
        <f>18</f>
        <v>18.0</v>
      </c>
    </row>
    <row r="31">
      <c r="A31" s="27" t="s">
        <v>42</v>
      </c>
      <c r="B31" s="27" t="s">
        <v>134</v>
      </c>
      <c r="C31" s="27" t="s">
        <v>135</v>
      </c>
      <c r="D31" s="27" t="s">
        <v>136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10.0</v>
      </c>
      <c r="K31" s="33" t="n">
        <f>1005</f>
        <v>1005.0</v>
      </c>
      <c r="L31" s="34" t="s">
        <v>48</v>
      </c>
      <c r="M31" s="33" t="n">
        <f>1113</f>
        <v>1113.0</v>
      </c>
      <c r="N31" s="34" t="s">
        <v>50</v>
      </c>
      <c r="O31" s="33" t="n">
        <f>972</f>
        <v>972.0</v>
      </c>
      <c r="P31" s="34" t="s">
        <v>49</v>
      </c>
      <c r="Q31" s="33" t="n">
        <f>1112.5</f>
        <v>1112.5</v>
      </c>
      <c r="R31" s="34" t="s">
        <v>50</v>
      </c>
      <c r="S31" s="35" t="n">
        <f>1012.28</f>
        <v>1012.28</v>
      </c>
      <c r="T31" s="32" t="n">
        <f>6332060</f>
        <v>6332060.0</v>
      </c>
      <c r="U31" s="32" t="str">
        <f>"－"</f>
        <v>－</v>
      </c>
      <c r="V31" s="32" t="n">
        <f>6465316360</f>
        <v>6.46531636E9</v>
      </c>
      <c r="W31" s="32" t="str">
        <f>"－"</f>
        <v>－</v>
      </c>
      <c r="X31" s="36" t="n">
        <f>20</f>
        <v>20.0</v>
      </c>
    </row>
    <row r="32">
      <c r="A32" s="27" t="s">
        <v>42</v>
      </c>
      <c r="B32" s="27" t="s">
        <v>137</v>
      </c>
      <c r="C32" s="27" t="s">
        <v>138</v>
      </c>
      <c r="D32" s="27" t="s">
        <v>139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379</f>
        <v>379.0</v>
      </c>
      <c r="L32" s="34" t="s">
        <v>48</v>
      </c>
      <c r="M32" s="33" t="n">
        <f>421</f>
        <v>421.0</v>
      </c>
      <c r="N32" s="34" t="s">
        <v>50</v>
      </c>
      <c r="O32" s="33" t="n">
        <f>364</f>
        <v>364.0</v>
      </c>
      <c r="P32" s="34" t="s">
        <v>49</v>
      </c>
      <c r="Q32" s="33" t="n">
        <f>420</f>
        <v>420.0</v>
      </c>
      <c r="R32" s="34" t="s">
        <v>50</v>
      </c>
      <c r="S32" s="35" t="n">
        <f>379.3</f>
        <v>379.3</v>
      </c>
      <c r="T32" s="32" t="n">
        <f>1050057960</f>
        <v>1.05005796E9</v>
      </c>
      <c r="U32" s="32" t="n">
        <f>3814938</f>
        <v>3814938.0</v>
      </c>
      <c r="V32" s="32" t="n">
        <f>400403277491</f>
        <v>4.00403277491E11</v>
      </c>
      <c r="W32" s="32" t="n">
        <f>1421026376</f>
        <v>1.421026376E9</v>
      </c>
      <c r="X32" s="36" t="n">
        <f>20</f>
        <v>20.0</v>
      </c>
    </row>
    <row r="33">
      <c r="A33" s="27" t="s">
        <v>42</v>
      </c>
      <c r="B33" s="27" t="s">
        <v>140</v>
      </c>
      <c r="C33" s="27" t="s">
        <v>141</v>
      </c>
      <c r="D33" s="27" t="s">
        <v>142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30500</f>
        <v>30500.0</v>
      </c>
      <c r="L33" s="34" t="s">
        <v>48</v>
      </c>
      <c r="M33" s="33" t="n">
        <f>31600</f>
        <v>31600.0</v>
      </c>
      <c r="N33" s="34" t="s">
        <v>49</v>
      </c>
      <c r="O33" s="33" t="n">
        <f>27180</f>
        <v>27180.0</v>
      </c>
      <c r="P33" s="34" t="s">
        <v>50</v>
      </c>
      <c r="Q33" s="33" t="n">
        <f>27210</f>
        <v>27210.0</v>
      </c>
      <c r="R33" s="34" t="s">
        <v>50</v>
      </c>
      <c r="S33" s="35" t="n">
        <f>30341</f>
        <v>30341.0</v>
      </c>
      <c r="T33" s="32" t="n">
        <f>456785</f>
        <v>456785.0</v>
      </c>
      <c r="U33" s="32" t="n">
        <f>2</f>
        <v>2.0</v>
      </c>
      <c r="V33" s="32" t="n">
        <f>13693459695</f>
        <v>1.3693459695E10</v>
      </c>
      <c r="W33" s="32" t="n">
        <f>61000</f>
        <v>61000.0</v>
      </c>
      <c r="X33" s="36" t="n">
        <f>20</f>
        <v>20.0</v>
      </c>
    </row>
    <row r="34">
      <c r="A34" s="27" t="s">
        <v>42</v>
      </c>
      <c r="B34" s="27" t="s">
        <v>143</v>
      </c>
      <c r="C34" s="27" t="s">
        <v>144</v>
      </c>
      <c r="D34" s="27" t="s">
        <v>145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10.0</v>
      </c>
      <c r="K34" s="33" t="n">
        <f>920</f>
        <v>920.0</v>
      </c>
      <c r="L34" s="34" t="s">
        <v>48</v>
      </c>
      <c r="M34" s="33" t="n">
        <f>1027.5</f>
        <v>1027.5</v>
      </c>
      <c r="N34" s="34" t="s">
        <v>50</v>
      </c>
      <c r="O34" s="33" t="n">
        <f>888</f>
        <v>888.0</v>
      </c>
      <c r="P34" s="34" t="s">
        <v>49</v>
      </c>
      <c r="Q34" s="33" t="n">
        <f>1027.5</f>
        <v>1027.5</v>
      </c>
      <c r="R34" s="34" t="s">
        <v>50</v>
      </c>
      <c r="S34" s="35" t="n">
        <f>926.18</f>
        <v>926.18</v>
      </c>
      <c r="T34" s="32" t="n">
        <f>285452790</f>
        <v>2.8545279E8</v>
      </c>
      <c r="U34" s="32" t="n">
        <f>3810</f>
        <v>3810.0</v>
      </c>
      <c r="V34" s="32" t="n">
        <f>264981256068</f>
        <v>2.64981256068E11</v>
      </c>
      <c r="W34" s="32" t="n">
        <f>3490950</f>
        <v>3490950.0</v>
      </c>
      <c r="X34" s="36" t="n">
        <f>20</f>
        <v>20.0</v>
      </c>
    </row>
    <row r="35">
      <c r="A35" s="27" t="s">
        <v>42</v>
      </c>
      <c r="B35" s="27" t="s">
        <v>146</v>
      </c>
      <c r="C35" s="27" t="s">
        <v>147</v>
      </c>
      <c r="D35" s="27" t="s">
        <v>148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18850</f>
        <v>18850.0</v>
      </c>
      <c r="L35" s="34" t="s">
        <v>48</v>
      </c>
      <c r="M35" s="33" t="n">
        <f>19020</f>
        <v>19020.0</v>
      </c>
      <c r="N35" s="34" t="s">
        <v>49</v>
      </c>
      <c r="O35" s="33" t="n">
        <f>17860</f>
        <v>17860.0</v>
      </c>
      <c r="P35" s="34" t="s">
        <v>50</v>
      </c>
      <c r="Q35" s="33" t="n">
        <f>17870</f>
        <v>17870.0</v>
      </c>
      <c r="R35" s="34" t="s">
        <v>50</v>
      </c>
      <c r="S35" s="35" t="n">
        <f>18671.58</f>
        <v>18671.58</v>
      </c>
      <c r="T35" s="32" t="n">
        <f>59501</f>
        <v>59501.0</v>
      </c>
      <c r="U35" s="32" t="n">
        <f>55004</f>
        <v>55004.0</v>
      </c>
      <c r="V35" s="32" t="n">
        <f>1088853365</f>
        <v>1.088853365E9</v>
      </c>
      <c r="W35" s="32" t="n">
        <f>1005309820</f>
        <v>1.00530982E9</v>
      </c>
      <c r="X35" s="36" t="n">
        <f>19</f>
        <v>19.0</v>
      </c>
    </row>
    <row r="36">
      <c r="A36" s="27" t="s">
        <v>42</v>
      </c>
      <c r="B36" s="27" t="s">
        <v>149</v>
      </c>
      <c r="C36" s="27" t="s">
        <v>150</v>
      </c>
      <c r="D36" s="27" t="s">
        <v>151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25370</f>
        <v>25370.0</v>
      </c>
      <c r="L36" s="34" t="s">
        <v>48</v>
      </c>
      <c r="M36" s="33" t="n">
        <f>26250</f>
        <v>26250.0</v>
      </c>
      <c r="N36" s="34" t="s">
        <v>49</v>
      </c>
      <c r="O36" s="33" t="n">
        <f>22570</f>
        <v>22570.0</v>
      </c>
      <c r="P36" s="34" t="s">
        <v>50</v>
      </c>
      <c r="Q36" s="33" t="n">
        <f>22615</f>
        <v>22615.0</v>
      </c>
      <c r="R36" s="34" t="s">
        <v>50</v>
      </c>
      <c r="S36" s="35" t="n">
        <f>25226.5</f>
        <v>25226.5</v>
      </c>
      <c r="T36" s="32" t="n">
        <f>1105609</f>
        <v>1105609.0</v>
      </c>
      <c r="U36" s="32" t="str">
        <f>"－"</f>
        <v>－</v>
      </c>
      <c r="V36" s="32" t="n">
        <f>27650432735</f>
        <v>2.7650432735E10</v>
      </c>
      <c r="W36" s="32" t="str">
        <f>"－"</f>
        <v>－</v>
      </c>
      <c r="X36" s="36" t="n">
        <f>20</f>
        <v>20.0</v>
      </c>
    </row>
    <row r="37">
      <c r="A37" s="27" t="s">
        <v>42</v>
      </c>
      <c r="B37" s="27" t="s">
        <v>152</v>
      </c>
      <c r="C37" s="27" t="s">
        <v>153</v>
      </c>
      <c r="D37" s="27" t="s">
        <v>154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987</f>
        <v>987.0</v>
      </c>
      <c r="L37" s="34" t="s">
        <v>48</v>
      </c>
      <c r="M37" s="33" t="n">
        <f>1098</f>
        <v>1098.0</v>
      </c>
      <c r="N37" s="34" t="s">
        <v>50</v>
      </c>
      <c r="O37" s="33" t="n">
        <f>950</f>
        <v>950.0</v>
      </c>
      <c r="P37" s="34" t="s">
        <v>49</v>
      </c>
      <c r="Q37" s="33" t="n">
        <f>1095</f>
        <v>1095.0</v>
      </c>
      <c r="R37" s="34" t="s">
        <v>50</v>
      </c>
      <c r="S37" s="35" t="n">
        <f>989.5</f>
        <v>989.5</v>
      </c>
      <c r="T37" s="32" t="n">
        <f>12964105</f>
        <v>1.2964105E7</v>
      </c>
      <c r="U37" s="32" t="n">
        <f>105</f>
        <v>105.0</v>
      </c>
      <c r="V37" s="32" t="n">
        <f>12895606459</f>
        <v>1.2895606459E10</v>
      </c>
      <c r="W37" s="32" t="n">
        <f>103005</f>
        <v>103005.0</v>
      </c>
      <c r="X37" s="36" t="n">
        <f>20</f>
        <v>20.0</v>
      </c>
    </row>
    <row r="38">
      <c r="A38" s="27" t="s">
        <v>42</v>
      </c>
      <c r="B38" s="27" t="s">
        <v>155</v>
      </c>
      <c r="C38" s="27" t="s">
        <v>156</v>
      </c>
      <c r="D38" s="27" t="s">
        <v>157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20350</f>
        <v>20350.0</v>
      </c>
      <c r="L38" s="34" t="s">
        <v>48</v>
      </c>
      <c r="M38" s="33" t="n">
        <f>20990</f>
        <v>20990.0</v>
      </c>
      <c r="N38" s="34" t="s">
        <v>49</v>
      </c>
      <c r="O38" s="33" t="n">
        <f>18245</f>
        <v>18245.0</v>
      </c>
      <c r="P38" s="34" t="s">
        <v>50</v>
      </c>
      <c r="Q38" s="33" t="n">
        <f>18310</f>
        <v>18310.0</v>
      </c>
      <c r="R38" s="34" t="s">
        <v>50</v>
      </c>
      <c r="S38" s="35" t="n">
        <f>20193.75</f>
        <v>20193.75</v>
      </c>
      <c r="T38" s="32" t="n">
        <f>215093</f>
        <v>215093.0</v>
      </c>
      <c r="U38" s="32" t="n">
        <f>109</f>
        <v>109.0</v>
      </c>
      <c r="V38" s="32" t="n">
        <f>4317826925</f>
        <v>4.317826925E9</v>
      </c>
      <c r="W38" s="32" t="n">
        <f>2055085</f>
        <v>2055085.0</v>
      </c>
      <c r="X38" s="36" t="n">
        <f>20</f>
        <v>20.0</v>
      </c>
    </row>
    <row r="39">
      <c r="A39" s="27" t="s">
        <v>42</v>
      </c>
      <c r="B39" s="27" t="s">
        <v>158</v>
      </c>
      <c r="C39" s="27" t="s">
        <v>159</v>
      </c>
      <c r="D39" s="27" t="s">
        <v>160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1457</f>
        <v>1457.0</v>
      </c>
      <c r="L39" s="34" t="s">
        <v>48</v>
      </c>
      <c r="M39" s="33" t="n">
        <f>1610</f>
        <v>1610.0</v>
      </c>
      <c r="N39" s="34" t="s">
        <v>50</v>
      </c>
      <c r="O39" s="33" t="n">
        <f>1407</f>
        <v>1407.0</v>
      </c>
      <c r="P39" s="34" t="s">
        <v>49</v>
      </c>
      <c r="Q39" s="33" t="n">
        <f>1606</f>
        <v>1606.0</v>
      </c>
      <c r="R39" s="34" t="s">
        <v>50</v>
      </c>
      <c r="S39" s="35" t="n">
        <f>1464.8</f>
        <v>1464.8</v>
      </c>
      <c r="T39" s="32" t="n">
        <f>939815</f>
        <v>939815.0</v>
      </c>
      <c r="U39" s="32" t="str">
        <f>"－"</f>
        <v>－</v>
      </c>
      <c r="V39" s="32" t="n">
        <f>1378392780</f>
        <v>1.37839278E9</v>
      </c>
      <c r="W39" s="32" t="str">
        <f>"－"</f>
        <v>－</v>
      </c>
      <c r="X39" s="36" t="n">
        <f>20</f>
        <v>20.0</v>
      </c>
    </row>
    <row r="40">
      <c r="A40" s="27" t="s">
        <v>42</v>
      </c>
      <c r="B40" s="27" t="s">
        <v>161</v>
      </c>
      <c r="C40" s="27" t="s">
        <v>162</v>
      </c>
      <c r="D40" s="27" t="s">
        <v>163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29570</f>
        <v>29570.0</v>
      </c>
      <c r="L40" s="34" t="s">
        <v>48</v>
      </c>
      <c r="M40" s="33" t="n">
        <f>30100</f>
        <v>30100.0</v>
      </c>
      <c r="N40" s="34" t="s">
        <v>49</v>
      </c>
      <c r="O40" s="33" t="n">
        <f>27950</f>
        <v>27950.0</v>
      </c>
      <c r="P40" s="34" t="s">
        <v>50</v>
      </c>
      <c r="Q40" s="33" t="n">
        <f>28000</f>
        <v>28000.0</v>
      </c>
      <c r="R40" s="34" t="s">
        <v>50</v>
      </c>
      <c r="S40" s="35" t="n">
        <f>29513.25</f>
        <v>29513.25</v>
      </c>
      <c r="T40" s="32" t="n">
        <f>345382</f>
        <v>345382.0</v>
      </c>
      <c r="U40" s="32" t="n">
        <f>240883</f>
        <v>240883.0</v>
      </c>
      <c r="V40" s="32" t="n">
        <f>10163826452</f>
        <v>1.0163826452E10</v>
      </c>
      <c r="W40" s="32" t="n">
        <f>7134603027</f>
        <v>7.134603027E9</v>
      </c>
      <c r="X40" s="36" t="n">
        <f>20</f>
        <v>20.0</v>
      </c>
    </row>
    <row r="41">
      <c r="A41" s="27" t="s">
        <v>42</v>
      </c>
      <c r="B41" s="27" t="s">
        <v>164</v>
      </c>
      <c r="C41" s="27" t="s">
        <v>165</v>
      </c>
      <c r="D41" s="27" t="s">
        <v>166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5650</f>
        <v>5650.0</v>
      </c>
      <c r="L41" s="34" t="s">
        <v>48</v>
      </c>
      <c r="M41" s="33" t="n">
        <f>5810</f>
        <v>5810.0</v>
      </c>
      <c r="N41" s="34" t="s">
        <v>80</v>
      </c>
      <c r="O41" s="33" t="n">
        <f>5300</f>
        <v>5300.0</v>
      </c>
      <c r="P41" s="34" t="s">
        <v>50</v>
      </c>
      <c r="Q41" s="33" t="n">
        <f>5370</f>
        <v>5370.0</v>
      </c>
      <c r="R41" s="34" t="s">
        <v>50</v>
      </c>
      <c r="S41" s="35" t="n">
        <f>5686.5</f>
        <v>5686.5</v>
      </c>
      <c r="T41" s="32" t="n">
        <f>6822</f>
        <v>6822.0</v>
      </c>
      <c r="U41" s="32" t="n">
        <f>2</f>
        <v>2.0</v>
      </c>
      <c r="V41" s="32" t="n">
        <f>38326077</f>
        <v>3.8326077E7</v>
      </c>
      <c r="W41" s="32" t="n">
        <f>11530</f>
        <v>11530.0</v>
      </c>
      <c r="X41" s="36" t="n">
        <f>20</f>
        <v>20.0</v>
      </c>
    </row>
    <row r="42">
      <c r="A42" s="27" t="s">
        <v>42</v>
      </c>
      <c r="B42" s="27" t="s">
        <v>167</v>
      </c>
      <c r="C42" s="27" t="s">
        <v>168</v>
      </c>
      <c r="D42" s="27" t="s">
        <v>169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10190</f>
        <v>10190.0</v>
      </c>
      <c r="L42" s="34" t="s">
        <v>48</v>
      </c>
      <c r="M42" s="33" t="n">
        <f>10500</f>
        <v>10500.0</v>
      </c>
      <c r="N42" s="34" t="s">
        <v>68</v>
      </c>
      <c r="O42" s="33" t="n">
        <f>9690</f>
        <v>9690.0</v>
      </c>
      <c r="P42" s="34" t="s">
        <v>50</v>
      </c>
      <c r="Q42" s="33" t="n">
        <f>9690</f>
        <v>9690.0</v>
      </c>
      <c r="R42" s="34" t="s">
        <v>50</v>
      </c>
      <c r="S42" s="35" t="n">
        <f>10183.4</f>
        <v>10183.4</v>
      </c>
      <c r="T42" s="32" t="n">
        <f>2784</f>
        <v>2784.0</v>
      </c>
      <c r="U42" s="32" t="str">
        <f>"－"</f>
        <v>－</v>
      </c>
      <c r="V42" s="32" t="n">
        <f>28297729</f>
        <v>2.8297729E7</v>
      </c>
      <c r="W42" s="32" t="str">
        <f>"－"</f>
        <v>－</v>
      </c>
      <c r="X42" s="36" t="n">
        <f>20</f>
        <v>20.0</v>
      </c>
    </row>
    <row r="43">
      <c r="A43" s="27" t="s">
        <v>42</v>
      </c>
      <c r="B43" s="27" t="s">
        <v>170</v>
      </c>
      <c r="C43" s="27" t="s">
        <v>171</v>
      </c>
      <c r="D43" s="27" t="s">
        <v>172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20010</f>
        <v>20010.0</v>
      </c>
      <c r="L43" s="34" t="s">
        <v>60</v>
      </c>
      <c r="M43" s="33" t="n">
        <f>20420</f>
        <v>20420.0</v>
      </c>
      <c r="N43" s="34" t="s">
        <v>68</v>
      </c>
      <c r="O43" s="33" t="n">
        <f>18980</f>
        <v>18980.0</v>
      </c>
      <c r="P43" s="34" t="s">
        <v>69</v>
      </c>
      <c r="Q43" s="33" t="n">
        <f>19265</f>
        <v>19265.0</v>
      </c>
      <c r="R43" s="34" t="s">
        <v>50</v>
      </c>
      <c r="S43" s="35" t="n">
        <f>19982.73</f>
        <v>19982.73</v>
      </c>
      <c r="T43" s="32" t="n">
        <f>206</f>
        <v>206.0</v>
      </c>
      <c r="U43" s="32" t="str">
        <f>"－"</f>
        <v>－</v>
      </c>
      <c r="V43" s="32" t="n">
        <f>4148825</f>
        <v>4148825.0</v>
      </c>
      <c r="W43" s="32" t="str">
        <f>"－"</f>
        <v>－</v>
      </c>
      <c r="X43" s="36" t="n">
        <f>11</f>
        <v>11.0</v>
      </c>
    </row>
    <row r="44">
      <c r="A44" s="27" t="s">
        <v>42</v>
      </c>
      <c r="B44" s="27" t="s">
        <v>173</v>
      </c>
      <c r="C44" s="27" t="s">
        <v>174</v>
      </c>
      <c r="D44" s="27" t="s">
        <v>175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17880</f>
        <v>17880.0</v>
      </c>
      <c r="L44" s="34" t="s">
        <v>48</v>
      </c>
      <c r="M44" s="33" t="n">
        <f>18680</f>
        <v>18680.0</v>
      </c>
      <c r="N44" s="34" t="s">
        <v>68</v>
      </c>
      <c r="O44" s="33" t="n">
        <f>15970</f>
        <v>15970.0</v>
      </c>
      <c r="P44" s="34" t="s">
        <v>69</v>
      </c>
      <c r="Q44" s="33" t="n">
        <f>16720</f>
        <v>16720.0</v>
      </c>
      <c r="R44" s="34" t="s">
        <v>69</v>
      </c>
      <c r="S44" s="35" t="n">
        <f>17630</f>
        <v>17630.0</v>
      </c>
      <c r="T44" s="32" t="n">
        <f>55</f>
        <v>55.0</v>
      </c>
      <c r="U44" s="32" t="n">
        <f>2</f>
        <v>2.0</v>
      </c>
      <c r="V44" s="32" t="n">
        <f>973630</f>
        <v>973630.0</v>
      </c>
      <c r="W44" s="32" t="n">
        <f>36000</f>
        <v>36000.0</v>
      </c>
      <c r="X44" s="36" t="n">
        <f>9</f>
        <v>9.0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10460</f>
        <v>10460.0</v>
      </c>
      <c r="L45" s="34" t="s">
        <v>48</v>
      </c>
      <c r="M45" s="33" t="n">
        <f>10580</f>
        <v>10580.0</v>
      </c>
      <c r="N45" s="34" t="s">
        <v>133</v>
      </c>
      <c r="O45" s="33" t="n">
        <f>9850</f>
        <v>9850.0</v>
      </c>
      <c r="P45" s="34" t="s">
        <v>69</v>
      </c>
      <c r="Q45" s="33" t="n">
        <f>9920</f>
        <v>9920.0</v>
      </c>
      <c r="R45" s="34" t="s">
        <v>50</v>
      </c>
      <c r="S45" s="35" t="n">
        <f>10374</f>
        <v>10374.0</v>
      </c>
      <c r="T45" s="32" t="n">
        <f>1001</f>
        <v>1001.0</v>
      </c>
      <c r="U45" s="32" t="n">
        <f>2</f>
        <v>2.0</v>
      </c>
      <c r="V45" s="32" t="n">
        <f>10389367</f>
        <v>1.0389367E7</v>
      </c>
      <c r="W45" s="32" t="n">
        <f>20910</f>
        <v>20910.0</v>
      </c>
      <c r="X45" s="36" t="n">
        <f>20</f>
        <v>20.0</v>
      </c>
    </row>
    <row r="46">
      <c r="A46" s="27" t="s">
        <v>42</v>
      </c>
      <c r="B46" s="27" t="s">
        <v>179</v>
      </c>
      <c r="C46" s="27" t="s">
        <v>180</v>
      </c>
      <c r="D46" s="27" t="s">
        <v>181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5550</f>
        <v>5550.0</v>
      </c>
      <c r="L46" s="34" t="s">
        <v>48</v>
      </c>
      <c r="M46" s="33" t="n">
        <f>5630</f>
        <v>5630.0</v>
      </c>
      <c r="N46" s="34" t="s">
        <v>60</v>
      </c>
      <c r="O46" s="33" t="n">
        <f>5166</f>
        <v>5166.0</v>
      </c>
      <c r="P46" s="34" t="s">
        <v>50</v>
      </c>
      <c r="Q46" s="33" t="n">
        <f>5166</f>
        <v>5166.0</v>
      </c>
      <c r="R46" s="34" t="s">
        <v>50</v>
      </c>
      <c r="S46" s="35" t="n">
        <f>5467.58</f>
        <v>5467.58</v>
      </c>
      <c r="T46" s="32" t="n">
        <f>2581</f>
        <v>2581.0</v>
      </c>
      <c r="U46" s="32" t="n">
        <f>2</f>
        <v>2.0</v>
      </c>
      <c r="V46" s="32" t="n">
        <f>14066717</f>
        <v>1.4066717E7</v>
      </c>
      <c r="W46" s="32" t="n">
        <f>11030</f>
        <v>11030.0</v>
      </c>
      <c r="X46" s="36" t="n">
        <f>19</f>
        <v>19.0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2946</f>
        <v>2946.0</v>
      </c>
      <c r="L47" s="34" t="s">
        <v>48</v>
      </c>
      <c r="M47" s="33" t="n">
        <f>3035</f>
        <v>3035.0</v>
      </c>
      <c r="N47" s="34" t="s">
        <v>101</v>
      </c>
      <c r="O47" s="33" t="n">
        <f>2880</f>
        <v>2880.0</v>
      </c>
      <c r="P47" s="34" t="s">
        <v>50</v>
      </c>
      <c r="Q47" s="33" t="n">
        <f>2880</f>
        <v>2880.0</v>
      </c>
      <c r="R47" s="34" t="s">
        <v>50</v>
      </c>
      <c r="S47" s="35" t="n">
        <f>2968.3</f>
        <v>2968.3</v>
      </c>
      <c r="T47" s="32" t="n">
        <f>5631</f>
        <v>5631.0</v>
      </c>
      <c r="U47" s="32" t="n">
        <f>4</f>
        <v>4.0</v>
      </c>
      <c r="V47" s="32" t="n">
        <f>16686198</f>
        <v>1.6686198E7</v>
      </c>
      <c r="W47" s="32" t="n">
        <f>11934</f>
        <v>11934.0</v>
      </c>
      <c r="X47" s="36" t="n">
        <f>20</f>
        <v>20.0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2796</f>
        <v>2796.0</v>
      </c>
      <c r="L48" s="34" t="s">
        <v>48</v>
      </c>
      <c r="M48" s="33" t="n">
        <f>2817</f>
        <v>2817.0</v>
      </c>
      <c r="N48" s="34" t="s">
        <v>80</v>
      </c>
      <c r="O48" s="33" t="n">
        <f>2663</f>
        <v>2663.0</v>
      </c>
      <c r="P48" s="34" t="s">
        <v>50</v>
      </c>
      <c r="Q48" s="33" t="n">
        <f>2675</f>
        <v>2675.0</v>
      </c>
      <c r="R48" s="34" t="s">
        <v>50</v>
      </c>
      <c r="S48" s="35" t="n">
        <f>2777.65</f>
        <v>2777.65</v>
      </c>
      <c r="T48" s="32" t="n">
        <f>1195</f>
        <v>1195.0</v>
      </c>
      <c r="U48" s="32" t="n">
        <f>2</f>
        <v>2.0</v>
      </c>
      <c r="V48" s="32" t="n">
        <f>3302394</f>
        <v>3302394.0</v>
      </c>
      <c r="W48" s="32" t="n">
        <f>5542</f>
        <v>5542.0</v>
      </c>
      <c r="X48" s="36" t="n">
        <f>20</f>
        <v>20.0</v>
      </c>
    </row>
    <row r="49">
      <c r="A49" s="27" t="s">
        <v>42</v>
      </c>
      <c r="B49" s="27" t="s">
        <v>188</v>
      </c>
      <c r="C49" s="27" t="s">
        <v>189</v>
      </c>
      <c r="D49" s="27" t="s">
        <v>190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52200</f>
        <v>52200.0</v>
      </c>
      <c r="L49" s="34" t="s">
        <v>48</v>
      </c>
      <c r="M49" s="33" t="n">
        <f>64200</f>
        <v>64200.0</v>
      </c>
      <c r="N49" s="34" t="s">
        <v>191</v>
      </c>
      <c r="O49" s="33" t="n">
        <f>51700</f>
        <v>51700.0</v>
      </c>
      <c r="P49" s="34" t="s">
        <v>48</v>
      </c>
      <c r="Q49" s="33" t="n">
        <f>55500</f>
        <v>55500.0</v>
      </c>
      <c r="R49" s="34" t="s">
        <v>50</v>
      </c>
      <c r="S49" s="35" t="n">
        <f>54259.5</f>
        <v>54259.5</v>
      </c>
      <c r="T49" s="32" t="n">
        <f>2427</f>
        <v>2427.0</v>
      </c>
      <c r="U49" s="32" t="str">
        <f>"－"</f>
        <v>－</v>
      </c>
      <c r="V49" s="32" t="n">
        <f>134917990</f>
        <v>1.3491799E8</v>
      </c>
      <c r="W49" s="32" t="str">
        <f>"－"</f>
        <v>－</v>
      </c>
      <c r="X49" s="36" t="n">
        <f>20</f>
        <v>20.0</v>
      </c>
    </row>
    <row r="50">
      <c r="A50" s="27" t="s">
        <v>42</v>
      </c>
      <c r="B50" s="27" t="s">
        <v>192</v>
      </c>
      <c r="C50" s="27" t="s">
        <v>193</v>
      </c>
      <c r="D50" s="27" t="s">
        <v>194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37700</f>
        <v>37700.0</v>
      </c>
      <c r="L50" s="34" t="s">
        <v>80</v>
      </c>
      <c r="M50" s="33" t="n">
        <f>38350</f>
        <v>38350.0</v>
      </c>
      <c r="N50" s="34" t="s">
        <v>195</v>
      </c>
      <c r="O50" s="33" t="n">
        <f>36650</f>
        <v>36650.0</v>
      </c>
      <c r="P50" s="34" t="s">
        <v>69</v>
      </c>
      <c r="Q50" s="33" t="n">
        <f>37210</f>
        <v>37210.0</v>
      </c>
      <c r="R50" s="34" t="s">
        <v>50</v>
      </c>
      <c r="S50" s="35" t="n">
        <f>37444.38</f>
        <v>37444.38</v>
      </c>
      <c r="T50" s="32" t="n">
        <f>370</f>
        <v>370.0</v>
      </c>
      <c r="U50" s="32" t="n">
        <f>2</f>
        <v>2.0</v>
      </c>
      <c r="V50" s="32" t="n">
        <f>13823350</f>
        <v>1.382335E7</v>
      </c>
      <c r="W50" s="32" t="n">
        <f>75150</f>
        <v>75150.0</v>
      </c>
      <c r="X50" s="36" t="n">
        <f>16</f>
        <v>16.0</v>
      </c>
    </row>
    <row r="51">
      <c r="A51" s="27" t="s">
        <v>42</v>
      </c>
      <c r="B51" s="27" t="s">
        <v>196</v>
      </c>
      <c r="C51" s="27" t="s">
        <v>197</v>
      </c>
      <c r="D51" s="27" t="s">
        <v>198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29680</f>
        <v>29680.0</v>
      </c>
      <c r="L51" s="34" t="s">
        <v>48</v>
      </c>
      <c r="M51" s="33" t="n">
        <f>30200</f>
        <v>30200.0</v>
      </c>
      <c r="N51" s="34" t="s">
        <v>133</v>
      </c>
      <c r="O51" s="33" t="n">
        <f>28240</f>
        <v>28240.0</v>
      </c>
      <c r="P51" s="34" t="s">
        <v>50</v>
      </c>
      <c r="Q51" s="33" t="n">
        <f>28250</f>
        <v>28250.0</v>
      </c>
      <c r="R51" s="34" t="s">
        <v>50</v>
      </c>
      <c r="S51" s="35" t="n">
        <f>29627.94</f>
        <v>29627.94</v>
      </c>
      <c r="T51" s="32" t="n">
        <f>320979</f>
        <v>320979.0</v>
      </c>
      <c r="U51" s="32" t="n">
        <f>303400</f>
        <v>303400.0</v>
      </c>
      <c r="V51" s="32" t="n">
        <f>9617725895</f>
        <v>9.617725895E9</v>
      </c>
      <c r="W51" s="32" t="n">
        <f>9096873460</f>
        <v>9.09687346E9</v>
      </c>
      <c r="X51" s="36" t="n">
        <f>17</f>
        <v>17.0</v>
      </c>
    </row>
    <row r="52">
      <c r="A52" s="27" t="s">
        <v>42</v>
      </c>
      <c r="B52" s="27" t="s">
        <v>199</v>
      </c>
      <c r="C52" s="27" t="s">
        <v>200</v>
      </c>
      <c r="D52" s="27" t="s">
        <v>201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2137</f>
        <v>2137.0</v>
      </c>
      <c r="L52" s="34" t="s">
        <v>48</v>
      </c>
      <c r="M52" s="33" t="n">
        <f>2145</f>
        <v>2145.0</v>
      </c>
      <c r="N52" s="34" t="s">
        <v>68</v>
      </c>
      <c r="O52" s="33" t="n">
        <f>2065</f>
        <v>2065.0</v>
      </c>
      <c r="P52" s="34" t="s">
        <v>50</v>
      </c>
      <c r="Q52" s="33" t="n">
        <f>2065</f>
        <v>2065.0</v>
      </c>
      <c r="R52" s="34" t="s">
        <v>50</v>
      </c>
      <c r="S52" s="35" t="n">
        <f>2110.93</f>
        <v>2110.93</v>
      </c>
      <c r="T52" s="32" t="n">
        <f>220880</f>
        <v>220880.0</v>
      </c>
      <c r="U52" s="32" t="n">
        <f>16630</f>
        <v>16630.0</v>
      </c>
      <c r="V52" s="32" t="n">
        <f>466601785</f>
        <v>4.66601785E8</v>
      </c>
      <c r="W52" s="32" t="n">
        <f>35297175</f>
        <v>3.5297175E7</v>
      </c>
      <c r="X52" s="36" t="n">
        <f>20</f>
        <v>20.0</v>
      </c>
    </row>
    <row r="53">
      <c r="A53" s="27" t="s">
        <v>42</v>
      </c>
      <c r="B53" s="27" t="s">
        <v>202</v>
      </c>
      <c r="C53" s="27" t="s">
        <v>203</v>
      </c>
      <c r="D53" s="27" t="s">
        <v>204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1570</f>
        <v>1570.0</v>
      </c>
      <c r="L53" s="34" t="s">
        <v>48</v>
      </c>
      <c r="M53" s="33" t="n">
        <f>1583</f>
        <v>1583.0</v>
      </c>
      <c r="N53" s="34" t="s">
        <v>80</v>
      </c>
      <c r="O53" s="33" t="n">
        <f>1483</f>
        <v>1483.0</v>
      </c>
      <c r="P53" s="34" t="s">
        <v>69</v>
      </c>
      <c r="Q53" s="33" t="n">
        <f>1506.5</f>
        <v>1506.5</v>
      </c>
      <c r="R53" s="34" t="s">
        <v>50</v>
      </c>
      <c r="S53" s="35" t="n">
        <f>1544.61</f>
        <v>1544.61</v>
      </c>
      <c r="T53" s="32" t="n">
        <f>9640</f>
        <v>9640.0</v>
      </c>
      <c r="U53" s="32" t="n">
        <f>20</f>
        <v>20.0</v>
      </c>
      <c r="V53" s="32" t="n">
        <f>14577800</f>
        <v>1.45778E7</v>
      </c>
      <c r="W53" s="32" t="n">
        <f>30790</f>
        <v>30790.0</v>
      </c>
      <c r="X53" s="36" t="n">
        <f>19</f>
        <v>19.0</v>
      </c>
    </row>
    <row r="54">
      <c r="A54" s="27" t="s">
        <v>42</v>
      </c>
      <c r="B54" s="27" t="s">
        <v>205</v>
      </c>
      <c r="C54" s="27" t="s">
        <v>206</v>
      </c>
      <c r="D54" s="27" t="s">
        <v>207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4165</f>
        <v>4165.0</v>
      </c>
      <c r="L54" s="34" t="s">
        <v>48</v>
      </c>
      <c r="M54" s="33" t="n">
        <f>4400</f>
        <v>4400.0</v>
      </c>
      <c r="N54" s="34" t="s">
        <v>50</v>
      </c>
      <c r="O54" s="33" t="n">
        <f>4090</f>
        <v>4090.0</v>
      </c>
      <c r="P54" s="34" t="s">
        <v>49</v>
      </c>
      <c r="Q54" s="33" t="n">
        <f>4395</f>
        <v>4395.0</v>
      </c>
      <c r="R54" s="34" t="s">
        <v>50</v>
      </c>
      <c r="S54" s="35" t="n">
        <f>4176.25</f>
        <v>4176.25</v>
      </c>
      <c r="T54" s="32" t="n">
        <f>242036</f>
        <v>242036.0</v>
      </c>
      <c r="U54" s="32" t="n">
        <f>5000</f>
        <v>5000.0</v>
      </c>
      <c r="V54" s="32" t="n">
        <f>1027466120</f>
        <v>1.02746612E9</v>
      </c>
      <c r="W54" s="32" t="n">
        <f>20786000</f>
        <v>2.0786E7</v>
      </c>
      <c r="X54" s="36" t="n">
        <f>20</f>
        <v>20.0</v>
      </c>
    </row>
    <row r="55">
      <c r="A55" s="27" t="s">
        <v>42</v>
      </c>
      <c r="B55" s="27" t="s">
        <v>208</v>
      </c>
      <c r="C55" s="27" t="s">
        <v>209</v>
      </c>
      <c r="D55" s="27" t="s">
        <v>210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4990</f>
        <v>4990.0</v>
      </c>
      <c r="L55" s="34" t="s">
        <v>48</v>
      </c>
      <c r="M55" s="33" t="n">
        <f>5250</f>
        <v>5250.0</v>
      </c>
      <c r="N55" s="34" t="s">
        <v>50</v>
      </c>
      <c r="O55" s="33" t="n">
        <f>4915</f>
        <v>4915.0</v>
      </c>
      <c r="P55" s="34" t="s">
        <v>49</v>
      </c>
      <c r="Q55" s="33" t="n">
        <f>5250</f>
        <v>5250.0</v>
      </c>
      <c r="R55" s="34" t="s">
        <v>50</v>
      </c>
      <c r="S55" s="35" t="n">
        <f>5011.75</f>
        <v>5011.75</v>
      </c>
      <c r="T55" s="32" t="n">
        <f>214991</f>
        <v>214991.0</v>
      </c>
      <c r="U55" s="32" t="n">
        <f>100000</f>
        <v>100000.0</v>
      </c>
      <c r="V55" s="32" t="n">
        <f>1073543235</f>
        <v>1.073543235E9</v>
      </c>
      <c r="W55" s="32" t="n">
        <f>497979430</f>
        <v>4.9797943E8</v>
      </c>
      <c r="X55" s="36" t="n">
        <f>20</f>
        <v>20.0</v>
      </c>
    </row>
    <row r="56">
      <c r="A56" s="27" t="s">
        <v>42</v>
      </c>
      <c r="B56" s="27" t="s">
        <v>211</v>
      </c>
      <c r="C56" s="27" t="s">
        <v>212</v>
      </c>
      <c r="D56" s="27" t="s">
        <v>213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19260</f>
        <v>19260.0</v>
      </c>
      <c r="L56" s="34" t="s">
        <v>48</v>
      </c>
      <c r="M56" s="33" t="n">
        <f>19940</f>
        <v>19940.0</v>
      </c>
      <c r="N56" s="34" t="s">
        <v>49</v>
      </c>
      <c r="O56" s="33" t="n">
        <f>17135</f>
        <v>17135.0</v>
      </c>
      <c r="P56" s="34" t="s">
        <v>50</v>
      </c>
      <c r="Q56" s="33" t="n">
        <f>17170</f>
        <v>17170.0</v>
      </c>
      <c r="R56" s="34" t="s">
        <v>50</v>
      </c>
      <c r="S56" s="35" t="n">
        <f>19157</f>
        <v>19157.0</v>
      </c>
      <c r="T56" s="32" t="n">
        <f>18415373</f>
        <v>1.8415373E7</v>
      </c>
      <c r="U56" s="32" t="n">
        <f>6024</f>
        <v>6024.0</v>
      </c>
      <c r="V56" s="32" t="n">
        <f>353766091265</f>
        <v>3.53766091265E11</v>
      </c>
      <c r="W56" s="32" t="n">
        <f>100822135</f>
        <v>1.00822135E8</v>
      </c>
      <c r="X56" s="36" t="n">
        <f>20</f>
        <v>20.0</v>
      </c>
    </row>
    <row r="57">
      <c r="A57" s="27" t="s">
        <v>42</v>
      </c>
      <c r="B57" s="27" t="s">
        <v>214</v>
      </c>
      <c r="C57" s="27" t="s">
        <v>215</v>
      </c>
      <c r="D57" s="27" t="s">
        <v>216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1510</f>
        <v>1510.0</v>
      </c>
      <c r="L57" s="34" t="s">
        <v>48</v>
      </c>
      <c r="M57" s="33" t="n">
        <f>1683</f>
        <v>1683.0</v>
      </c>
      <c r="N57" s="34" t="s">
        <v>50</v>
      </c>
      <c r="O57" s="33" t="n">
        <f>1456</f>
        <v>1456.0</v>
      </c>
      <c r="P57" s="34" t="s">
        <v>49</v>
      </c>
      <c r="Q57" s="33" t="n">
        <f>1682</f>
        <v>1682.0</v>
      </c>
      <c r="R57" s="34" t="s">
        <v>50</v>
      </c>
      <c r="S57" s="35" t="n">
        <f>1517</f>
        <v>1517.0</v>
      </c>
      <c r="T57" s="32" t="n">
        <f>201786910</f>
        <v>2.0178691E8</v>
      </c>
      <c r="U57" s="32" t="n">
        <f>550406</f>
        <v>550406.0</v>
      </c>
      <c r="V57" s="32" t="n">
        <f>306570818335</f>
        <v>3.06570818335E11</v>
      </c>
      <c r="W57" s="32" t="n">
        <f>863364859</f>
        <v>8.63364859E8</v>
      </c>
      <c r="X57" s="36" t="n">
        <f>20</f>
        <v>20.0</v>
      </c>
    </row>
    <row r="58">
      <c r="A58" s="27" t="s">
        <v>42</v>
      </c>
      <c r="B58" s="27" t="s">
        <v>217</v>
      </c>
      <c r="C58" s="27" t="s">
        <v>218</v>
      </c>
      <c r="D58" s="27" t="s">
        <v>219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16240</f>
        <v>16240.0</v>
      </c>
      <c r="L58" s="34" t="s">
        <v>48</v>
      </c>
      <c r="M58" s="33" t="n">
        <f>16610</f>
        <v>16610.0</v>
      </c>
      <c r="N58" s="34" t="s">
        <v>49</v>
      </c>
      <c r="O58" s="33" t="n">
        <f>14600</f>
        <v>14600.0</v>
      </c>
      <c r="P58" s="34" t="s">
        <v>50</v>
      </c>
      <c r="Q58" s="33" t="n">
        <f>14600</f>
        <v>14600.0</v>
      </c>
      <c r="R58" s="34" t="s">
        <v>50</v>
      </c>
      <c r="S58" s="35" t="n">
        <f>16066.25</f>
        <v>16066.25</v>
      </c>
      <c r="T58" s="32" t="n">
        <f>4968</f>
        <v>4968.0</v>
      </c>
      <c r="U58" s="32" t="n">
        <f>2</f>
        <v>2.0</v>
      </c>
      <c r="V58" s="32" t="n">
        <f>79079855</f>
        <v>7.9079855E7</v>
      </c>
      <c r="W58" s="32" t="n">
        <f>32190</f>
        <v>32190.0</v>
      </c>
      <c r="X58" s="36" t="n">
        <f>20</f>
        <v>20.0</v>
      </c>
    </row>
    <row r="59">
      <c r="A59" s="27" t="s">
        <v>42</v>
      </c>
      <c r="B59" s="27" t="s">
        <v>220</v>
      </c>
      <c r="C59" s="27" t="s">
        <v>221</v>
      </c>
      <c r="D59" s="27" t="s">
        <v>222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4850</f>
        <v>4850.0</v>
      </c>
      <c r="L59" s="34" t="s">
        <v>48</v>
      </c>
      <c r="M59" s="33" t="n">
        <f>4990</f>
        <v>4990.0</v>
      </c>
      <c r="N59" s="34" t="s">
        <v>69</v>
      </c>
      <c r="O59" s="33" t="n">
        <f>4790</f>
        <v>4790.0</v>
      </c>
      <c r="P59" s="34" t="s">
        <v>73</v>
      </c>
      <c r="Q59" s="33" t="n">
        <f>4955</f>
        <v>4955.0</v>
      </c>
      <c r="R59" s="34" t="s">
        <v>50</v>
      </c>
      <c r="S59" s="35" t="n">
        <f>4866.43</f>
        <v>4866.43</v>
      </c>
      <c r="T59" s="32" t="n">
        <f>846</f>
        <v>846.0</v>
      </c>
      <c r="U59" s="32" t="str">
        <f>"－"</f>
        <v>－</v>
      </c>
      <c r="V59" s="32" t="n">
        <f>4087360</f>
        <v>4087360.0</v>
      </c>
      <c r="W59" s="32" t="str">
        <f>"－"</f>
        <v>－</v>
      </c>
      <c r="X59" s="36" t="n">
        <f>14</f>
        <v>14.0</v>
      </c>
    </row>
    <row r="60">
      <c r="A60" s="27" t="s">
        <v>42</v>
      </c>
      <c r="B60" s="27" t="s">
        <v>223</v>
      </c>
      <c r="C60" s="27" t="s">
        <v>224</v>
      </c>
      <c r="D60" s="27" t="s">
        <v>225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1914</f>
        <v>1914.0</v>
      </c>
      <c r="L60" s="34" t="s">
        <v>48</v>
      </c>
      <c r="M60" s="33" t="n">
        <f>2073</f>
        <v>2073.0</v>
      </c>
      <c r="N60" s="34" t="s">
        <v>50</v>
      </c>
      <c r="O60" s="33" t="n">
        <f>1830</f>
        <v>1830.0</v>
      </c>
      <c r="P60" s="34" t="s">
        <v>80</v>
      </c>
      <c r="Q60" s="33" t="n">
        <f>2073</f>
        <v>2073.0</v>
      </c>
      <c r="R60" s="34" t="s">
        <v>50</v>
      </c>
      <c r="S60" s="35" t="n">
        <f>1899.8</f>
        <v>1899.8</v>
      </c>
      <c r="T60" s="32" t="n">
        <f>21168</f>
        <v>21168.0</v>
      </c>
      <c r="U60" s="32" t="n">
        <f>4</f>
        <v>4.0</v>
      </c>
      <c r="V60" s="32" t="n">
        <f>40645517</f>
        <v>4.0645517E7</v>
      </c>
      <c r="W60" s="32" t="n">
        <f>7425</f>
        <v>7425.0</v>
      </c>
      <c r="X60" s="36" t="n">
        <f>20</f>
        <v>20.0</v>
      </c>
    </row>
    <row r="61">
      <c r="A61" s="27" t="s">
        <v>42</v>
      </c>
      <c r="B61" s="27" t="s">
        <v>226</v>
      </c>
      <c r="C61" s="27" t="s">
        <v>227</v>
      </c>
      <c r="D61" s="27" t="s">
        <v>228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15380</f>
        <v>15380.0</v>
      </c>
      <c r="L61" s="34" t="s">
        <v>48</v>
      </c>
      <c r="M61" s="33" t="n">
        <f>15480</f>
        <v>15480.0</v>
      </c>
      <c r="N61" s="34" t="s">
        <v>229</v>
      </c>
      <c r="O61" s="33" t="n">
        <f>13800</f>
        <v>13800.0</v>
      </c>
      <c r="P61" s="34" t="s">
        <v>50</v>
      </c>
      <c r="Q61" s="33" t="n">
        <f>13800</f>
        <v>13800.0</v>
      </c>
      <c r="R61" s="34" t="s">
        <v>50</v>
      </c>
      <c r="S61" s="35" t="n">
        <f>14983.06</f>
        <v>14983.06</v>
      </c>
      <c r="T61" s="32" t="n">
        <f>3360</f>
        <v>3360.0</v>
      </c>
      <c r="U61" s="32" t="n">
        <f>20</f>
        <v>20.0</v>
      </c>
      <c r="V61" s="32" t="n">
        <f>50401150</f>
        <v>5.040115E7</v>
      </c>
      <c r="W61" s="32" t="n">
        <f>305500</f>
        <v>305500.0</v>
      </c>
      <c r="X61" s="36" t="n">
        <f>18</f>
        <v>18.0</v>
      </c>
    </row>
    <row r="62">
      <c r="A62" s="27" t="s">
        <v>42</v>
      </c>
      <c r="B62" s="27" t="s">
        <v>230</v>
      </c>
      <c r="C62" s="27" t="s">
        <v>231</v>
      </c>
      <c r="D62" s="27" t="s">
        <v>232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4675</f>
        <v>4675.0</v>
      </c>
      <c r="L62" s="34" t="s">
        <v>48</v>
      </c>
      <c r="M62" s="33" t="n">
        <f>4726</f>
        <v>4726.0</v>
      </c>
      <c r="N62" s="34" t="s">
        <v>50</v>
      </c>
      <c r="O62" s="33" t="n">
        <f>4665</f>
        <v>4665.0</v>
      </c>
      <c r="P62" s="34" t="s">
        <v>195</v>
      </c>
      <c r="Q62" s="33" t="n">
        <f>4726</f>
        <v>4726.0</v>
      </c>
      <c r="R62" s="34" t="s">
        <v>50</v>
      </c>
      <c r="S62" s="35" t="n">
        <f>4688.67</f>
        <v>4688.67</v>
      </c>
      <c r="T62" s="32" t="n">
        <f>190</f>
        <v>190.0</v>
      </c>
      <c r="U62" s="32" t="n">
        <f>10</f>
        <v>10.0</v>
      </c>
      <c r="V62" s="32" t="n">
        <f>893170</f>
        <v>893170.0</v>
      </c>
      <c r="W62" s="32" t="n">
        <f>46750</f>
        <v>46750.0</v>
      </c>
      <c r="X62" s="36" t="n">
        <f>3</f>
        <v>3.0</v>
      </c>
    </row>
    <row r="63">
      <c r="A63" s="27" t="s">
        <v>42</v>
      </c>
      <c r="B63" s="27" t="s">
        <v>233</v>
      </c>
      <c r="C63" s="27" t="s">
        <v>234</v>
      </c>
      <c r="D63" s="27" t="s">
        <v>235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1942</f>
        <v>1942.0</v>
      </c>
      <c r="L63" s="34" t="s">
        <v>48</v>
      </c>
      <c r="M63" s="33" t="n">
        <f>2050</f>
        <v>2050.0</v>
      </c>
      <c r="N63" s="34" t="s">
        <v>50</v>
      </c>
      <c r="O63" s="33" t="n">
        <f>1812</f>
        <v>1812.0</v>
      </c>
      <c r="P63" s="34" t="s">
        <v>49</v>
      </c>
      <c r="Q63" s="33" t="n">
        <f>2050</f>
        <v>2050.0</v>
      </c>
      <c r="R63" s="34" t="s">
        <v>50</v>
      </c>
      <c r="S63" s="35" t="n">
        <f>1875.48</f>
        <v>1875.48</v>
      </c>
      <c r="T63" s="32" t="n">
        <f>78800</f>
        <v>78800.0</v>
      </c>
      <c r="U63" s="32" t="str">
        <f>"－"</f>
        <v>－</v>
      </c>
      <c r="V63" s="32" t="n">
        <f>151095155</f>
        <v>1.51095155E8</v>
      </c>
      <c r="W63" s="32" t="str">
        <f>"－"</f>
        <v>－</v>
      </c>
      <c r="X63" s="36" t="n">
        <f>20</f>
        <v>20.0</v>
      </c>
    </row>
    <row r="64">
      <c r="A64" s="27" t="s">
        <v>42</v>
      </c>
      <c r="B64" s="27" t="s">
        <v>236</v>
      </c>
      <c r="C64" s="27" t="s">
        <v>237</v>
      </c>
      <c r="D64" s="27" t="s">
        <v>238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3095</f>
        <v>3095.0</v>
      </c>
      <c r="L64" s="34" t="s">
        <v>48</v>
      </c>
      <c r="M64" s="33" t="n">
        <f>3305</f>
        <v>3305.0</v>
      </c>
      <c r="N64" s="34" t="s">
        <v>69</v>
      </c>
      <c r="O64" s="33" t="n">
        <f>3095</f>
        <v>3095.0</v>
      </c>
      <c r="P64" s="34" t="s">
        <v>48</v>
      </c>
      <c r="Q64" s="33" t="n">
        <f>3285</f>
        <v>3285.0</v>
      </c>
      <c r="R64" s="34" t="s">
        <v>50</v>
      </c>
      <c r="S64" s="35" t="n">
        <f>3158.53</f>
        <v>3158.53</v>
      </c>
      <c r="T64" s="32" t="n">
        <f>1957</f>
        <v>1957.0</v>
      </c>
      <c r="U64" s="32" t="n">
        <f>2</f>
        <v>2.0</v>
      </c>
      <c r="V64" s="32" t="n">
        <f>6174765</f>
        <v>6174765.0</v>
      </c>
      <c r="W64" s="32" t="n">
        <f>6250</f>
        <v>6250.0</v>
      </c>
      <c r="X64" s="36" t="n">
        <f>17</f>
        <v>17.0</v>
      </c>
    </row>
    <row r="65">
      <c r="A65" s="27" t="s">
        <v>42</v>
      </c>
      <c r="B65" s="27" t="s">
        <v>239</v>
      </c>
      <c r="C65" s="27" t="s">
        <v>240</v>
      </c>
      <c r="D65" s="27" t="s">
        <v>241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771</f>
        <v>771.0</v>
      </c>
      <c r="L65" s="34" t="s">
        <v>48</v>
      </c>
      <c r="M65" s="33" t="n">
        <f>825</f>
        <v>825.0</v>
      </c>
      <c r="N65" s="34" t="s">
        <v>50</v>
      </c>
      <c r="O65" s="33" t="n">
        <f>729</f>
        <v>729.0</v>
      </c>
      <c r="P65" s="34" t="s">
        <v>242</v>
      </c>
      <c r="Q65" s="33" t="n">
        <f>824</f>
        <v>824.0</v>
      </c>
      <c r="R65" s="34" t="s">
        <v>50</v>
      </c>
      <c r="S65" s="35" t="n">
        <f>757.55</f>
        <v>757.55</v>
      </c>
      <c r="T65" s="32" t="n">
        <f>68396</f>
        <v>68396.0</v>
      </c>
      <c r="U65" s="32" t="n">
        <f>8</f>
        <v>8.0</v>
      </c>
      <c r="V65" s="32" t="n">
        <f>52264264</f>
        <v>5.2264264E7</v>
      </c>
      <c r="W65" s="32" t="n">
        <f>6021</f>
        <v>6021.0</v>
      </c>
      <c r="X65" s="36" t="n">
        <f>20</f>
        <v>20.0</v>
      </c>
    </row>
    <row r="66">
      <c r="A66" s="27" t="s">
        <v>42</v>
      </c>
      <c r="B66" s="27" t="s">
        <v>243</v>
      </c>
      <c r="C66" s="27" t="s">
        <v>244</v>
      </c>
      <c r="D66" s="27" t="s">
        <v>245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10.0</v>
      </c>
      <c r="K66" s="33" t="n">
        <f>2086</f>
        <v>2086.0</v>
      </c>
      <c r="L66" s="34" t="s">
        <v>48</v>
      </c>
      <c r="M66" s="33" t="n">
        <f>2102</f>
        <v>2102.0</v>
      </c>
      <c r="N66" s="34" t="s">
        <v>49</v>
      </c>
      <c r="O66" s="33" t="n">
        <f>1966</f>
        <v>1966.0</v>
      </c>
      <c r="P66" s="34" t="s">
        <v>50</v>
      </c>
      <c r="Q66" s="33" t="n">
        <f>1966</f>
        <v>1966.0</v>
      </c>
      <c r="R66" s="34" t="s">
        <v>50</v>
      </c>
      <c r="S66" s="35" t="n">
        <f>2065.08</f>
        <v>2065.08</v>
      </c>
      <c r="T66" s="32" t="n">
        <f>7611120</f>
        <v>7611120.0</v>
      </c>
      <c r="U66" s="32" t="n">
        <f>5636640</f>
        <v>5636640.0</v>
      </c>
      <c r="V66" s="32" t="n">
        <f>15768790471</f>
        <v>1.5768790471E10</v>
      </c>
      <c r="W66" s="32" t="n">
        <f>11754803486</f>
        <v>1.1754803486E10</v>
      </c>
      <c r="X66" s="36" t="n">
        <f>20</f>
        <v>20.0</v>
      </c>
    </row>
    <row r="67">
      <c r="A67" s="27" t="s">
        <v>42</v>
      </c>
      <c r="B67" s="27" t="s">
        <v>246</v>
      </c>
      <c r="C67" s="27" t="s">
        <v>247</v>
      </c>
      <c r="D67" s="27" t="s">
        <v>248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18610</f>
        <v>18610.0</v>
      </c>
      <c r="L67" s="34" t="s">
        <v>48</v>
      </c>
      <c r="M67" s="33" t="n">
        <f>18950</f>
        <v>18950.0</v>
      </c>
      <c r="N67" s="34" t="s">
        <v>195</v>
      </c>
      <c r="O67" s="33" t="n">
        <f>17845</f>
        <v>17845.0</v>
      </c>
      <c r="P67" s="34" t="s">
        <v>50</v>
      </c>
      <c r="Q67" s="33" t="n">
        <f>17845</f>
        <v>17845.0</v>
      </c>
      <c r="R67" s="34" t="s">
        <v>50</v>
      </c>
      <c r="S67" s="35" t="n">
        <f>18520</f>
        <v>18520.0</v>
      </c>
      <c r="T67" s="32" t="n">
        <f>38993</f>
        <v>38993.0</v>
      </c>
      <c r="U67" s="32" t="n">
        <f>10001</f>
        <v>10001.0</v>
      </c>
      <c r="V67" s="32" t="n">
        <f>725082845</f>
        <v>7.25082845E8</v>
      </c>
      <c r="W67" s="32" t="n">
        <f>185668610</f>
        <v>1.8566861E8</v>
      </c>
      <c r="X67" s="36" t="n">
        <f>20</f>
        <v>20.0</v>
      </c>
    </row>
    <row r="68">
      <c r="A68" s="27" t="s">
        <v>42</v>
      </c>
      <c r="B68" s="27" t="s">
        <v>249</v>
      </c>
      <c r="C68" s="27" t="s">
        <v>250</v>
      </c>
      <c r="D68" s="27" t="s">
        <v>251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2089</f>
        <v>2089.0</v>
      </c>
      <c r="L68" s="34" t="s">
        <v>48</v>
      </c>
      <c r="M68" s="33" t="n">
        <f>2117</f>
        <v>2117.0</v>
      </c>
      <c r="N68" s="34" t="s">
        <v>49</v>
      </c>
      <c r="O68" s="33" t="n">
        <f>1977</f>
        <v>1977.0</v>
      </c>
      <c r="P68" s="34" t="s">
        <v>50</v>
      </c>
      <c r="Q68" s="33" t="n">
        <f>1979</f>
        <v>1979.0</v>
      </c>
      <c r="R68" s="34" t="s">
        <v>50</v>
      </c>
      <c r="S68" s="35" t="n">
        <f>2075.25</f>
        <v>2075.25</v>
      </c>
      <c r="T68" s="32" t="n">
        <f>3872304</f>
        <v>3872304.0</v>
      </c>
      <c r="U68" s="32" t="n">
        <f>629162</f>
        <v>629162.0</v>
      </c>
      <c r="V68" s="32" t="n">
        <f>8015017194</f>
        <v>8.015017194E9</v>
      </c>
      <c r="W68" s="32" t="n">
        <f>1306132980</f>
        <v>1.30613298E9</v>
      </c>
      <c r="X68" s="36" t="n">
        <f>20</f>
        <v>20.0</v>
      </c>
    </row>
    <row r="69">
      <c r="A69" s="27" t="s">
        <v>42</v>
      </c>
      <c r="B69" s="27" t="s">
        <v>252</v>
      </c>
      <c r="C69" s="27" t="s">
        <v>253</v>
      </c>
      <c r="D69" s="27" t="s">
        <v>254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2168</f>
        <v>2168.0</v>
      </c>
      <c r="L69" s="34" t="s">
        <v>48</v>
      </c>
      <c r="M69" s="33" t="n">
        <f>2170</f>
        <v>2170.0</v>
      </c>
      <c r="N69" s="34" t="s">
        <v>68</v>
      </c>
      <c r="O69" s="33" t="n">
        <f>2063</f>
        <v>2063.0</v>
      </c>
      <c r="P69" s="34" t="s">
        <v>69</v>
      </c>
      <c r="Q69" s="33" t="n">
        <f>2065</f>
        <v>2065.0</v>
      </c>
      <c r="R69" s="34" t="s">
        <v>50</v>
      </c>
      <c r="S69" s="35" t="n">
        <f>2122.5</f>
        <v>2122.5</v>
      </c>
      <c r="T69" s="32" t="n">
        <f>5287033</f>
        <v>5287033.0</v>
      </c>
      <c r="U69" s="32" t="n">
        <f>565714</f>
        <v>565714.0</v>
      </c>
      <c r="V69" s="32" t="n">
        <f>11221504092</f>
        <v>1.1221504092E10</v>
      </c>
      <c r="W69" s="32" t="n">
        <f>1204946245</f>
        <v>1.204946245E9</v>
      </c>
      <c r="X69" s="36" t="n">
        <f>20</f>
        <v>20.0</v>
      </c>
    </row>
    <row r="70">
      <c r="A70" s="27" t="s">
        <v>42</v>
      </c>
      <c r="B70" s="27" t="s">
        <v>255</v>
      </c>
      <c r="C70" s="27" t="s">
        <v>256</v>
      </c>
      <c r="D70" s="27" t="s">
        <v>257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1921</f>
        <v>1921.0</v>
      </c>
      <c r="L70" s="34" t="s">
        <v>48</v>
      </c>
      <c r="M70" s="33" t="n">
        <f>1945</f>
        <v>1945.0</v>
      </c>
      <c r="N70" s="34" t="s">
        <v>49</v>
      </c>
      <c r="O70" s="33" t="n">
        <f>1846</f>
        <v>1846.0</v>
      </c>
      <c r="P70" s="34" t="s">
        <v>50</v>
      </c>
      <c r="Q70" s="33" t="n">
        <f>1846</f>
        <v>1846.0</v>
      </c>
      <c r="R70" s="34" t="s">
        <v>50</v>
      </c>
      <c r="S70" s="35" t="n">
        <f>1917.05</f>
        <v>1917.05</v>
      </c>
      <c r="T70" s="32" t="n">
        <f>22138</f>
        <v>22138.0</v>
      </c>
      <c r="U70" s="32" t="n">
        <f>12630</f>
        <v>12630.0</v>
      </c>
      <c r="V70" s="32" t="n">
        <f>41367065</f>
        <v>4.1367065E7</v>
      </c>
      <c r="W70" s="32" t="n">
        <f>23259114</f>
        <v>2.3259114E7</v>
      </c>
      <c r="X70" s="36" t="n">
        <f>20</f>
        <v>20.0</v>
      </c>
    </row>
    <row r="71">
      <c r="A71" s="27" t="s">
        <v>42</v>
      </c>
      <c r="B71" s="27" t="s">
        <v>258</v>
      </c>
      <c r="C71" s="27" t="s">
        <v>259</v>
      </c>
      <c r="D71" s="27" t="s">
        <v>260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2234</f>
        <v>2234.0</v>
      </c>
      <c r="L71" s="34" t="s">
        <v>48</v>
      </c>
      <c r="M71" s="33" t="n">
        <f>2254</f>
        <v>2254.0</v>
      </c>
      <c r="N71" s="34" t="s">
        <v>48</v>
      </c>
      <c r="O71" s="33" t="n">
        <f>2086</f>
        <v>2086.0</v>
      </c>
      <c r="P71" s="34" t="s">
        <v>50</v>
      </c>
      <c r="Q71" s="33" t="n">
        <f>2087</f>
        <v>2087.0</v>
      </c>
      <c r="R71" s="34" t="s">
        <v>50</v>
      </c>
      <c r="S71" s="35" t="n">
        <f>2193</f>
        <v>2193.0</v>
      </c>
      <c r="T71" s="32" t="n">
        <f>262624</f>
        <v>262624.0</v>
      </c>
      <c r="U71" s="32" t="n">
        <f>91002</f>
        <v>91002.0</v>
      </c>
      <c r="V71" s="32" t="n">
        <f>573359846</f>
        <v>5.73359846E8</v>
      </c>
      <c r="W71" s="32" t="n">
        <f>199843429</f>
        <v>1.99843429E8</v>
      </c>
      <c r="X71" s="36" t="n">
        <f>20</f>
        <v>20.0</v>
      </c>
    </row>
    <row r="72">
      <c r="A72" s="27" t="s">
        <v>42</v>
      </c>
      <c r="B72" s="27" t="s">
        <v>261</v>
      </c>
      <c r="C72" s="27" t="s">
        <v>262</v>
      </c>
      <c r="D72" s="27" t="s">
        <v>263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25430</f>
        <v>25430.0</v>
      </c>
      <c r="L72" s="34" t="s">
        <v>48</v>
      </c>
      <c r="M72" s="33" t="n">
        <f>25930</f>
        <v>25930.0</v>
      </c>
      <c r="N72" s="34" t="s">
        <v>229</v>
      </c>
      <c r="O72" s="33" t="n">
        <f>24750</f>
        <v>24750.0</v>
      </c>
      <c r="P72" s="34" t="s">
        <v>69</v>
      </c>
      <c r="Q72" s="33" t="n">
        <f>24840</f>
        <v>24840.0</v>
      </c>
      <c r="R72" s="34" t="s">
        <v>50</v>
      </c>
      <c r="S72" s="35" t="n">
        <f>25497.06</f>
        <v>25497.06</v>
      </c>
      <c r="T72" s="32" t="n">
        <f>218</f>
        <v>218.0</v>
      </c>
      <c r="U72" s="32" t="n">
        <f>3</f>
        <v>3.0</v>
      </c>
      <c r="V72" s="32" t="n">
        <f>5613630</f>
        <v>5613630.0</v>
      </c>
      <c r="W72" s="32" t="n">
        <f>76120</f>
        <v>76120.0</v>
      </c>
      <c r="X72" s="36" t="n">
        <f>17</f>
        <v>17.0</v>
      </c>
    </row>
    <row r="73">
      <c r="A73" s="27" t="s">
        <v>42</v>
      </c>
      <c r="B73" s="27" t="s">
        <v>264</v>
      </c>
      <c r="C73" s="27" t="s">
        <v>265</v>
      </c>
      <c r="D73" s="27" t="s">
        <v>266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20460</f>
        <v>20460.0</v>
      </c>
      <c r="L73" s="34" t="s">
        <v>48</v>
      </c>
      <c r="M73" s="33" t="n">
        <f>20760</f>
        <v>20760.0</v>
      </c>
      <c r="N73" s="34" t="s">
        <v>229</v>
      </c>
      <c r="O73" s="33" t="n">
        <f>19780</f>
        <v>19780.0</v>
      </c>
      <c r="P73" s="34" t="s">
        <v>50</v>
      </c>
      <c r="Q73" s="33" t="n">
        <f>19780</f>
        <v>19780.0</v>
      </c>
      <c r="R73" s="34" t="s">
        <v>50</v>
      </c>
      <c r="S73" s="35" t="n">
        <f>20489</f>
        <v>20489.0</v>
      </c>
      <c r="T73" s="32" t="n">
        <f>138</f>
        <v>138.0</v>
      </c>
      <c r="U73" s="32" t="n">
        <f>2</f>
        <v>2.0</v>
      </c>
      <c r="V73" s="32" t="n">
        <f>2828910</f>
        <v>2828910.0</v>
      </c>
      <c r="W73" s="32" t="n">
        <f>41320</f>
        <v>41320.0</v>
      </c>
      <c r="X73" s="36" t="n">
        <f>10</f>
        <v>10.0</v>
      </c>
    </row>
    <row r="74">
      <c r="A74" s="27" t="s">
        <v>42</v>
      </c>
      <c r="B74" s="27" t="s">
        <v>267</v>
      </c>
      <c r="C74" s="27" t="s">
        <v>268</v>
      </c>
      <c r="D74" s="27" t="s">
        <v>269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2021</f>
        <v>2021.0</v>
      </c>
      <c r="L74" s="34" t="s">
        <v>48</v>
      </c>
      <c r="M74" s="33" t="n">
        <f>2075</f>
        <v>2075.0</v>
      </c>
      <c r="N74" s="34" t="s">
        <v>195</v>
      </c>
      <c r="O74" s="33" t="n">
        <f>1975</f>
        <v>1975.0</v>
      </c>
      <c r="P74" s="34" t="s">
        <v>50</v>
      </c>
      <c r="Q74" s="33" t="n">
        <f>1975</f>
        <v>1975.0</v>
      </c>
      <c r="R74" s="34" t="s">
        <v>50</v>
      </c>
      <c r="S74" s="35" t="n">
        <f>2042.5</f>
        <v>2042.5</v>
      </c>
      <c r="T74" s="32" t="n">
        <f>495</f>
        <v>495.0</v>
      </c>
      <c r="U74" s="32" t="str">
        <f>"－"</f>
        <v>－</v>
      </c>
      <c r="V74" s="32" t="n">
        <f>1010054</f>
        <v>1010054.0</v>
      </c>
      <c r="W74" s="32" t="str">
        <f>"－"</f>
        <v>－</v>
      </c>
      <c r="X74" s="36" t="n">
        <f>20</f>
        <v>20.0</v>
      </c>
    </row>
    <row r="75">
      <c r="A75" s="27" t="s">
        <v>42</v>
      </c>
      <c r="B75" s="27" t="s">
        <v>270</v>
      </c>
      <c r="C75" s="27" t="s">
        <v>271</v>
      </c>
      <c r="D75" s="27" t="s">
        <v>272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2329</f>
        <v>2329.0</v>
      </c>
      <c r="L75" s="34" t="s">
        <v>48</v>
      </c>
      <c r="M75" s="33" t="n">
        <f>2354</f>
        <v>2354.0</v>
      </c>
      <c r="N75" s="34" t="s">
        <v>61</v>
      </c>
      <c r="O75" s="33" t="n">
        <f>2311</f>
        <v>2311.0</v>
      </c>
      <c r="P75" s="34" t="s">
        <v>195</v>
      </c>
      <c r="Q75" s="33" t="n">
        <f>2349</f>
        <v>2349.0</v>
      </c>
      <c r="R75" s="34" t="s">
        <v>50</v>
      </c>
      <c r="S75" s="35" t="n">
        <f>2332.9</f>
        <v>2332.9</v>
      </c>
      <c r="T75" s="32" t="n">
        <f>4291044</f>
        <v>4291044.0</v>
      </c>
      <c r="U75" s="32" t="n">
        <f>2159000</f>
        <v>2159000.0</v>
      </c>
      <c r="V75" s="32" t="n">
        <f>9986487150</f>
        <v>9.98648715E9</v>
      </c>
      <c r="W75" s="32" t="n">
        <f>5025670592</f>
        <v>5.025670592E9</v>
      </c>
      <c r="X75" s="36" t="n">
        <f>20</f>
        <v>20.0</v>
      </c>
    </row>
    <row r="76">
      <c r="A76" s="27" t="s">
        <v>42</v>
      </c>
      <c r="B76" s="27" t="s">
        <v>273</v>
      </c>
      <c r="C76" s="27" t="s">
        <v>274</v>
      </c>
      <c r="D76" s="27" t="s">
        <v>275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2012</f>
        <v>2012.0</v>
      </c>
      <c r="L76" s="34" t="s">
        <v>48</v>
      </c>
      <c r="M76" s="33" t="n">
        <f>2075</f>
        <v>2075.0</v>
      </c>
      <c r="N76" s="34" t="s">
        <v>87</v>
      </c>
      <c r="O76" s="33" t="n">
        <f>1981</f>
        <v>1981.0</v>
      </c>
      <c r="P76" s="34" t="s">
        <v>242</v>
      </c>
      <c r="Q76" s="33" t="n">
        <f>1986</f>
        <v>1986.0</v>
      </c>
      <c r="R76" s="34" t="s">
        <v>50</v>
      </c>
      <c r="S76" s="35" t="n">
        <f>2040.78</f>
        <v>2040.78</v>
      </c>
      <c r="T76" s="32" t="n">
        <f>687</f>
        <v>687.0</v>
      </c>
      <c r="U76" s="32" t="n">
        <f>2</f>
        <v>2.0</v>
      </c>
      <c r="V76" s="32" t="n">
        <f>1390494</f>
        <v>1390494.0</v>
      </c>
      <c r="W76" s="32" t="n">
        <f>4089</f>
        <v>4089.0</v>
      </c>
      <c r="X76" s="36" t="n">
        <f>18</f>
        <v>18.0</v>
      </c>
    </row>
    <row r="77">
      <c r="A77" s="27" t="s">
        <v>42</v>
      </c>
      <c r="B77" s="27" t="s">
        <v>276</v>
      </c>
      <c r="C77" s="27" t="s">
        <v>277</v>
      </c>
      <c r="D77" s="27" t="s">
        <v>278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10.0</v>
      </c>
      <c r="K77" s="33" t="n">
        <f>1989</f>
        <v>1989.0</v>
      </c>
      <c r="L77" s="34" t="s">
        <v>48</v>
      </c>
      <c r="M77" s="33" t="n">
        <f>2045</f>
        <v>2045.0</v>
      </c>
      <c r="N77" s="34" t="s">
        <v>191</v>
      </c>
      <c r="O77" s="33" t="n">
        <f>1953</f>
        <v>1953.0</v>
      </c>
      <c r="P77" s="34" t="s">
        <v>50</v>
      </c>
      <c r="Q77" s="33" t="n">
        <f>1953</f>
        <v>1953.0</v>
      </c>
      <c r="R77" s="34" t="s">
        <v>50</v>
      </c>
      <c r="S77" s="35" t="n">
        <f>2014.68</f>
        <v>2014.68</v>
      </c>
      <c r="T77" s="32" t="n">
        <f>53780</f>
        <v>53780.0</v>
      </c>
      <c r="U77" s="32" t="n">
        <f>32000</f>
        <v>32000.0</v>
      </c>
      <c r="V77" s="32" t="n">
        <f>108218824</f>
        <v>1.08218824E8</v>
      </c>
      <c r="W77" s="32" t="n">
        <f>64260779</f>
        <v>6.4260779E7</v>
      </c>
      <c r="X77" s="36" t="n">
        <f>20</f>
        <v>20.0</v>
      </c>
    </row>
    <row r="78">
      <c r="A78" s="27" t="s">
        <v>42</v>
      </c>
      <c r="B78" s="27" t="s">
        <v>279</v>
      </c>
      <c r="C78" s="27" t="s">
        <v>280</v>
      </c>
      <c r="D78" s="27" t="s">
        <v>281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31200</f>
        <v>31200.0</v>
      </c>
      <c r="L78" s="34" t="s">
        <v>68</v>
      </c>
      <c r="M78" s="33" t="n">
        <f>32150</f>
        <v>32150.0</v>
      </c>
      <c r="N78" s="34" t="s">
        <v>195</v>
      </c>
      <c r="O78" s="33" t="n">
        <f>30750</f>
        <v>30750.0</v>
      </c>
      <c r="P78" s="34" t="s">
        <v>87</v>
      </c>
      <c r="Q78" s="33" t="n">
        <f>30750</f>
        <v>30750.0</v>
      </c>
      <c r="R78" s="34" t="s">
        <v>87</v>
      </c>
      <c r="S78" s="35" t="n">
        <f>31366.67</f>
        <v>31366.67</v>
      </c>
      <c r="T78" s="32" t="n">
        <f>5</f>
        <v>5.0</v>
      </c>
      <c r="U78" s="32" t="n">
        <f>1</f>
        <v>1.0</v>
      </c>
      <c r="V78" s="32" t="n">
        <f>156500</f>
        <v>156500.0</v>
      </c>
      <c r="W78" s="32" t="n">
        <f>31200</f>
        <v>31200.0</v>
      </c>
      <c r="X78" s="36" t="n">
        <f>3</f>
        <v>3.0</v>
      </c>
    </row>
    <row r="79">
      <c r="A79" s="27" t="s">
        <v>42</v>
      </c>
      <c r="B79" s="27" t="s">
        <v>282</v>
      </c>
      <c r="C79" s="27" t="s">
        <v>283</v>
      </c>
      <c r="D79" s="27" t="s">
        <v>284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21990</f>
        <v>21990.0</v>
      </c>
      <c r="L79" s="34" t="s">
        <v>48</v>
      </c>
      <c r="M79" s="33" t="n">
        <f>22100</f>
        <v>22100.0</v>
      </c>
      <c r="N79" s="34" t="s">
        <v>87</v>
      </c>
      <c r="O79" s="33" t="n">
        <f>21880</f>
        <v>21880.0</v>
      </c>
      <c r="P79" s="34" t="s">
        <v>242</v>
      </c>
      <c r="Q79" s="33" t="n">
        <f>21990</f>
        <v>21990.0</v>
      </c>
      <c r="R79" s="34" t="s">
        <v>50</v>
      </c>
      <c r="S79" s="35" t="n">
        <f>21975</f>
        <v>21975.0</v>
      </c>
      <c r="T79" s="32" t="n">
        <f>207894</f>
        <v>207894.0</v>
      </c>
      <c r="U79" s="32" t="n">
        <f>110837</f>
        <v>110837.0</v>
      </c>
      <c r="V79" s="32" t="n">
        <f>4570442303</f>
        <v>4.570442303E9</v>
      </c>
      <c r="W79" s="32" t="n">
        <f>2439331303</f>
        <v>2.439331303E9</v>
      </c>
      <c r="X79" s="36" t="n">
        <f>20</f>
        <v>20.0</v>
      </c>
    </row>
    <row r="80">
      <c r="A80" s="27" t="s">
        <v>42</v>
      </c>
      <c r="B80" s="27" t="s">
        <v>285</v>
      </c>
      <c r="C80" s="27" t="s">
        <v>286</v>
      </c>
      <c r="D80" s="27" t="s">
        <v>287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18180</f>
        <v>18180.0</v>
      </c>
      <c r="L80" s="34" t="s">
        <v>48</v>
      </c>
      <c r="M80" s="33" t="n">
        <f>18360</f>
        <v>18360.0</v>
      </c>
      <c r="N80" s="34" t="s">
        <v>61</v>
      </c>
      <c r="O80" s="33" t="n">
        <f>18030</f>
        <v>18030.0</v>
      </c>
      <c r="P80" s="34" t="s">
        <v>195</v>
      </c>
      <c r="Q80" s="33" t="n">
        <f>18350</f>
        <v>18350.0</v>
      </c>
      <c r="R80" s="34" t="s">
        <v>50</v>
      </c>
      <c r="S80" s="35" t="n">
        <f>18203</f>
        <v>18203.0</v>
      </c>
      <c r="T80" s="32" t="n">
        <f>335334</f>
        <v>335334.0</v>
      </c>
      <c r="U80" s="32" t="n">
        <f>117002</f>
        <v>117002.0</v>
      </c>
      <c r="V80" s="32" t="n">
        <f>6107384634</f>
        <v>6.107384634E9</v>
      </c>
      <c r="W80" s="32" t="n">
        <f>2136989434</f>
        <v>2.136989434E9</v>
      </c>
      <c r="X80" s="36" t="n">
        <f>20</f>
        <v>20.0</v>
      </c>
    </row>
    <row r="81">
      <c r="A81" s="27" t="s">
        <v>42</v>
      </c>
      <c r="B81" s="27" t="s">
        <v>288</v>
      </c>
      <c r="C81" s="27" t="s">
        <v>289</v>
      </c>
      <c r="D81" s="27" t="s">
        <v>290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2160</f>
        <v>2160.0</v>
      </c>
      <c r="L81" s="34" t="s">
        <v>48</v>
      </c>
      <c r="M81" s="33" t="n">
        <f>2173</f>
        <v>2173.0</v>
      </c>
      <c r="N81" s="34" t="s">
        <v>195</v>
      </c>
      <c r="O81" s="33" t="n">
        <f>2000.5</f>
        <v>2000.5</v>
      </c>
      <c r="P81" s="34" t="s">
        <v>50</v>
      </c>
      <c r="Q81" s="33" t="n">
        <f>2000.5</f>
        <v>2000.5</v>
      </c>
      <c r="R81" s="34" t="s">
        <v>50</v>
      </c>
      <c r="S81" s="35" t="n">
        <f>2123.25</f>
        <v>2123.25</v>
      </c>
      <c r="T81" s="32" t="n">
        <f>2604080</f>
        <v>2604080.0</v>
      </c>
      <c r="U81" s="32" t="n">
        <f>217000</f>
        <v>217000.0</v>
      </c>
      <c r="V81" s="32" t="n">
        <f>5547699817</f>
        <v>5.547699817E9</v>
      </c>
      <c r="W81" s="32" t="n">
        <f>457342662</f>
        <v>4.57342662E8</v>
      </c>
      <c r="X81" s="36" t="n">
        <f>20</f>
        <v>20.0</v>
      </c>
    </row>
    <row r="82">
      <c r="A82" s="27" t="s">
        <v>42</v>
      </c>
      <c r="B82" s="27" t="s">
        <v>291</v>
      </c>
      <c r="C82" s="27" t="s">
        <v>292</v>
      </c>
      <c r="D82" s="27" t="s">
        <v>293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37100</f>
        <v>37100.0</v>
      </c>
      <c r="L82" s="34" t="s">
        <v>48</v>
      </c>
      <c r="M82" s="33" t="n">
        <f>37250</f>
        <v>37250.0</v>
      </c>
      <c r="N82" s="34" t="s">
        <v>48</v>
      </c>
      <c r="O82" s="33" t="n">
        <f>34970</f>
        <v>34970.0</v>
      </c>
      <c r="P82" s="34" t="s">
        <v>50</v>
      </c>
      <c r="Q82" s="33" t="n">
        <f>34970</f>
        <v>34970.0</v>
      </c>
      <c r="R82" s="34" t="s">
        <v>50</v>
      </c>
      <c r="S82" s="35" t="n">
        <f>36276.5</f>
        <v>36276.5</v>
      </c>
      <c r="T82" s="32" t="n">
        <f>27209</f>
        <v>27209.0</v>
      </c>
      <c r="U82" s="32" t="n">
        <f>15</f>
        <v>15.0</v>
      </c>
      <c r="V82" s="32" t="n">
        <f>978438630</f>
        <v>9.7843863E8</v>
      </c>
      <c r="W82" s="32" t="n">
        <f>532650</f>
        <v>532650.0</v>
      </c>
      <c r="X82" s="36" t="n">
        <f>20</f>
        <v>20.0</v>
      </c>
    </row>
    <row r="83">
      <c r="A83" s="27" t="s">
        <v>42</v>
      </c>
      <c r="B83" s="27" t="s">
        <v>294</v>
      </c>
      <c r="C83" s="27" t="s">
        <v>295</v>
      </c>
      <c r="D83" s="27" t="s">
        <v>296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7300</f>
        <v>7300.0</v>
      </c>
      <c r="L83" s="34" t="s">
        <v>60</v>
      </c>
      <c r="M83" s="33" t="n">
        <f>7390</f>
        <v>7390.0</v>
      </c>
      <c r="N83" s="34" t="s">
        <v>80</v>
      </c>
      <c r="O83" s="33" t="n">
        <f>7300</f>
        <v>7300.0</v>
      </c>
      <c r="P83" s="34" t="s">
        <v>60</v>
      </c>
      <c r="Q83" s="33" t="n">
        <f>7390</f>
        <v>7390.0</v>
      </c>
      <c r="R83" s="34" t="s">
        <v>80</v>
      </c>
      <c r="S83" s="35" t="n">
        <f>7345</f>
        <v>7345.0</v>
      </c>
      <c r="T83" s="32" t="n">
        <f>20</f>
        <v>20.0</v>
      </c>
      <c r="U83" s="32" t="str">
        <f>"－"</f>
        <v>－</v>
      </c>
      <c r="V83" s="32" t="n">
        <f>146900</f>
        <v>146900.0</v>
      </c>
      <c r="W83" s="32" t="str">
        <f>"－"</f>
        <v>－</v>
      </c>
      <c r="X83" s="36" t="n">
        <f>2</f>
        <v>2.0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17120</f>
        <v>17120.0</v>
      </c>
      <c r="L84" s="34" t="s">
        <v>48</v>
      </c>
      <c r="M84" s="33" t="n">
        <f>17700</f>
        <v>17700.0</v>
      </c>
      <c r="N84" s="34" t="s">
        <v>73</v>
      </c>
      <c r="O84" s="33" t="n">
        <f>16250</f>
        <v>16250.0</v>
      </c>
      <c r="P84" s="34" t="s">
        <v>50</v>
      </c>
      <c r="Q84" s="33" t="n">
        <f>16250</f>
        <v>16250.0</v>
      </c>
      <c r="R84" s="34" t="s">
        <v>50</v>
      </c>
      <c r="S84" s="35" t="n">
        <f>17085.5</f>
        <v>17085.5</v>
      </c>
      <c r="T84" s="32" t="n">
        <f>872</f>
        <v>872.0</v>
      </c>
      <c r="U84" s="32" t="n">
        <f>2</f>
        <v>2.0</v>
      </c>
      <c r="V84" s="32" t="n">
        <f>14880910</f>
        <v>1.488091E7</v>
      </c>
      <c r="W84" s="32" t="n">
        <f>34350</f>
        <v>34350.0</v>
      </c>
      <c r="X84" s="36" t="n">
        <f>20</f>
        <v>20.0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16960</f>
        <v>16960.0</v>
      </c>
      <c r="L85" s="34" t="s">
        <v>48</v>
      </c>
      <c r="M85" s="33" t="n">
        <f>17420</f>
        <v>17420.0</v>
      </c>
      <c r="N85" s="34" t="s">
        <v>80</v>
      </c>
      <c r="O85" s="33" t="n">
        <f>16070</f>
        <v>16070.0</v>
      </c>
      <c r="P85" s="34" t="s">
        <v>69</v>
      </c>
      <c r="Q85" s="33" t="n">
        <f>16075</f>
        <v>16075.0</v>
      </c>
      <c r="R85" s="34" t="s">
        <v>50</v>
      </c>
      <c r="S85" s="35" t="n">
        <f>16869</f>
        <v>16869.0</v>
      </c>
      <c r="T85" s="32" t="n">
        <f>1692</f>
        <v>1692.0</v>
      </c>
      <c r="U85" s="32" t="n">
        <f>2</f>
        <v>2.0</v>
      </c>
      <c r="V85" s="32" t="n">
        <f>28227290</f>
        <v>2.822729E7</v>
      </c>
      <c r="W85" s="32" t="n">
        <f>33960</f>
        <v>33960.0</v>
      </c>
      <c r="X85" s="36" t="n">
        <f>20</f>
        <v>20.0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19300</f>
        <v>19300.0</v>
      </c>
      <c r="L86" s="34" t="s">
        <v>48</v>
      </c>
      <c r="M86" s="33" t="n">
        <f>19500</f>
        <v>19500.0</v>
      </c>
      <c r="N86" s="34" t="s">
        <v>60</v>
      </c>
      <c r="O86" s="33" t="n">
        <f>17895</f>
        <v>17895.0</v>
      </c>
      <c r="P86" s="34" t="s">
        <v>50</v>
      </c>
      <c r="Q86" s="33" t="n">
        <f>17895</f>
        <v>17895.0</v>
      </c>
      <c r="R86" s="34" t="s">
        <v>50</v>
      </c>
      <c r="S86" s="35" t="n">
        <f>18838.5</f>
        <v>18838.5</v>
      </c>
      <c r="T86" s="32" t="n">
        <f>5871</f>
        <v>5871.0</v>
      </c>
      <c r="U86" s="32" t="n">
        <f>18</f>
        <v>18.0</v>
      </c>
      <c r="V86" s="32" t="n">
        <f>109554245</f>
        <v>1.09554245E8</v>
      </c>
      <c r="W86" s="32" t="n">
        <f>325760</f>
        <v>325760.0</v>
      </c>
      <c r="X86" s="36" t="n">
        <f>20</f>
        <v>20.0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10.0</v>
      </c>
      <c r="K87" s="33" t="n">
        <f>10600</f>
        <v>10600.0</v>
      </c>
      <c r="L87" s="34" t="s">
        <v>48</v>
      </c>
      <c r="M87" s="33" t="n">
        <f>10780</f>
        <v>10780.0</v>
      </c>
      <c r="N87" s="34" t="s">
        <v>195</v>
      </c>
      <c r="O87" s="33" t="n">
        <f>10410</f>
        <v>10410.0</v>
      </c>
      <c r="P87" s="34" t="s">
        <v>60</v>
      </c>
      <c r="Q87" s="33" t="n">
        <f>10430</f>
        <v>10430.0</v>
      </c>
      <c r="R87" s="34" t="s">
        <v>50</v>
      </c>
      <c r="S87" s="35" t="n">
        <f>10546</f>
        <v>10546.0</v>
      </c>
      <c r="T87" s="32" t="n">
        <f>7800</f>
        <v>7800.0</v>
      </c>
      <c r="U87" s="32" t="n">
        <f>50</f>
        <v>50.0</v>
      </c>
      <c r="V87" s="32" t="n">
        <f>82343850</f>
        <v>8.234385E7</v>
      </c>
      <c r="W87" s="32" t="n">
        <f>525300</f>
        <v>525300.0</v>
      </c>
      <c r="X87" s="36" t="n">
        <f>20</f>
        <v>20.0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2581</f>
        <v>2581.0</v>
      </c>
      <c r="L88" s="34" t="s">
        <v>48</v>
      </c>
      <c r="M88" s="33" t="n">
        <f>2612</f>
        <v>2612.0</v>
      </c>
      <c r="N88" s="34" t="s">
        <v>61</v>
      </c>
      <c r="O88" s="33" t="n">
        <f>2539</f>
        <v>2539.0</v>
      </c>
      <c r="P88" s="34" t="s">
        <v>195</v>
      </c>
      <c r="Q88" s="33" t="n">
        <f>2585</f>
        <v>2585.0</v>
      </c>
      <c r="R88" s="34" t="s">
        <v>50</v>
      </c>
      <c r="S88" s="35" t="n">
        <f>2575.4</f>
        <v>2575.4</v>
      </c>
      <c r="T88" s="32" t="n">
        <f>299188</f>
        <v>299188.0</v>
      </c>
      <c r="U88" s="32" t="n">
        <f>170097</f>
        <v>170097.0</v>
      </c>
      <c r="V88" s="32" t="n">
        <f>769862852</f>
        <v>7.69862852E8</v>
      </c>
      <c r="W88" s="32" t="n">
        <f>437671773</f>
        <v>4.37671773E8</v>
      </c>
      <c r="X88" s="36" t="n">
        <f>20</f>
        <v>20.0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2349</f>
        <v>2349.0</v>
      </c>
      <c r="L89" s="34" t="s">
        <v>48</v>
      </c>
      <c r="M89" s="33" t="n">
        <f>2362</f>
        <v>2362.0</v>
      </c>
      <c r="N89" s="34" t="s">
        <v>73</v>
      </c>
      <c r="O89" s="33" t="n">
        <f>2312</f>
        <v>2312.0</v>
      </c>
      <c r="P89" s="34" t="s">
        <v>69</v>
      </c>
      <c r="Q89" s="33" t="n">
        <f>2322</f>
        <v>2322.0</v>
      </c>
      <c r="R89" s="34" t="s">
        <v>50</v>
      </c>
      <c r="S89" s="35" t="n">
        <f>2342.95</f>
        <v>2342.95</v>
      </c>
      <c r="T89" s="32" t="n">
        <f>127309</f>
        <v>127309.0</v>
      </c>
      <c r="U89" s="32" t="n">
        <f>102</f>
        <v>102.0</v>
      </c>
      <c r="V89" s="32" t="n">
        <f>297795025</f>
        <v>2.97795025E8</v>
      </c>
      <c r="W89" s="32" t="n">
        <f>222156</f>
        <v>222156.0</v>
      </c>
      <c r="X89" s="36" t="n">
        <f>20</f>
        <v>20.0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15730</f>
        <v>15730.0</v>
      </c>
      <c r="L90" s="34" t="s">
        <v>48</v>
      </c>
      <c r="M90" s="33" t="n">
        <f>16500</f>
        <v>16500.0</v>
      </c>
      <c r="N90" s="34" t="s">
        <v>73</v>
      </c>
      <c r="O90" s="33" t="n">
        <f>14945</f>
        <v>14945.0</v>
      </c>
      <c r="P90" s="34" t="s">
        <v>50</v>
      </c>
      <c r="Q90" s="33" t="n">
        <f>14955</f>
        <v>14955.0</v>
      </c>
      <c r="R90" s="34" t="s">
        <v>50</v>
      </c>
      <c r="S90" s="35" t="n">
        <f>15705.25</f>
        <v>15705.25</v>
      </c>
      <c r="T90" s="32" t="n">
        <f>53480</f>
        <v>53480.0</v>
      </c>
      <c r="U90" s="32" t="n">
        <f>9614</f>
        <v>9614.0</v>
      </c>
      <c r="V90" s="32" t="n">
        <f>838258605</f>
        <v>8.38258605E8</v>
      </c>
      <c r="W90" s="32" t="n">
        <f>150018435</f>
        <v>1.50018435E8</v>
      </c>
      <c r="X90" s="36" t="n">
        <f>20</f>
        <v>20.0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8100</f>
        <v>8100.0</v>
      </c>
      <c r="L91" s="34" t="s">
        <v>48</v>
      </c>
      <c r="M91" s="33" t="n">
        <f>8210</f>
        <v>8210.0</v>
      </c>
      <c r="N91" s="34" t="s">
        <v>80</v>
      </c>
      <c r="O91" s="33" t="n">
        <f>8030</f>
        <v>8030.0</v>
      </c>
      <c r="P91" s="34" t="s">
        <v>69</v>
      </c>
      <c r="Q91" s="33" t="n">
        <f>8139</f>
        <v>8139.0</v>
      </c>
      <c r="R91" s="34" t="s">
        <v>50</v>
      </c>
      <c r="S91" s="35" t="n">
        <f>8131.9</f>
        <v>8131.9</v>
      </c>
      <c r="T91" s="32" t="n">
        <f>1541</f>
        <v>1541.0</v>
      </c>
      <c r="U91" s="32" t="n">
        <f>7</f>
        <v>7.0</v>
      </c>
      <c r="V91" s="32" t="n">
        <f>12522628</f>
        <v>1.2522628E7</v>
      </c>
      <c r="W91" s="32" t="n">
        <f>56840</f>
        <v>56840.0</v>
      </c>
      <c r="X91" s="36" t="n">
        <f>20</f>
        <v>20.0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6170</f>
        <v>6170.0</v>
      </c>
      <c r="L92" s="34" t="s">
        <v>48</v>
      </c>
      <c r="M92" s="33" t="n">
        <f>6540</f>
        <v>6540.0</v>
      </c>
      <c r="N92" s="34" t="s">
        <v>101</v>
      </c>
      <c r="O92" s="33" t="n">
        <f>6160</f>
        <v>6160.0</v>
      </c>
      <c r="P92" s="34" t="s">
        <v>48</v>
      </c>
      <c r="Q92" s="33" t="n">
        <f>6225</f>
        <v>6225.0</v>
      </c>
      <c r="R92" s="34" t="s">
        <v>50</v>
      </c>
      <c r="S92" s="35" t="n">
        <f>6344.7</f>
        <v>6344.7</v>
      </c>
      <c r="T92" s="32" t="n">
        <f>2657262</f>
        <v>2657262.0</v>
      </c>
      <c r="U92" s="32" t="n">
        <f>216</f>
        <v>216.0</v>
      </c>
      <c r="V92" s="32" t="n">
        <f>16843754390</f>
        <v>1.684375439E10</v>
      </c>
      <c r="W92" s="32" t="n">
        <f>1404164</f>
        <v>1404164.0</v>
      </c>
      <c r="X92" s="36" t="n">
        <f>20</f>
        <v>20.0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3470</f>
        <v>3470.0</v>
      </c>
      <c r="L93" s="34" t="s">
        <v>48</v>
      </c>
      <c r="M93" s="33" t="n">
        <f>3720</f>
        <v>3720.0</v>
      </c>
      <c r="N93" s="34" t="s">
        <v>97</v>
      </c>
      <c r="O93" s="33" t="n">
        <f>3270</f>
        <v>3270.0</v>
      </c>
      <c r="P93" s="34" t="s">
        <v>50</v>
      </c>
      <c r="Q93" s="33" t="n">
        <f>3270</f>
        <v>3270.0</v>
      </c>
      <c r="R93" s="34" t="s">
        <v>50</v>
      </c>
      <c r="S93" s="35" t="n">
        <f>3547</f>
        <v>3547.0</v>
      </c>
      <c r="T93" s="32" t="n">
        <f>720614</f>
        <v>720614.0</v>
      </c>
      <c r="U93" s="32" t="n">
        <f>6000</f>
        <v>6000.0</v>
      </c>
      <c r="V93" s="32" t="n">
        <f>2544012965</f>
        <v>2.544012965E9</v>
      </c>
      <c r="W93" s="32" t="n">
        <f>20040000</f>
        <v>2.004E7</v>
      </c>
      <c r="X93" s="36" t="n">
        <f>20</f>
        <v>20.0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8150</f>
        <v>8150.0</v>
      </c>
      <c r="L94" s="34" t="s">
        <v>48</v>
      </c>
      <c r="M94" s="33" t="n">
        <f>8700</f>
        <v>8700.0</v>
      </c>
      <c r="N94" s="34" t="s">
        <v>229</v>
      </c>
      <c r="O94" s="33" t="n">
        <f>7813</f>
        <v>7813.0</v>
      </c>
      <c r="P94" s="34" t="s">
        <v>50</v>
      </c>
      <c r="Q94" s="33" t="n">
        <f>7813</f>
        <v>7813.0</v>
      </c>
      <c r="R94" s="34" t="s">
        <v>50</v>
      </c>
      <c r="S94" s="35" t="n">
        <f>8314.15</f>
        <v>8314.15</v>
      </c>
      <c r="T94" s="32" t="n">
        <f>245426</f>
        <v>245426.0</v>
      </c>
      <c r="U94" s="32" t="n">
        <f>9</f>
        <v>9.0</v>
      </c>
      <c r="V94" s="32" t="n">
        <f>2047407048</f>
        <v>2.047407048E9</v>
      </c>
      <c r="W94" s="32" t="n">
        <f>76980</f>
        <v>76980.0</v>
      </c>
      <c r="X94" s="36" t="n">
        <f>20</f>
        <v>20.0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67100</f>
        <v>67100.0</v>
      </c>
      <c r="L95" s="34" t="s">
        <v>48</v>
      </c>
      <c r="M95" s="33" t="n">
        <f>74100</f>
        <v>74100.0</v>
      </c>
      <c r="N95" s="34" t="s">
        <v>101</v>
      </c>
      <c r="O95" s="33" t="n">
        <f>61200</f>
        <v>61200.0</v>
      </c>
      <c r="P95" s="34" t="s">
        <v>69</v>
      </c>
      <c r="Q95" s="33" t="n">
        <f>61920</f>
        <v>61920.0</v>
      </c>
      <c r="R95" s="34" t="s">
        <v>50</v>
      </c>
      <c r="S95" s="35" t="n">
        <f>68686.5</f>
        <v>68686.5</v>
      </c>
      <c r="T95" s="32" t="n">
        <f>7594</f>
        <v>7594.0</v>
      </c>
      <c r="U95" s="32" t="str">
        <f>"－"</f>
        <v>－</v>
      </c>
      <c r="V95" s="32" t="n">
        <f>517640430</f>
        <v>5.1764043E8</v>
      </c>
      <c r="W95" s="32" t="str">
        <f>"－"</f>
        <v>－</v>
      </c>
      <c r="X95" s="36" t="n">
        <f>20</f>
        <v>20.0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18370</f>
        <v>18370.0</v>
      </c>
      <c r="L96" s="34" t="s">
        <v>48</v>
      </c>
      <c r="M96" s="33" t="n">
        <f>19240</f>
        <v>19240.0</v>
      </c>
      <c r="N96" s="34" t="s">
        <v>191</v>
      </c>
      <c r="O96" s="33" t="n">
        <f>18270</f>
        <v>18270.0</v>
      </c>
      <c r="P96" s="34" t="s">
        <v>60</v>
      </c>
      <c r="Q96" s="33" t="n">
        <f>18700</f>
        <v>18700.0</v>
      </c>
      <c r="R96" s="34" t="s">
        <v>50</v>
      </c>
      <c r="S96" s="35" t="n">
        <f>18771.25</f>
        <v>18771.25</v>
      </c>
      <c r="T96" s="32" t="n">
        <f>1943624</f>
        <v>1943624.0</v>
      </c>
      <c r="U96" s="32" t="n">
        <f>23121</f>
        <v>23121.0</v>
      </c>
      <c r="V96" s="32" t="n">
        <f>36533451878</f>
        <v>3.6533451878E10</v>
      </c>
      <c r="W96" s="32" t="n">
        <f>433236068</f>
        <v>4.33236068E8</v>
      </c>
      <c r="X96" s="36" t="n">
        <f>20</f>
        <v>20.0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39950</f>
        <v>39950.0</v>
      </c>
      <c r="L97" s="34" t="s">
        <v>48</v>
      </c>
      <c r="M97" s="33" t="n">
        <f>40600</f>
        <v>40600.0</v>
      </c>
      <c r="N97" s="34" t="s">
        <v>133</v>
      </c>
      <c r="O97" s="33" t="n">
        <f>38330</f>
        <v>38330.0</v>
      </c>
      <c r="P97" s="34" t="s">
        <v>50</v>
      </c>
      <c r="Q97" s="33" t="n">
        <f>38330</f>
        <v>38330.0</v>
      </c>
      <c r="R97" s="34" t="s">
        <v>50</v>
      </c>
      <c r="S97" s="35" t="n">
        <f>39893.5</f>
        <v>39893.5</v>
      </c>
      <c r="T97" s="32" t="n">
        <f>246023</f>
        <v>246023.0</v>
      </c>
      <c r="U97" s="32" t="n">
        <f>13400</f>
        <v>13400.0</v>
      </c>
      <c r="V97" s="32" t="n">
        <f>9764273830</f>
        <v>9.76427383E9</v>
      </c>
      <c r="W97" s="32" t="n">
        <f>533233340</f>
        <v>5.3323334E8</v>
      </c>
      <c r="X97" s="36" t="n">
        <f>20</f>
        <v>20.0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5740</f>
        <v>5740.0</v>
      </c>
      <c r="L98" s="34" t="s">
        <v>48</v>
      </c>
      <c r="M98" s="33" t="n">
        <f>5940</f>
        <v>5940.0</v>
      </c>
      <c r="N98" s="34" t="s">
        <v>342</v>
      </c>
      <c r="O98" s="33" t="n">
        <f>5689</f>
        <v>5689.0</v>
      </c>
      <c r="P98" s="34" t="s">
        <v>50</v>
      </c>
      <c r="Q98" s="33" t="n">
        <f>5689</f>
        <v>5689.0</v>
      </c>
      <c r="R98" s="34" t="s">
        <v>50</v>
      </c>
      <c r="S98" s="35" t="n">
        <f>5806.7</f>
        <v>5806.7</v>
      </c>
      <c r="T98" s="32" t="n">
        <f>2157040</f>
        <v>2157040.0</v>
      </c>
      <c r="U98" s="32" t="n">
        <f>59660</f>
        <v>59660.0</v>
      </c>
      <c r="V98" s="32" t="n">
        <f>12536216760</f>
        <v>1.253621676E10</v>
      </c>
      <c r="W98" s="32" t="n">
        <f>344708200</f>
        <v>3.447082E8</v>
      </c>
      <c r="X98" s="36" t="n">
        <f>20</f>
        <v>20.0</v>
      </c>
    </row>
    <row r="99">
      <c r="A99" s="27" t="s">
        <v>42</v>
      </c>
      <c r="B99" s="27" t="s">
        <v>343</v>
      </c>
      <c r="C99" s="27" t="s">
        <v>344</v>
      </c>
      <c r="D99" s="27" t="s">
        <v>345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3740</f>
        <v>3740.0</v>
      </c>
      <c r="L99" s="34" t="s">
        <v>48</v>
      </c>
      <c r="M99" s="33" t="n">
        <f>3835</f>
        <v>3835.0</v>
      </c>
      <c r="N99" s="34" t="s">
        <v>133</v>
      </c>
      <c r="O99" s="33" t="n">
        <f>3670</f>
        <v>3670.0</v>
      </c>
      <c r="P99" s="34" t="s">
        <v>50</v>
      </c>
      <c r="Q99" s="33" t="n">
        <f>3684</f>
        <v>3684.0</v>
      </c>
      <c r="R99" s="34" t="s">
        <v>50</v>
      </c>
      <c r="S99" s="35" t="n">
        <f>3772.5</f>
        <v>3772.5</v>
      </c>
      <c r="T99" s="32" t="n">
        <f>108540</f>
        <v>108540.0</v>
      </c>
      <c r="U99" s="32" t="str">
        <f>"－"</f>
        <v>－</v>
      </c>
      <c r="V99" s="32" t="n">
        <f>409026610</f>
        <v>4.0902661E8</v>
      </c>
      <c r="W99" s="32" t="str">
        <f>"－"</f>
        <v>－</v>
      </c>
      <c r="X99" s="36" t="n">
        <f>20</f>
        <v>20.0</v>
      </c>
    </row>
    <row r="100">
      <c r="A100" s="27" t="s">
        <v>42</v>
      </c>
      <c r="B100" s="27" t="s">
        <v>346</v>
      </c>
      <c r="C100" s="27" t="s">
        <v>347</v>
      </c>
      <c r="D100" s="27" t="s">
        <v>348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5780</f>
        <v>5780.0</v>
      </c>
      <c r="L100" s="34" t="s">
        <v>48</v>
      </c>
      <c r="M100" s="33" t="n">
        <f>6060</f>
        <v>6060.0</v>
      </c>
      <c r="N100" s="34" t="s">
        <v>191</v>
      </c>
      <c r="O100" s="33" t="n">
        <f>5501</f>
        <v>5501.0</v>
      </c>
      <c r="P100" s="34" t="s">
        <v>69</v>
      </c>
      <c r="Q100" s="33" t="n">
        <f>5695</f>
        <v>5695.0</v>
      </c>
      <c r="R100" s="34" t="s">
        <v>50</v>
      </c>
      <c r="S100" s="35" t="n">
        <f>5863.35</f>
        <v>5863.35</v>
      </c>
      <c r="T100" s="32" t="n">
        <f>15940</f>
        <v>15940.0</v>
      </c>
      <c r="U100" s="32" t="n">
        <f>40</f>
        <v>40.0</v>
      </c>
      <c r="V100" s="32" t="n">
        <f>93150100</f>
        <v>9.31501E7</v>
      </c>
      <c r="W100" s="32" t="n">
        <f>234500</f>
        <v>234500.0</v>
      </c>
      <c r="X100" s="36" t="n">
        <f>20</f>
        <v>20.0</v>
      </c>
    </row>
    <row r="101">
      <c r="A101" s="27" t="s">
        <v>42</v>
      </c>
      <c r="B101" s="27" t="s">
        <v>349</v>
      </c>
      <c r="C101" s="27" t="s">
        <v>350</v>
      </c>
      <c r="D101" s="27" t="s">
        <v>351</v>
      </c>
      <c r="E101" s="28" t="s">
        <v>46</v>
      </c>
      <c r="F101" s="29" t="s">
        <v>46</v>
      </c>
      <c r="G101" s="30" t="s">
        <v>46</v>
      </c>
      <c r="H101" s="31" t="s">
        <v>352</v>
      </c>
      <c r="I101" s="31" t="s">
        <v>47</v>
      </c>
      <c r="J101" s="32" t="n">
        <v>1.0</v>
      </c>
      <c r="K101" s="33" t="n">
        <f>1950</f>
        <v>1950.0</v>
      </c>
      <c r="L101" s="34" t="s">
        <v>48</v>
      </c>
      <c r="M101" s="33" t="n">
        <f>2197</f>
        <v>2197.0</v>
      </c>
      <c r="N101" s="34" t="s">
        <v>69</v>
      </c>
      <c r="O101" s="33" t="n">
        <f>1803</f>
        <v>1803.0</v>
      </c>
      <c r="P101" s="34" t="s">
        <v>80</v>
      </c>
      <c r="Q101" s="33" t="n">
        <f>2165</f>
        <v>2165.0</v>
      </c>
      <c r="R101" s="34" t="s">
        <v>50</v>
      </c>
      <c r="S101" s="35" t="n">
        <f>1923.85</f>
        <v>1923.85</v>
      </c>
      <c r="T101" s="32" t="n">
        <f>23694605</f>
        <v>2.3694605E7</v>
      </c>
      <c r="U101" s="32" t="n">
        <f>31323</f>
        <v>31323.0</v>
      </c>
      <c r="V101" s="32" t="n">
        <f>46794333370</f>
        <v>4.679433337E10</v>
      </c>
      <c r="W101" s="32" t="n">
        <f>65540384</f>
        <v>6.5540384E7</v>
      </c>
      <c r="X101" s="36" t="n">
        <f>20</f>
        <v>20.0</v>
      </c>
    </row>
    <row r="102">
      <c r="A102" s="27" t="s">
        <v>42</v>
      </c>
      <c r="B102" s="27" t="s">
        <v>353</v>
      </c>
      <c r="C102" s="27" t="s">
        <v>354</v>
      </c>
      <c r="D102" s="27" t="s">
        <v>355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3205</f>
        <v>3205.0</v>
      </c>
      <c r="L102" s="34" t="s">
        <v>48</v>
      </c>
      <c r="M102" s="33" t="n">
        <f>3280</f>
        <v>3280.0</v>
      </c>
      <c r="N102" s="34" t="s">
        <v>133</v>
      </c>
      <c r="O102" s="33" t="n">
        <f>3115</f>
        <v>3115.0</v>
      </c>
      <c r="P102" s="34" t="s">
        <v>69</v>
      </c>
      <c r="Q102" s="33" t="n">
        <f>3117</f>
        <v>3117.0</v>
      </c>
      <c r="R102" s="34" t="s">
        <v>50</v>
      </c>
      <c r="S102" s="35" t="n">
        <f>3222.1</f>
        <v>3222.1</v>
      </c>
      <c r="T102" s="32" t="n">
        <f>133810</f>
        <v>133810.0</v>
      </c>
      <c r="U102" s="32" t="n">
        <f>40</f>
        <v>40.0</v>
      </c>
      <c r="V102" s="32" t="n">
        <f>430232590</f>
        <v>4.3023259E8</v>
      </c>
      <c r="W102" s="32" t="n">
        <f>129000</f>
        <v>129000.0</v>
      </c>
      <c r="X102" s="36" t="n">
        <f>20</f>
        <v>20.0</v>
      </c>
    </row>
    <row r="103">
      <c r="A103" s="27" t="s">
        <v>42</v>
      </c>
      <c r="B103" s="27" t="s">
        <v>356</v>
      </c>
      <c r="C103" s="27" t="s">
        <v>357</v>
      </c>
      <c r="D103" s="27" t="s">
        <v>358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1838</f>
        <v>1838.0</v>
      </c>
      <c r="L103" s="34" t="s">
        <v>48</v>
      </c>
      <c r="M103" s="33" t="n">
        <f>1895</f>
        <v>1895.0</v>
      </c>
      <c r="N103" s="34" t="s">
        <v>68</v>
      </c>
      <c r="O103" s="33" t="n">
        <f>1777</f>
        <v>1777.0</v>
      </c>
      <c r="P103" s="34" t="s">
        <v>50</v>
      </c>
      <c r="Q103" s="33" t="n">
        <f>1794.5</f>
        <v>1794.5</v>
      </c>
      <c r="R103" s="34" t="s">
        <v>50</v>
      </c>
      <c r="S103" s="35" t="n">
        <f>1842.38</f>
        <v>1842.38</v>
      </c>
      <c r="T103" s="32" t="n">
        <f>87780</f>
        <v>87780.0</v>
      </c>
      <c r="U103" s="32" t="n">
        <f>10</f>
        <v>10.0</v>
      </c>
      <c r="V103" s="32" t="n">
        <f>162018100</f>
        <v>1.620181E8</v>
      </c>
      <c r="W103" s="32" t="n">
        <f>18300</f>
        <v>18300.0</v>
      </c>
      <c r="X103" s="36" t="n">
        <f>20</f>
        <v>20.0</v>
      </c>
    </row>
    <row r="104">
      <c r="A104" s="27" t="s">
        <v>42</v>
      </c>
      <c r="B104" s="27" t="s">
        <v>359</v>
      </c>
      <c r="C104" s="27" t="s">
        <v>360</v>
      </c>
      <c r="D104" s="27" t="s">
        <v>361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52500</f>
        <v>52500.0</v>
      </c>
      <c r="L104" s="34" t="s">
        <v>48</v>
      </c>
      <c r="M104" s="33" t="n">
        <f>54400</f>
        <v>54400.0</v>
      </c>
      <c r="N104" s="34" t="s">
        <v>342</v>
      </c>
      <c r="O104" s="33" t="n">
        <f>52080</f>
        <v>52080.0</v>
      </c>
      <c r="P104" s="34" t="s">
        <v>50</v>
      </c>
      <c r="Q104" s="33" t="n">
        <f>52100</f>
        <v>52100.0</v>
      </c>
      <c r="R104" s="34" t="s">
        <v>50</v>
      </c>
      <c r="S104" s="35" t="n">
        <f>53190.5</f>
        <v>53190.5</v>
      </c>
      <c r="T104" s="32" t="n">
        <f>187653</f>
        <v>187653.0</v>
      </c>
      <c r="U104" s="32" t="n">
        <f>18000</f>
        <v>18000.0</v>
      </c>
      <c r="V104" s="32" t="n">
        <f>9956772538</f>
        <v>9.956772538E9</v>
      </c>
      <c r="W104" s="32" t="n">
        <f>953681958</f>
        <v>9.53681958E8</v>
      </c>
      <c r="X104" s="36" t="n">
        <f>20</f>
        <v>20.0</v>
      </c>
    </row>
    <row r="105">
      <c r="A105" s="27" t="s">
        <v>42</v>
      </c>
      <c r="B105" s="27" t="s">
        <v>362</v>
      </c>
      <c r="C105" s="27" t="s">
        <v>363</v>
      </c>
      <c r="D105" s="27" t="s">
        <v>364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3085</f>
        <v>3085.0</v>
      </c>
      <c r="L105" s="34" t="s">
        <v>48</v>
      </c>
      <c r="M105" s="33" t="n">
        <f>3150</f>
        <v>3150.0</v>
      </c>
      <c r="N105" s="34" t="s">
        <v>365</v>
      </c>
      <c r="O105" s="33" t="n">
        <f>2941</f>
        <v>2941.0</v>
      </c>
      <c r="P105" s="34" t="s">
        <v>69</v>
      </c>
      <c r="Q105" s="33" t="n">
        <f>3010</f>
        <v>3010.0</v>
      </c>
      <c r="R105" s="34" t="s">
        <v>50</v>
      </c>
      <c r="S105" s="35" t="n">
        <f>3087.75</f>
        <v>3087.75</v>
      </c>
      <c r="T105" s="32" t="n">
        <f>6056</f>
        <v>6056.0</v>
      </c>
      <c r="U105" s="32" t="str">
        <f>"－"</f>
        <v>－</v>
      </c>
      <c r="V105" s="32" t="n">
        <f>18683059</f>
        <v>1.8683059E7</v>
      </c>
      <c r="W105" s="32" t="str">
        <f>"－"</f>
        <v>－</v>
      </c>
      <c r="X105" s="36" t="n">
        <f>20</f>
        <v>20.0</v>
      </c>
    </row>
    <row r="106">
      <c r="A106" s="27" t="s">
        <v>42</v>
      </c>
      <c r="B106" s="27" t="s">
        <v>366</v>
      </c>
      <c r="C106" s="27" t="s">
        <v>367</v>
      </c>
      <c r="D106" s="27" t="s">
        <v>368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4150</f>
        <v>4150.0</v>
      </c>
      <c r="L106" s="34" t="s">
        <v>48</v>
      </c>
      <c r="M106" s="33" t="n">
        <f>4250</f>
        <v>4250.0</v>
      </c>
      <c r="N106" s="34" t="s">
        <v>242</v>
      </c>
      <c r="O106" s="33" t="n">
        <f>3960</f>
        <v>3960.0</v>
      </c>
      <c r="P106" s="34" t="s">
        <v>69</v>
      </c>
      <c r="Q106" s="33" t="n">
        <f>3995</f>
        <v>3995.0</v>
      </c>
      <c r="R106" s="34" t="s">
        <v>50</v>
      </c>
      <c r="S106" s="35" t="n">
        <f>4092</f>
        <v>4092.0</v>
      </c>
      <c r="T106" s="32" t="n">
        <f>5298</f>
        <v>5298.0</v>
      </c>
      <c r="U106" s="32" t="n">
        <f>12</f>
        <v>12.0</v>
      </c>
      <c r="V106" s="32" t="n">
        <f>21763150</f>
        <v>2.176315E7</v>
      </c>
      <c r="W106" s="32" t="n">
        <f>49435</f>
        <v>49435.0</v>
      </c>
      <c r="X106" s="36" t="n">
        <f>20</f>
        <v>20.0</v>
      </c>
    </row>
    <row r="107">
      <c r="A107" s="27" t="s">
        <v>42</v>
      </c>
      <c r="B107" s="27" t="s">
        <v>369</v>
      </c>
      <c r="C107" s="27" t="s">
        <v>370</v>
      </c>
      <c r="D107" s="27" t="s">
        <v>371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4400</f>
        <v>4400.0</v>
      </c>
      <c r="L107" s="34" t="s">
        <v>48</v>
      </c>
      <c r="M107" s="33" t="n">
        <f>4745</f>
        <v>4745.0</v>
      </c>
      <c r="N107" s="34" t="s">
        <v>229</v>
      </c>
      <c r="O107" s="33" t="n">
        <f>4035</f>
        <v>4035.0</v>
      </c>
      <c r="P107" s="34" t="s">
        <v>50</v>
      </c>
      <c r="Q107" s="33" t="n">
        <f>4035</f>
        <v>4035.0</v>
      </c>
      <c r="R107" s="34" t="s">
        <v>50</v>
      </c>
      <c r="S107" s="35" t="n">
        <f>4396.75</f>
        <v>4396.75</v>
      </c>
      <c r="T107" s="32" t="n">
        <f>370880</f>
        <v>370880.0</v>
      </c>
      <c r="U107" s="32" t="str">
        <f>"－"</f>
        <v>－</v>
      </c>
      <c r="V107" s="32" t="n">
        <f>1643737965</f>
        <v>1.643737965E9</v>
      </c>
      <c r="W107" s="32" t="str">
        <f>"－"</f>
        <v>－</v>
      </c>
      <c r="X107" s="36" t="n">
        <f>20</f>
        <v>20.0</v>
      </c>
    </row>
    <row r="108">
      <c r="A108" s="27" t="s">
        <v>42</v>
      </c>
      <c r="B108" s="27" t="s">
        <v>372</v>
      </c>
      <c r="C108" s="27" t="s">
        <v>373</v>
      </c>
      <c r="D108" s="27" t="s">
        <v>374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43900</f>
        <v>43900.0</v>
      </c>
      <c r="L108" s="34" t="s">
        <v>48</v>
      </c>
      <c r="M108" s="33" t="n">
        <f>44050</f>
        <v>44050.0</v>
      </c>
      <c r="N108" s="34" t="s">
        <v>73</v>
      </c>
      <c r="O108" s="33" t="n">
        <f>42150</f>
        <v>42150.0</v>
      </c>
      <c r="P108" s="34" t="s">
        <v>69</v>
      </c>
      <c r="Q108" s="33" t="n">
        <f>42390</f>
        <v>42390.0</v>
      </c>
      <c r="R108" s="34" t="s">
        <v>50</v>
      </c>
      <c r="S108" s="35" t="n">
        <f>43334.5</f>
        <v>43334.5</v>
      </c>
      <c r="T108" s="32" t="n">
        <f>30329</f>
        <v>30329.0</v>
      </c>
      <c r="U108" s="32" t="n">
        <f>569</f>
        <v>569.0</v>
      </c>
      <c r="V108" s="32" t="n">
        <f>1314311898</f>
        <v>1.314311898E9</v>
      </c>
      <c r="W108" s="32" t="n">
        <f>24959298</f>
        <v>2.4959298E7</v>
      </c>
      <c r="X108" s="36" t="n">
        <f>20</f>
        <v>20.0</v>
      </c>
    </row>
    <row r="109">
      <c r="A109" s="27" t="s">
        <v>42</v>
      </c>
      <c r="B109" s="27" t="s">
        <v>375</v>
      </c>
      <c r="C109" s="27" t="s">
        <v>376</v>
      </c>
      <c r="D109" s="27" t="s">
        <v>377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26250</f>
        <v>26250.0</v>
      </c>
      <c r="L109" s="34" t="s">
        <v>48</v>
      </c>
      <c r="M109" s="33" t="n">
        <f>27030</f>
        <v>27030.0</v>
      </c>
      <c r="N109" s="34" t="s">
        <v>49</v>
      </c>
      <c r="O109" s="33" t="n">
        <f>23440</f>
        <v>23440.0</v>
      </c>
      <c r="P109" s="34" t="s">
        <v>50</v>
      </c>
      <c r="Q109" s="33" t="n">
        <f>23485</f>
        <v>23485.0</v>
      </c>
      <c r="R109" s="34" t="s">
        <v>50</v>
      </c>
      <c r="S109" s="35" t="n">
        <f>25981.5</f>
        <v>25981.5</v>
      </c>
      <c r="T109" s="32" t="n">
        <f>2397680</f>
        <v>2397680.0</v>
      </c>
      <c r="U109" s="32" t="n">
        <f>19110</f>
        <v>19110.0</v>
      </c>
      <c r="V109" s="32" t="n">
        <f>61842906700</f>
        <v>6.18429067E10</v>
      </c>
      <c r="W109" s="32" t="n">
        <f>500993200</f>
        <v>5.009932E8</v>
      </c>
      <c r="X109" s="36" t="n">
        <f>20</f>
        <v>20.0</v>
      </c>
    </row>
    <row r="110">
      <c r="A110" s="27" t="s">
        <v>42</v>
      </c>
      <c r="B110" s="27" t="s">
        <v>378</v>
      </c>
      <c r="C110" s="27" t="s">
        <v>379</v>
      </c>
      <c r="D110" s="27" t="s">
        <v>380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2088</f>
        <v>2088.0</v>
      </c>
      <c r="L110" s="34" t="s">
        <v>48</v>
      </c>
      <c r="M110" s="33" t="n">
        <f>2203</f>
        <v>2203.0</v>
      </c>
      <c r="N110" s="34" t="s">
        <v>50</v>
      </c>
      <c r="O110" s="33" t="n">
        <f>2059</f>
        <v>2059.0</v>
      </c>
      <c r="P110" s="34" t="s">
        <v>49</v>
      </c>
      <c r="Q110" s="33" t="n">
        <f>2203</f>
        <v>2203.0</v>
      </c>
      <c r="R110" s="34" t="s">
        <v>50</v>
      </c>
      <c r="S110" s="35" t="n">
        <f>2099.45</f>
        <v>2099.45</v>
      </c>
      <c r="T110" s="32" t="n">
        <f>273410</f>
        <v>273410.0</v>
      </c>
      <c r="U110" s="32" t="n">
        <f>71990</f>
        <v>71990.0</v>
      </c>
      <c r="V110" s="32" t="n">
        <f>575415647</f>
        <v>5.75415647E8</v>
      </c>
      <c r="W110" s="32" t="n">
        <f>151246967</f>
        <v>1.51246967E8</v>
      </c>
      <c r="X110" s="36" t="n">
        <f>20</f>
        <v>20.0</v>
      </c>
    </row>
    <row r="111">
      <c r="A111" s="27" t="s">
        <v>42</v>
      </c>
      <c r="B111" s="27" t="s">
        <v>381</v>
      </c>
      <c r="C111" s="27" t="s">
        <v>382</v>
      </c>
      <c r="D111" s="27" t="s">
        <v>383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16470</f>
        <v>16470.0</v>
      </c>
      <c r="L111" s="34" t="s">
        <v>48</v>
      </c>
      <c r="M111" s="33" t="n">
        <f>17030</f>
        <v>17030.0</v>
      </c>
      <c r="N111" s="34" t="s">
        <v>49</v>
      </c>
      <c r="O111" s="33" t="n">
        <f>14640</f>
        <v>14640.0</v>
      </c>
      <c r="P111" s="34" t="s">
        <v>50</v>
      </c>
      <c r="Q111" s="33" t="n">
        <f>14655</f>
        <v>14655.0</v>
      </c>
      <c r="R111" s="34" t="s">
        <v>50</v>
      </c>
      <c r="S111" s="35" t="n">
        <f>16360.75</f>
        <v>16360.75</v>
      </c>
      <c r="T111" s="32" t="n">
        <f>156578783</f>
        <v>1.56578783E8</v>
      </c>
      <c r="U111" s="32" t="n">
        <f>199356</f>
        <v>199356.0</v>
      </c>
      <c r="V111" s="32" t="n">
        <f>2553460419094</f>
        <v>2.553460419094E12</v>
      </c>
      <c r="W111" s="32" t="n">
        <f>3206607509</f>
        <v>3.206607509E9</v>
      </c>
      <c r="X111" s="36" t="n">
        <f>20</f>
        <v>20.0</v>
      </c>
    </row>
    <row r="112">
      <c r="A112" s="27" t="s">
        <v>42</v>
      </c>
      <c r="B112" s="27" t="s">
        <v>384</v>
      </c>
      <c r="C112" s="27" t="s">
        <v>385</v>
      </c>
      <c r="D112" s="27" t="s">
        <v>386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970</f>
        <v>970.0</v>
      </c>
      <c r="L112" s="34" t="s">
        <v>48</v>
      </c>
      <c r="M112" s="33" t="n">
        <f>1024</f>
        <v>1024.0</v>
      </c>
      <c r="N112" s="34" t="s">
        <v>50</v>
      </c>
      <c r="O112" s="33" t="n">
        <f>952</f>
        <v>952.0</v>
      </c>
      <c r="P112" s="34" t="s">
        <v>49</v>
      </c>
      <c r="Q112" s="33" t="n">
        <f>1024</f>
        <v>1024.0</v>
      </c>
      <c r="R112" s="34" t="s">
        <v>50</v>
      </c>
      <c r="S112" s="35" t="n">
        <f>971.5</f>
        <v>971.5</v>
      </c>
      <c r="T112" s="32" t="n">
        <f>14768107</f>
        <v>1.4768107E7</v>
      </c>
      <c r="U112" s="32" t="n">
        <f>3518338</f>
        <v>3518338.0</v>
      </c>
      <c r="V112" s="32" t="n">
        <f>14419620280</f>
        <v>1.441962028E10</v>
      </c>
      <c r="W112" s="32" t="n">
        <f>3464715787</f>
        <v>3.464715787E9</v>
      </c>
      <c r="X112" s="36" t="n">
        <f>20</f>
        <v>20.0</v>
      </c>
    </row>
    <row r="113">
      <c r="A113" s="27" t="s">
        <v>42</v>
      </c>
      <c r="B113" s="27" t="s">
        <v>387</v>
      </c>
      <c r="C113" s="27" t="s">
        <v>388</v>
      </c>
      <c r="D113" s="27" t="s">
        <v>389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8260</f>
        <v>8260.0</v>
      </c>
      <c r="L113" s="34" t="s">
        <v>48</v>
      </c>
      <c r="M113" s="33" t="n">
        <f>8770</f>
        <v>8770.0</v>
      </c>
      <c r="N113" s="34" t="s">
        <v>133</v>
      </c>
      <c r="O113" s="33" t="n">
        <f>7020</f>
        <v>7020.0</v>
      </c>
      <c r="P113" s="34" t="s">
        <v>50</v>
      </c>
      <c r="Q113" s="33" t="n">
        <f>7257</f>
        <v>7257.0</v>
      </c>
      <c r="R113" s="34" t="s">
        <v>50</v>
      </c>
      <c r="S113" s="35" t="n">
        <f>8070.35</f>
        <v>8070.35</v>
      </c>
      <c r="T113" s="32" t="n">
        <f>38290</f>
        <v>38290.0</v>
      </c>
      <c r="U113" s="32" t="n">
        <f>60</f>
        <v>60.0</v>
      </c>
      <c r="V113" s="32" t="n">
        <f>303449440</f>
        <v>3.0344944E8</v>
      </c>
      <c r="W113" s="32" t="n">
        <f>485600</f>
        <v>485600.0</v>
      </c>
      <c r="X113" s="36" t="n">
        <f>20</f>
        <v>20.0</v>
      </c>
    </row>
    <row r="114">
      <c r="A114" s="27" t="s">
        <v>42</v>
      </c>
      <c r="B114" s="27" t="s">
        <v>390</v>
      </c>
      <c r="C114" s="27" t="s">
        <v>391</v>
      </c>
      <c r="D114" s="27" t="s">
        <v>392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7880</f>
        <v>7880.0</v>
      </c>
      <c r="L114" s="34" t="s">
        <v>48</v>
      </c>
      <c r="M114" s="33" t="n">
        <f>8400</f>
        <v>8400.0</v>
      </c>
      <c r="N114" s="34" t="s">
        <v>50</v>
      </c>
      <c r="O114" s="33" t="n">
        <f>7710</f>
        <v>7710.0</v>
      </c>
      <c r="P114" s="34" t="s">
        <v>97</v>
      </c>
      <c r="Q114" s="33" t="n">
        <f>8389</f>
        <v>8389.0</v>
      </c>
      <c r="R114" s="34" t="s">
        <v>50</v>
      </c>
      <c r="S114" s="35" t="n">
        <f>7985.95</f>
        <v>7985.95</v>
      </c>
      <c r="T114" s="32" t="n">
        <f>19650</f>
        <v>19650.0</v>
      </c>
      <c r="U114" s="32" t="n">
        <f>170</f>
        <v>170.0</v>
      </c>
      <c r="V114" s="32" t="n">
        <f>157568050</f>
        <v>1.5756805E8</v>
      </c>
      <c r="W114" s="32" t="n">
        <f>1339000</f>
        <v>1339000.0</v>
      </c>
      <c r="X114" s="36" t="n">
        <f>20</f>
        <v>20.0</v>
      </c>
    </row>
    <row r="115">
      <c r="A115" s="27" t="s">
        <v>42</v>
      </c>
      <c r="B115" s="27" t="s">
        <v>393</v>
      </c>
      <c r="C115" s="27" t="s">
        <v>394</v>
      </c>
      <c r="D115" s="27" t="s">
        <v>395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10.0</v>
      </c>
      <c r="K115" s="33" t="n">
        <f>792</f>
        <v>792.0</v>
      </c>
      <c r="L115" s="34" t="s">
        <v>48</v>
      </c>
      <c r="M115" s="33" t="n">
        <f>818</f>
        <v>818.0</v>
      </c>
      <c r="N115" s="34" t="s">
        <v>365</v>
      </c>
      <c r="O115" s="33" t="n">
        <f>751</f>
        <v>751.0</v>
      </c>
      <c r="P115" s="34" t="s">
        <v>242</v>
      </c>
      <c r="Q115" s="33" t="n">
        <f>785</f>
        <v>785.0</v>
      </c>
      <c r="R115" s="34" t="s">
        <v>50</v>
      </c>
      <c r="S115" s="35" t="n">
        <f>778.58</f>
        <v>778.58</v>
      </c>
      <c r="T115" s="32" t="n">
        <f>10880</f>
        <v>10880.0</v>
      </c>
      <c r="U115" s="32" t="n">
        <f>40</f>
        <v>40.0</v>
      </c>
      <c r="V115" s="32" t="n">
        <f>8494880</f>
        <v>8494880.0</v>
      </c>
      <c r="W115" s="32" t="n">
        <f>31020</f>
        <v>31020.0</v>
      </c>
      <c r="X115" s="36" t="n">
        <f>19</f>
        <v>19.0</v>
      </c>
    </row>
    <row r="116">
      <c r="A116" s="27" t="s">
        <v>42</v>
      </c>
      <c r="B116" s="27" t="s">
        <v>396</v>
      </c>
      <c r="C116" s="27" t="s">
        <v>397</v>
      </c>
      <c r="D116" s="27" t="s">
        <v>398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23380</f>
        <v>23380.0</v>
      </c>
      <c r="L116" s="34" t="s">
        <v>48</v>
      </c>
      <c r="M116" s="33" t="n">
        <f>23590</f>
        <v>23590.0</v>
      </c>
      <c r="N116" s="34" t="s">
        <v>80</v>
      </c>
      <c r="O116" s="33" t="n">
        <f>21735</f>
        <v>21735.0</v>
      </c>
      <c r="P116" s="34" t="s">
        <v>50</v>
      </c>
      <c r="Q116" s="33" t="n">
        <f>21770</f>
        <v>21770.0</v>
      </c>
      <c r="R116" s="34" t="s">
        <v>50</v>
      </c>
      <c r="S116" s="35" t="n">
        <f>22837.75</f>
        <v>22837.75</v>
      </c>
      <c r="T116" s="32" t="n">
        <f>44483</f>
        <v>44483.0</v>
      </c>
      <c r="U116" s="32" t="n">
        <f>13</f>
        <v>13.0</v>
      </c>
      <c r="V116" s="32" t="n">
        <f>1007128760</f>
        <v>1.00712876E9</v>
      </c>
      <c r="W116" s="32" t="n">
        <f>297310</f>
        <v>297310.0</v>
      </c>
      <c r="X116" s="36" t="n">
        <f>20</f>
        <v>20.0</v>
      </c>
    </row>
    <row r="117">
      <c r="A117" s="27" t="s">
        <v>42</v>
      </c>
      <c r="B117" s="27" t="s">
        <v>399</v>
      </c>
      <c r="C117" s="27" t="s">
        <v>400</v>
      </c>
      <c r="D117" s="27" t="s">
        <v>401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2359</f>
        <v>2359.0</v>
      </c>
      <c r="L117" s="34" t="s">
        <v>48</v>
      </c>
      <c r="M117" s="33" t="n">
        <f>2400</f>
        <v>2400.0</v>
      </c>
      <c r="N117" s="34" t="s">
        <v>49</v>
      </c>
      <c r="O117" s="33" t="n">
        <f>2230</f>
        <v>2230.0</v>
      </c>
      <c r="P117" s="34" t="s">
        <v>50</v>
      </c>
      <c r="Q117" s="33" t="n">
        <f>2230</f>
        <v>2230.0</v>
      </c>
      <c r="R117" s="34" t="s">
        <v>50</v>
      </c>
      <c r="S117" s="35" t="n">
        <f>2356.15</f>
        <v>2356.15</v>
      </c>
      <c r="T117" s="32" t="n">
        <f>21420</f>
        <v>21420.0</v>
      </c>
      <c r="U117" s="32" t="str">
        <f>"－"</f>
        <v>－</v>
      </c>
      <c r="V117" s="32" t="n">
        <f>50369259</f>
        <v>5.0369259E7</v>
      </c>
      <c r="W117" s="32" t="str">
        <f>"－"</f>
        <v>－</v>
      </c>
      <c r="X117" s="36" t="n">
        <f>20</f>
        <v>20.0</v>
      </c>
    </row>
    <row r="118">
      <c r="A118" s="27" t="s">
        <v>42</v>
      </c>
      <c r="B118" s="27" t="s">
        <v>402</v>
      </c>
      <c r="C118" s="27" t="s">
        <v>403</v>
      </c>
      <c r="D118" s="27" t="s">
        <v>404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17600</f>
        <v>17600.0</v>
      </c>
      <c r="L118" s="34" t="s">
        <v>48</v>
      </c>
      <c r="M118" s="33" t="n">
        <f>18200</f>
        <v>18200.0</v>
      </c>
      <c r="N118" s="34" t="s">
        <v>49</v>
      </c>
      <c r="O118" s="33" t="n">
        <f>15645</f>
        <v>15645.0</v>
      </c>
      <c r="P118" s="34" t="s">
        <v>50</v>
      </c>
      <c r="Q118" s="33" t="n">
        <f>15670</f>
        <v>15670.0</v>
      </c>
      <c r="R118" s="34" t="s">
        <v>50</v>
      </c>
      <c r="S118" s="35" t="n">
        <f>17489.75</f>
        <v>17489.75</v>
      </c>
      <c r="T118" s="32" t="n">
        <f>22716180</f>
        <v>2.271618E7</v>
      </c>
      <c r="U118" s="32" t="n">
        <f>180</f>
        <v>180.0</v>
      </c>
      <c r="V118" s="32" t="n">
        <f>397312743950</f>
        <v>3.9731274395E11</v>
      </c>
      <c r="W118" s="32" t="n">
        <f>3128450</f>
        <v>3128450.0</v>
      </c>
      <c r="X118" s="36" t="n">
        <f>20</f>
        <v>20.0</v>
      </c>
    </row>
    <row r="119">
      <c r="A119" s="27" t="s">
        <v>42</v>
      </c>
      <c r="B119" s="27" t="s">
        <v>405</v>
      </c>
      <c r="C119" s="27" t="s">
        <v>406</v>
      </c>
      <c r="D119" s="27" t="s">
        <v>407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2581</f>
        <v>2581.0</v>
      </c>
      <c r="L119" s="34" t="s">
        <v>48</v>
      </c>
      <c r="M119" s="33" t="n">
        <f>2725.5</f>
        <v>2725.5</v>
      </c>
      <c r="N119" s="34" t="s">
        <v>50</v>
      </c>
      <c r="O119" s="33" t="n">
        <f>2536</f>
        <v>2536.0</v>
      </c>
      <c r="P119" s="34" t="s">
        <v>49</v>
      </c>
      <c r="Q119" s="33" t="n">
        <f>2724.5</f>
        <v>2724.5</v>
      </c>
      <c r="R119" s="34" t="s">
        <v>50</v>
      </c>
      <c r="S119" s="35" t="n">
        <f>2586.88</f>
        <v>2586.88</v>
      </c>
      <c r="T119" s="32" t="n">
        <f>1244410</f>
        <v>1244410.0</v>
      </c>
      <c r="U119" s="32" t="str">
        <f>"－"</f>
        <v>－</v>
      </c>
      <c r="V119" s="32" t="n">
        <f>3239060350</f>
        <v>3.23906035E9</v>
      </c>
      <c r="W119" s="32" t="str">
        <f>"－"</f>
        <v>－</v>
      </c>
      <c r="X119" s="36" t="n">
        <f>20</f>
        <v>20.0</v>
      </c>
    </row>
    <row r="120">
      <c r="A120" s="27" t="s">
        <v>42</v>
      </c>
      <c r="B120" s="27" t="s">
        <v>408</v>
      </c>
      <c r="C120" s="27" t="s">
        <v>409</v>
      </c>
      <c r="D120" s="27" t="s">
        <v>410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955</f>
        <v>955.0</v>
      </c>
      <c r="L120" s="34" t="s">
        <v>48</v>
      </c>
      <c r="M120" s="33" t="n">
        <f>970</f>
        <v>970.0</v>
      </c>
      <c r="N120" s="34" t="s">
        <v>48</v>
      </c>
      <c r="O120" s="33" t="n">
        <f>890</f>
        <v>890.0</v>
      </c>
      <c r="P120" s="34" t="s">
        <v>50</v>
      </c>
      <c r="Q120" s="33" t="n">
        <f>890</f>
        <v>890.0</v>
      </c>
      <c r="R120" s="34" t="s">
        <v>50</v>
      </c>
      <c r="S120" s="35" t="n">
        <f>936.5</f>
        <v>936.5</v>
      </c>
      <c r="T120" s="32" t="n">
        <f>560</f>
        <v>560.0</v>
      </c>
      <c r="U120" s="32" t="n">
        <f>10</f>
        <v>10.0</v>
      </c>
      <c r="V120" s="32" t="n">
        <f>523061</f>
        <v>523061.0</v>
      </c>
      <c r="W120" s="32" t="n">
        <f>9290</f>
        <v>9290.0</v>
      </c>
      <c r="X120" s="36" t="n">
        <f>12</f>
        <v>12.0</v>
      </c>
    </row>
    <row r="121">
      <c r="A121" s="27" t="s">
        <v>42</v>
      </c>
      <c r="B121" s="27" t="s">
        <v>411</v>
      </c>
      <c r="C121" s="27" t="s">
        <v>412</v>
      </c>
      <c r="D121" s="27" t="s">
        <v>413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1616</f>
        <v>1616.0</v>
      </c>
      <c r="L121" s="34" t="s">
        <v>48</v>
      </c>
      <c r="M121" s="33" t="n">
        <f>1626</f>
        <v>1626.0</v>
      </c>
      <c r="N121" s="34" t="s">
        <v>365</v>
      </c>
      <c r="O121" s="33" t="n">
        <f>1550</f>
        <v>1550.0</v>
      </c>
      <c r="P121" s="34" t="s">
        <v>69</v>
      </c>
      <c r="Q121" s="33" t="n">
        <f>1550</f>
        <v>1550.0</v>
      </c>
      <c r="R121" s="34" t="s">
        <v>69</v>
      </c>
      <c r="S121" s="35" t="n">
        <f>1600</f>
        <v>1600.0</v>
      </c>
      <c r="T121" s="32" t="n">
        <f>7440</f>
        <v>7440.0</v>
      </c>
      <c r="U121" s="32" t="n">
        <f>30</f>
        <v>30.0</v>
      </c>
      <c r="V121" s="32" t="n">
        <f>11938740</f>
        <v>1.193874E7</v>
      </c>
      <c r="W121" s="32" t="n">
        <f>47820</f>
        <v>47820.0</v>
      </c>
      <c r="X121" s="36" t="n">
        <f>7</f>
        <v>7.0</v>
      </c>
    </row>
    <row r="122">
      <c r="A122" s="27" t="s">
        <v>42</v>
      </c>
      <c r="B122" s="27" t="s">
        <v>414</v>
      </c>
      <c r="C122" s="27" t="s">
        <v>415</v>
      </c>
      <c r="D122" s="27" t="s">
        <v>416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1830</f>
        <v>1830.0</v>
      </c>
      <c r="L122" s="34" t="s">
        <v>48</v>
      </c>
      <c r="M122" s="33" t="n">
        <f>1873</f>
        <v>1873.0</v>
      </c>
      <c r="N122" s="34" t="s">
        <v>80</v>
      </c>
      <c r="O122" s="33" t="n">
        <f>1705</f>
        <v>1705.0</v>
      </c>
      <c r="P122" s="34" t="s">
        <v>69</v>
      </c>
      <c r="Q122" s="33" t="n">
        <f>1748</f>
        <v>1748.0</v>
      </c>
      <c r="R122" s="34" t="s">
        <v>50</v>
      </c>
      <c r="S122" s="35" t="n">
        <f>1822.84</f>
        <v>1822.84</v>
      </c>
      <c r="T122" s="32" t="n">
        <f>386515</f>
        <v>386515.0</v>
      </c>
      <c r="U122" s="32" t="n">
        <f>385002</f>
        <v>385002.0</v>
      </c>
      <c r="V122" s="32" t="n">
        <f>701657325</f>
        <v>7.01657325E8</v>
      </c>
      <c r="W122" s="32" t="n">
        <f>698881738</f>
        <v>6.98881738E8</v>
      </c>
      <c r="X122" s="36" t="n">
        <f>19</f>
        <v>19.0</v>
      </c>
    </row>
    <row r="123">
      <c r="A123" s="27" t="s">
        <v>42</v>
      </c>
      <c r="B123" s="27" t="s">
        <v>417</v>
      </c>
      <c r="C123" s="27" t="s">
        <v>418</v>
      </c>
      <c r="D123" s="27" t="s">
        <v>419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18360</f>
        <v>18360.0</v>
      </c>
      <c r="L123" s="34" t="s">
        <v>48</v>
      </c>
      <c r="M123" s="33" t="n">
        <f>18630</f>
        <v>18630.0</v>
      </c>
      <c r="N123" s="34" t="s">
        <v>49</v>
      </c>
      <c r="O123" s="33" t="n">
        <f>17270</f>
        <v>17270.0</v>
      </c>
      <c r="P123" s="34" t="s">
        <v>50</v>
      </c>
      <c r="Q123" s="33" t="n">
        <f>17270</f>
        <v>17270.0</v>
      </c>
      <c r="R123" s="34" t="s">
        <v>50</v>
      </c>
      <c r="S123" s="35" t="n">
        <f>18283.75</f>
        <v>18283.75</v>
      </c>
      <c r="T123" s="32" t="n">
        <f>49160</f>
        <v>49160.0</v>
      </c>
      <c r="U123" s="32" t="n">
        <f>7</f>
        <v>7.0</v>
      </c>
      <c r="V123" s="32" t="n">
        <f>895232320</f>
        <v>8.9523232E8</v>
      </c>
      <c r="W123" s="32" t="n">
        <f>125305</f>
        <v>125305.0</v>
      </c>
      <c r="X123" s="36" t="n">
        <f>20</f>
        <v>20.0</v>
      </c>
    </row>
    <row r="124">
      <c r="A124" s="27" t="s">
        <v>42</v>
      </c>
      <c r="B124" s="27" t="s">
        <v>420</v>
      </c>
      <c r="C124" s="27" t="s">
        <v>421</v>
      </c>
      <c r="D124" s="27" t="s">
        <v>422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1698</f>
        <v>1698.0</v>
      </c>
      <c r="L124" s="34" t="s">
        <v>48</v>
      </c>
      <c r="M124" s="33" t="n">
        <f>1720</f>
        <v>1720.0</v>
      </c>
      <c r="N124" s="34" t="s">
        <v>133</v>
      </c>
      <c r="O124" s="33" t="n">
        <f>1610</f>
        <v>1610.0</v>
      </c>
      <c r="P124" s="34" t="s">
        <v>50</v>
      </c>
      <c r="Q124" s="33" t="n">
        <f>1620</f>
        <v>1620.0</v>
      </c>
      <c r="R124" s="34" t="s">
        <v>50</v>
      </c>
      <c r="S124" s="35" t="n">
        <f>1686.7</f>
        <v>1686.7</v>
      </c>
      <c r="T124" s="32" t="n">
        <f>130979</f>
        <v>130979.0</v>
      </c>
      <c r="U124" s="32" t="n">
        <f>6</f>
        <v>6.0</v>
      </c>
      <c r="V124" s="32" t="n">
        <f>218738454</f>
        <v>2.18738454E8</v>
      </c>
      <c r="W124" s="32" t="n">
        <f>10163</f>
        <v>10163.0</v>
      </c>
      <c r="X124" s="36" t="n">
        <f>20</f>
        <v>20.0</v>
      </c>
    </row>
    <row r="125">
      <c r="A125" s="27" t="s">
        <v>42</v>
      </c>
      <c r="B125" s="27" t="s">
        <v>423</v>
      </c>
      <c r="C125" s="27" t="s">
        <v>424</v>
      </c>
      <c r="D125" s="27" t="s">
        <v>425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18890</f>
        <v>18890.0</v>
      </c>
      <c r="L125" s="34" t="s">
        <v>48</v>
      </c>
      <c r="M125" s="33" t="n">
        <f>19160</f>
        <v>19160.0</v>
      </c>
      <c r="N125" s="34" t="s">
        <v>49</v>
      </c>
      <c r="O125" s="33" t="n">
        <f>18050</f>
        <v>18050.0</v>
      </c>
      <c r="P125" s="34" t="s">
        <v>50</v>
      </c>
      <c r="Q125" s="33" t="n">
        <f>18205</f>
        <v>18205.0</v>
      </c>
      <c r="R125" s="34" t="s">
        <v>50</v>
      </c>
      <c r="S125" s="35" t="n">
        <f>18873.5</f>
        <v>18873.5</v>
      </c>
      <c r="T125" s="32" t="n">
        <f>56872</f>
        <v>56872.0</v>
      </c>
      <c r="U125" s="32" t="n">
        <f>10753</f>
        <v>10753.0</v>
      </c>
      <c r="V125" s="32" t="n">
        <f>1070820625</f>
        <v>1.070820625E9</v>
      </c>
      <c r="W125" s="32" t="n">
        <f>201815200</f>
        <v>2.018152E8</v>
      </c>
      <c r="X125" s="36" t="n">
        <f>20</f>
        <v>20.0</v>
      </c>
    </row>
    <row r="126">
      <c r="A126" s="27" t="s">
        <v>42</v>
      </c>
      <c r="B126" s="27" t="s">
        <v>426</v>
      </c>
      <c r="C126" s="27" t="s">
        <v>427</v>
      </c>
      <c r="D126" s="27" t="s">
        <v>428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2130</f>
        <v>2130.0</v>
      </c>
      <c r="L126" s="34" t="s">
        <v>48</v>
      </c>
      <c r="M126" s="33" t="n">
        <f>2159</f>
        <v>2159.0</v>
      </c>
      <c r="N126" s="34" t="s">
        <v>69</v>
      </c>
      <c r="O126" s="33" t="n">
        <f>2044</f>
        <v>2044.0</v>
      </c>
      <c r="P126" s="34" t="s">
        <v>69</v>
      </c>
      <c r="Q126" s="33" t="n">
        <f>2051</f>
        <v>2051.0</v>
      </c>
      <c r="R126" s="34" t="s">
        <v>50</v>
      </c>
      <c r="S126" s="35" t="n">
        <f>2096.83</f>
        <v>2096.83</v>
      </c>
      <c r="T126" s="32" t="n">
        <f>982050</f>
        <v>982050.0</v>
      </c>
      <c r="U126" s="32" t="n">
        <f>461100</f>
        <v>461100.0</v>
      </c>
      <c r="V126" s="32" t="n">
        <f>2038376858</f>
        <v>2.038376858E9</v>
      </c>
      <c r="W126" s="32" t="n">
        <f>954077193</f>
        <v>9.54077193E8</v>
      </c>
      <c r="X126" s="36" t="n">
        <f>20</f>
        <v>20.0</v>
      </c>
    </row>
    <row r="127">
      <c r="A127" s="27" t="s">
        <v>42</v>
      </c>
      <c r="B127" s="27" t="s">
        <v>429</v>
      </c>
      <c r="C127" s="27" t="s">
        <v>430</v>
      </c>
      <c r="D127" s="27" t="s">
        <v>431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1789</f>
        <v>1789.0</v>
      </c>
      <c r="L127" s="34" t="s">
        <v>48</v>
      </c>
      <c r="M127" s="33" t="n">
        <f>1798</f>
        <v>1798.0</v>
      </c>
      <c r="N127" s="34" t="s">
        <v>80</v>
      </c>
      <c r="O127" s="33" t="n">
        <f>1717</f>
        <v>1717.0</v>
      </c>
      <c r="P127" s="34" t="s">
        <v>50</v>
      </c>
      <c r="Q127" s="33" t="n">
        <f>1717</f>
        <v>1717.0</v>
      </c>
      <c r="R127" s="34" t="s">
        <v>50</v>
      </c>
      <c r="S127" s="35" t="n">
        <f>1765</f>
        <v>1765.0</v>
      </c>
      <c r="T127" s="32" t="n">
        <f>90</f>
        <v>90.0</v>
      </c>
      <c r="U127" s="32" t="n">
        <f>20</f>
        <v>20.0</v>
      </c>
      <c r="V127" s="32" t="n">
        <f>159180</f>
        <v>159180.0</v>
      </c>
      <c r="W127" s="32" t="n">
        <f>35960</f>
        <v>35960.0</v>
      </c>
      <c r="X127" s="36" t="n">
        <f>4</f>
        <v>4.0</v>
      </c>
    </row>
    <row r="128">
      <c r="A128" s="27" t="s">
        <v>42</v>
      </c>
      <c r="B128" s="27" t="s">
        <v>432</v>
      </c>
      <c r="C128" s="27" t="s">
        <v>433</v>
      </c>
      <c r="D128" s="27" t="s">
        <v>434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10.0</v>
      </c>
      <c r="K128" s="33" t="n">
        <f>2150</f>
        <v>2150.0</v>
      </c>
      <c r="L128" s="34" t="s">
        <v>48</v>
      </c>
      <c r="M128" s="33" t="n">
        <f>2150</f>
        <v>2150.0</v>
      </c>
      <c r="N128" s="34" t="s">
        <v>48</v>
      </c>
      <c r="O128" s="33" t="n">
        <f>2063</f>
        <v>2063.0</v>
      </c>
      <c r="P128" s="34" t="s">
        <v>69</v>
      </c>
      <c r="Q128" s="33" t="n">
        <f>2064</f>
        <v>2064.0</v>
      </c>
      <c r="R128" s="34" t="s">
        <v>50</v>
      </c>
      <c r="S128" s="35" t="n">
        <f>2115.75</f>
        <v>2115.75</v>
      </c>
      <c r="T128" s="32" t="n">
        <f>818330</f>
        <v>818330.0</v>
      </c>
      <c r="U128" s="32" t="n">
        <f>71890</f>
        <v>71890.0</v>
      </c>
      <c r="V128" s="32" t="n">
        <f>1736475804</f>
        <v>1.736475804E9</v>
      </c>
      <c r="W128" s="32" t="n">
        <f>151631774</f>
        <v>1.51631774E8</v>
      </c>
      <c r="X128" s="36" t="n">
        <f>20</f>
        <v>20.0</v>
      </c>
    </row>
    <row r="129">
      <c r="A129" s="27" t="s">
        <v>42</v>
      </c>
      <c r="B129" s="27" t="s">
        <v>435</v>
      </c>
      <c r="C129" s="27" t="s">
        <v>436</v>
      </c>
      <c r="D129" s="27" t="s">
        <v>437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18750</f>
        <v>18750.0</v>
      </c>
      <c r="L129" s="34" t="s">
        <v>48</v>
      </c>
      <c r="M129" s="33" t="n">
        <f>19010</f>
        <v>19010.0</v>
      </c>
      <c r="N129" s="34" t="s">
        <v>342</v>
      </c>
      <c r="O129" s="33" t="n">
        <f>17780</f>
        <v>17780.0</v>
      </c>
      <c r="P129" s="34" t="s">
        <v>50</v>
      </c>
      <c r="Q129" s="33" t="n">
        <f>17780</f>
        <v>17780.0</v>
      </c>
      <c r="R129" s="34" t="s">
        <v>50</v>
      </c>
      <c r="S129" s="35" t="n">
        <f>18660.53</f>
        <v>18660.53</v>
      </c>
      <c r="T129" s="32" t="n">
        <f>3796</f>
        <v>3796.0</v>
      </c>
      <c r="U129" s="32" t="n">
        <f>1</f>
        <v>1.0</v>
      </c>
      <c r="V129" s="32" t="n">
        <f>70169820</f>
        <v>7.016982E7</v>
      </c>
      <c r="W129" s="32" t="n">
        <f>18790</f>
        <v>18790.0</v>
      </c>
      <c r="X129" s="36" t="n">
        <f>19</f>
        <v>19.0</v>
      </c>
    </row>
    <row r="130">
      <c r="A130" s="27" t="s">
        <v>42</v>
      </c>
      <c r="B130" s="27" t="s">
        <v>438</v>
      </c>
      <c r="C130" s="27" t="s">
        <v>439</v>
      </c>
      <c r="D130" s="27" t="s">
        <v>440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100.0</v>
      </c>
      <c r="K130" s="33" t="n">
        <f>151</f>
        <v>151.0</v>
      </c>
      <c r="L130" s="34" t="s">
        <v>48</v>
      </c>
      <c r="M130" s="33" t="n">
        <f>156</f>
        <v>156.0</v>
      </c>
      <c r="N130" s="34" t="s">
        <v>80</v>
      </c>
      <c r="O130" s="33" t="n">
        <f>144.4</f>
        <v>144.4</v>
      </c>
      <c r="P130" s="34" t="s">
        <v>50</v>
      </c>
      <c r="Q130" s="33" t="n">
        <f>144.4</f>
        <v>144.4</v>
      </c>
      <c r="R130" s="34" t="s">
        <v>50</v>
      </c>
      <c r="S130" s="35" t="n">
        <f>151.41</f>
        <v>151.41</v>
      </c>
      <c r="T130" s="32" t="n">
        <f>92865900</f>
        <v>9.28659E7</v>
      </c>
      <c r="U130" s="32" t="n">
        <f>137600</f>
        <v>137600.0</v>
      </c>
      <c r="V130" s="32" t="n">
        <f>14066931627</f>
        <v>1.4066931627E10</v>
      </c>
      <c r="W130" s="32" t="n">
        <f>20768927</f>
        <v>2.0768927E7</v>
      </c>
      <c r="X130" s="36" t="n">
        <f>20</f>
        <v>20.0</v>
      </c>
    </row>
    <row r="131">
      <c r="A131" s="27" t="s">
        <v>42</v>
      </c>
      <c r="B131" s="27" t="s">
        <v>441</v>
      </c>
      <c r="C131" s="27" t="s">
        <v>442</v>
      </c>
      <c r="D131" s="27" t="s">
        <v>443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29290</f>
        <v>29290.0</v>
      </c>
      <c r="L131" s="34" t="s">
        <v>48</v>
      </c>
      <c r="M131" s="33" t="n">
        <f>29720</f>
        <v>29720.0</v>
      </c>
      <c r="N131" s="34" t="s">
        <v>48</v>
      </c>
      <c r="O131" s="33" t="n">
        <f>26780</f>
        <v>26780.0</v>
      </c>
      <c r="P131" s="34" t="s">
        <v>50</v>
      </c>
      <c r="Q131" s="33" t="n">
        <f>26780</f>
        <v>26780.0</v>
      </c>
      <c r="R131" s="34" t="s">
        <v>50</v>
      </c>
      <c r="S131" s="35" t="n">
        <f>28473.16</f>
        <v>28473.16</v>
      </c>
      <c r="T131" s="32" t="n">
        <f>1248</f>
        <v>1248.0</v>
      </c>
      <c r="U131" s="32" t="n">
        <f>4</f>
        <v>4.0</v>
      </c>
      <c r="V131" s="32" t="n">
        <f>35390550</f>
        <v>3.539055E7</v>
      </c>
      <c r="W131" s="32" t="n">
        <f>113340</f>
        <v>113340.0</v>
      </c>
      <c r="X131" s="36" t="n">
        <f>19</f>
        <v>19.0</v>
      </c>
    </row>
    <row r="132">
      <c r="A132" s="27" t="s">
        <v>42</v>
      </c>
      <c r="B132" s="27" t="s">
        <v>444</v>
      </c>
      <c r="C132" s="27" t="s">
        <v>445</v>
      </c>
      <c r="D132" s="27" t="s">
        <v>446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10920</f>
        <v>10920.0</v>
      </c>
      <c r="L132" s="34" t="s">
        <v>48</v>
      </c>
      <c r="M132" s="33" t="n">
        <f>11300</f>
        <v>11300.0</v>
      </c>
      <c r="N132" s="34" t="s">
        <v>73</v>
      </c>
      <c r="O132" s="33" t="n">
        <f>10170</f>
        <v>10170.0</v>
      </c>
      <c r="P132" s="34" t="s">
        <v>69</v>
      </c>
      <c r="Q132" s="33" t="n">
        <f>10315</f>
        <v>10315.0</v>
      </c>
      <c r="R132" s="34" t="s">
        <v>50</v>
      </c>
      <c r="S132" s="35" t="n">
        <f>10725.75</f>
        <v>10725.75</v>
      </c>
      <c r="T132" s="32" t="n">
        <f>5383</f>
        <v>5383.0</v>
      </c>
      <c r="U132" s="32" t="n">
        <f>4</f>
        <v>4.0</v>
      </c>
      <c r="V132" s="32" t="n">
        <f>57730820</f>
        <v>5.773082E7</v>
      </c>
      <c r="W132" s="32" t="n">
        <f>41770</f>
        <v>41770.0</v>
      </c>
      <c r="X132" s="36" t="n">
        <f>20</f>
        <v>20.0</v>
      </c>
    </row>
    <row r="133">
      <c r="A133" s="27" t="s">
        <v>42</v>
      </c>
      <c r="B133" s="27" t="s">
        <v>447</v>
      </c>
      <c r="C133" s="27" t="s">
        <v>448</v>
      </c>
      <c r="D133" s="27" t="s">
        <v>449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22950</f>
        <v>22950.0</v>
      </c>
      <c r="L133" s="34" t="s">
        <v>48</v>
      </c>
      <c r="M133" s="33" t="n">
        <f>22950</f>
        <v>22950.0</v>
      </c>
      <c r="N133" s="34" t="s">
        <v>48</v>
      </c>
      <c r="O133" s="33" t="n">
        <f>21020</f>
        <v>21020.0</v>
      </c>
      <c r="P133" s="34" t="s">
        <v>50</v>
      </c>
      <c r="Q133" s="33" t="n">
        <f>21020</f>
        <v>21020.0</v>
      </c>
      <c r="R133" s="34" t="s">
        <v>50</v>
      </c>
      <c r="S133" s="35" t="n">
        <f>22239.44</f>
        <v>22239.44</v>
      </c>
      <c r="T133" s="32" t="n">
        <f>1737</f>
        <v>1737.0</v>
      </c>
      <c r="U133" s="32" t="n">
        <f>2</f>
        <v>2.0</v>
      </c>
      <c r="V133" s="32" t="n">
        <f>38662730</f>
        <v>3.866273E7</v>
      </c>
      <c r="W133" s="32" t="n">
        <f>44560</f>
        <v>44560.0</v>
      </c>
      <c r="X133" s="36" t="n">
        <f>18</f>
        <v>18.0</v>
      </c>
    </row>
    <row r="134">
      <c r="A134" s="27" t="s">
        <v>42</v>
      </c>
      <c r="B134" s="27" t="s">
        <v>450</v>
      </c>
      <c r="C134" s="27" t="s">
        <v>451</v>
      </c>
      <c r="D134" s="27" t="s">
        <v>452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28020</f>
        <v>28020.0</v>
      </c>
      <c r="L134" s="34" t="s">
        <v>48</v>
      </c>
      <c r="M134" s="33" t="n">
        <f>28440</f>
        <v>28440.0</v>
      </c>
      <c r="N134" s="34" t="s">
        <v>60</v>
      </c>
      <c r="O134" s="33" t="n">
        <f>26260</f>
        <v>26260.0</v>
      </c>
      <c r="P134" s="34" t="s">
        <v>50</v>
      </c>
      <c r="Q134" s="33" t="n">
        <f>26665</f>
        <v>26665.0</v>
      </c>
      <c r="R134" s="34" t="s">
        <v>50</v>
      </c>
      <c r="S134" s="35" t="n">
        <f>27750.25</f>
        <v>27750.25</v>
      </c>
      <c r="T134" s="32" t="n">
        <f>1234</f>
        <v>1234.0</v>
      </c>
      <c r="U134" s="32" t="str">
        <f>"－"</f>
        <v>－</v>
      </c>
      <c r="V134" s="32" t="n">
        <f>34155980</f>
        <v>3.415598E7</v>
      </c>
      <c r="W134" s="32" t="str">
        <f>"－"</f>
        <v>－</v>
      </c>
      <c r="X134" s="36" t="n">
        <f>20</f>
        <v>20.0</v>
      </c>
    </row>
    <row r="135">
      <c r="A135" s="27" t="s">
        <v>42</v>
      </c>
      <c r="B135" s="27" t="s">
        <v>453</v>
      </c>
      <c r="C135" s="27" t="s">
        <v>454</v>
      </c>
      <c r="D135" s="27" t="s">
        <v>455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23470</f>
        <v>23470.0</v>
      </c>
      <c r="L135" s="34" t="s">
        <v>48</v>
      </c>
      <c r="M135" s="33" t="n">
        <f>23650</f>
        <v>23650.0</v>
      </c>
      <c r="N135" s="34" t="s">
        <v>80</v>
      </c>
      <c r="O135" s="33" t="n">
        <f>21820</f>
        <v>21820.0</v>
      </c>
      <c r="P135" s="34" t="s">
        <v>50</v>
      </c>
      <c r="Q135" s="33" t="n">
        <f>21820</f>
        <v>21820.0</v>
      </c>
      <c r="R135" s="34" t="s">
        <v>50</v>
      </c>
      <c r="S135" s="35" t="n">
        <f>23051.25</f>
        <v>23051.25</v>
      </c>
      <c r="T135" s="32" t="n">
        <f>3446</f>
        <v>3446.0</v>
      </c>
      <c r="U135" s="32" t="str">
        <f>"－"</f>
        <v>－</v>
      </c>
      <c r="V135" s="32" t="n">
        <f>79048375</f>
        <v>7.9048375E7</v>
      </c>
      <c r="W135" s="32" t="str">
        <f>"－"</f>
        <v>－</v>
      </c>
      <c r="X135" s="36" t="n">
        <f>20</f>
        <v>20.0</v>
      </c>
    </row>
    <row r="136">
      <c r="A136" s="27" t="s">
        <v>42</v>
      </c>
      <c r="B136" s="27" t="s">
        <v>456</v>
      </c>
      <c r="C136" s="27" t="s">
        <v>457</v>
      </c>
      <c r="D136" s="27" t="s">
        <v>458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24390</f>
        <v>24390.0</v>
      </c>
      <c r="L136" s="34" t="s">
        <v>48</v>
      </c>
      <c r="M136" s="33" t="n">
        <f>25290</f>
        <v>25290.0</v>
      </c>
      <c r="N136" s="34" t="s">
        <v>133</v>
      </c>
      <c r="O136" s="33" t="n">
        <f>23395</f>
        <v>23395.0</v>
      </c>
      <c r="P136" s="34" t="s">
        <v>50</v>
      </c>
      <c r="Q136" s="33" t="n">
        <f>23395</f>
        <v>23395.0</v>
      </c>
      <c r="R136" s="34" t="s">
        <v>50</v>
      </c>
      <c r="S136" s="35" t="n">
        <f>24482.5</f>
        <v>24482.5</v>
      </c>
      <c r="T136" s="32" t="n">
        <f>4131</f>
        <v>4131.0</v>
      </c>
      <c r="U136" s="32" t="n">
        <f>6</f>
        <v>6.0</v>
      </c>
      <c r="V136" s="32" t="n">
        <f>100531620</f>
        <v>1.0053162E8</v>
      </c>
      <c r="W136" s="32" t="n">
        <f>148040</f>
        <v>148040.0</v>
      </c>
      <c r="X136" s="36" t="n">
        <f>20</f>
        <v>20.0</v>
      </c>
    </row>
    <row r="137">
      <c r="A137" s="27" t="s">
        <v>42</v>
      </c>
      <c r="B137" s="27" t="s">
        <v>459</v>
      </c>
      <c r="C137" s="27" t="s">
        <v>460</v>
      </c>
      <c r="D137" s="27" t="s">
        <v>461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16790</f>
        <v>16790.0</v>
      </c>
      <c r="L137" s="34" t="s">
        <v>48</v>
      </c>
      <c r="M137" s="33" t="n">
        <f>16870</f>
        <v>16870.0</v>
      </c>
      <c r="N137" s="34" t="s">
        <v>48</v>
      </c>
      <c r="O137" s="33" t="n">
        <f>14850</f>
        <v>14850.0</v>
      </c>
      <c r="P137" s="34" t="s">
        <v>50</v>
      </c>
      <c r="Q137" s="33" t="n">
        <f>14850</f>
        <v>14850.0</v>
      </c>
      <c r="R137" s="34" t="s">
        <v>50</v>
      </c>
      <c r="S137" s="35" t="n">
        <f>15945.25</f>
        <v>15945.25</v>
      </c>
      <c r="T137" s="32" t="n">
        <f>4357</f>
        <v>4357.0</v>
      </c>
      <c r="U137" s="32" t="n">
        <f>2</f>
        <v>2.0</v>
      </c>
      <c r="V137" s="32" t="n">
        <f>70072790</f>
        <v>7.007279E7</v>
      </c>
      <c r="W137" s="32" t="n">
        <f>31460</f>
        <v>31460.0</v>
      </c>
      <c r="X137" s="36" t="n">
        <f>20</f>
        <v>20.0</v>
      </c>
    </row>
    <row r="138">
      <c r="A138" s="27" t="s">
        <v>42</v>
      </c>
      <c r="B138" s="27" t="s">
        <v>462</v>
      </c>
      <c r="C138" s="27" t="s">
        <v>463</v>
      </c>
      <c r="D138" s="27" t="s">
        <v>464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41650</f>
        <v>41650.0</v>
      </c>
      <c r="L138" s="34" t="s">
        <v>48</v>
      </c>
      <c r="M138" s="33" t="n">
        <f>42350</f>
        <v>42350.0</v>
      </c>
      <c r="N138" s="34" t="s">
        <v>68</v>
      </c>
      <c r="O138" s="33" t="n">
        <f>39180</f>
        <v>39180.0</v>
      </c>
      <c r="P138" s="34" t="s">
        <v>50</v>
      </c>
      <c r="Q138" s="33" t="n">
        <f>39180</f>
        <v>39180.0</v>
      </c>
      <c r="R138" s="34" t="s">
        <v>50</v>
      </c>
      <c r="S138" s="35" t="n">
        <f>41244</f>
        <v>41244.0</v>
      </c>
      <c r="T138" s="32" t="n">
        <f>2568</f>
        <v>2568.0</v>
      </c>
      <c r="U138" s="32" t="n">
        <f>2</f>
        <v>2.0</v>
      </c>
      <c r="V138" s="32" t="n">
        <f>105880480</f>
        <v>1.0588048E8</v>
      </c>
      <c r="W138" s="32" t="n">
        <f>83000</f>
        <v>83000.0</v>
      </c>
      <c r="X138" s="36" t="n">
        <f>20</f>
        <v>20.0</v>
      </c>
    </row>
    <row r="139">
      <c r="A139" s="27" t="s">
        <v>42</v>
      </c>
      <c r="B139" s="27" t="s">
        <v>465</v>
      </c>
      <c r="C139" s="27" t="s">
        <v>466</v>
      </c>
      <c r="D139" s="27" t="s">
        <v>467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31350</f>
        <v>31350.0</v>
      </c>
      <c r="L139" s="34" t="s">
        <v>48</v>
      </c>
      <c r="M139" s="33" t="n">
        <f>33200</f>
        <v>33200.0</v>
      </c>
      <c r="N139" s="34" t="s">
        <v>195</v>
      </c>
      <c r="O139" s="33" t="n">
        <f>31130</f>
        <v>31130.0</v>
      </c>
      <c r="P139" s="34" t="s">
        <v>69</v>
      </c>
      <c r="Q139" s="33" t="n">
        <f>31200</f>
        <v>31200.0</v>
      </c>
      <c r="R139" s="34" t="s">
        <v>50</v>
      </c>
      <c r="S139" s="35" t="n">
        <f>32067.5</f>
        <v>32067.5</v>
      </c>
      <c r="T139" s="32" t="n">
        <f>3030</f>
        <v>3030.0</v>
      </c>
      <c r="U139" s="32" t="n">
        <f>4</f>
        <v>4.0</v>
      </c>
      <c r="V139" s="32" t="n">
        <f>97326810</f>
        <v>9.732681E7</v>
      </c>
      <c r="W139" s="32" t="n">
        <f>129600</f>
        <v>129600.0</v>
      </c>
      <c r="X139" s="36" t="n">
        <f>20</f>
        <v>20.0</v>
      </c>
    </row>
    <row r="140">
      <c r="A140" s="27" t="s">
        <v>42</v>
      </c>
      <c r="B140" s="27" t="s">
        <v>468</v>
      </c>
      <c r="C140" s="27" t="s">
        <v>469</v>
      </c>
      <c r="D140" s="27" t="s">
        <v>470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30900</f>
        <v>30900.0</v>
      </c>
      <c r="L140" s="34" t="s">
        <v>48</v>
      </c>
      <c r="M140" s="33" t="n">
        <f>31850</f>
        <v>31850.0</v>
      </c>
      <c r="N140" s="34" t="s">
        <v>229</v>
      </c>
      <c r="O140" s="33" t="n">
        <f>29500</f>
        <v>29500.0</v>
      </c>
      <c r="P140" s="34" t="s">
        <v>50</v>
      </c>
      <c r="Q140" s="33" t="n">
        <f>29500</f>
        <v>29500.0</v>
      </c>
      <c r="R140" s="34" t="s">
        <v>50</v>
      </c>
      <c r="S140" s="35" t="n">
        <f>30987.5</f>
        <v>30987.5</v>
      </c>
      <c r="T140" s="32" t="n">
        <f>1927</f>
        <v>1927.0</v>
      </c>
      <c r="U140" s="32" t="n">
        <f>4</f>
        <v>4.0</v>
      </c>
      <c r="V140" s="32" t="n">
        <f>59372790</f>
        <v>5.937279E7</v>
      </c>
      <c r="W140" s="32" t="n">
        <f>126150</f>
        <v>126150.0</v>
      </c>
      <c r="X140" s="36" t="n">
        <f>20</f>
        <v>20.0</v>
      </c>
    </row>
    <row r="141">
      <c r="A141" s="27" t="s">
        <v>42</v>
      </c>
      <c r="B141" s="27" t="s">
        <v>471</v>
      </c>
      <c r="C141" s="27" t="s">
        <v>472</v>
      </c>
      <c r="D141" s="27" t="s">
        <v>473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5530</f>
        <v>5530.0</v>
      </c>
      <c r="L141" s="34" t="s">
        <v>48</v>
      </c>
      <c r="M141" s="33" t="n">
        <f>5550</f>
        <v>5550.0</v>
      </c>
      <c r="N141" s="34" t="s">
        <v>60</v>
      </c>
      <c r="O141" s="33" t="n">
        <f>5330</f>
        <v>5330.0</v>
      </c>
      <c r="P141" s="34" t="s">
        <v>133</v>
      </c>
      <c r="Q141" s="33" t="n">
        <f>5402</f>
        <v>5402.0</v>
      </c>
      <c r="R141" s="34" t="s">
        <v>50</v>
      </c>
      <c r="S141" s="35" t="n">
        <f>5438.7</f>
        <v>5438.7</v>
      </c>
      <c r="T141" s="32" t="n">
        <f>18534</f>
        <v>18534.0</v>
      </c>
      <c r="U141" s="32" t="n">
        <f>17</f>
        <v>17.0</v>
      </c>
      <c r="V141" s="32" t="n">
        <f>100827123</f>
        <v>1.00827123E8</v>
      </c>
      <c r="W141" s="32" t="n">
        <f>91721</f>
        <v>91721.0</v>
      </c>
      <c r="X141" s="36" t="n">
        <f>20</f>
        <v>20.0</v>
      </c>
    </row>
    <row r="142">
      <c r="A142" s="27" t="s">
        <v>42</v>
      </c>
      <c r="B142" s="27" t="s">
        <v>474</v>
      </c>
      <c r="C142" s="27" t="s">
        <v>475</v>
      </c>
      <c r="D142" s="27" t="s">
        <v>476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15270</f>
        <v>15270.0</v>
      </c>
      <c r="L142" s="34" t="s">
        <v>48</v>
      </c>
      <c r="M142" s="33" t="n">
        <f>15640</f>
        <v>15640.0</v>
      </c>
      <c r="N142" s="34" t="s">
        <v>80</v>
      </c>
      <c r="O142" s="33" t="n">
        <f>13775</f>
        <v>13775.0</v>
      </c>
      <c r="P142" s="34" t="s">
        <v>69</v>
      </c>
      <c r="Q142" s="33" t="n">
        <f>13845</f>
        <v>13845.0</v>
      </c>
      <c r="R142" s="34" t="s">
        <v>50</v>
      </c>
      <c r="S142" s="35" t="n">
        <f>14880.25</f>
        <v>14880.25</v>
      </c>
      <c r="T142" s="32" t="n">
        <f>32941</f>
        <v>32941.0</v>
      </c>
      <c r="U142" s="32" t="str">
        <f>"－"</f>
        <v>－</v>
      </c>
      <c r="V142" s="32" t="n">
        <f>486995805</f>
        <v>4.86995805E8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477</v>
      </c>
      <c r="C143" s="27" t="s">
        <v>478</v>
      </c>
      <c r="D143" s="27" t="s">
        <v>479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40950</f>
        <v>40950.0</v>
      </c>
      <c r="L143" s="34" t="s">
        <v>48</v>
      </c>
      <c r="M143" s="33" t="n">
        <f>41650</f>
        <v>41650.0</v>
      </c>
      <c r="N143" s="34" t="s">
        <v>195</v>
      </c>
      <c r="O143" s="33" t="n">
        <f>39340</f>
        <v>39340.0</v>
      </c>
      <c r="P143" s="34" t="s">
        <v>50</v>
      </c>
      <c r="Q143" s="33" t="n">
        <f>39360</f>
        <v>39360.0</v>
      </c>
      <c r="R143" s="34" t="s">
        <v>50</v>
      </c>
      <c r="S143" s="35" t="n">
        <f>40627.5</f>
        <v>40627.5</v>
      </c>
      <c r="T143" s="32" t="n">
        <f>3020</f>
        <v>3020.0</v>
      </c>
      <c r="U143" s="32" t="str">
        <f>"－"</f>
        <v>－</v>
      </c>
      <c r="V143" s="32" t="n">
        <f>123146270</f>
        <v>1.2314627E8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480</v>
      </c>
      <c r="C144" s="27" t="s">
        <v>481</v>
      </c>
      <c r="D144" s="27" t="s">
        <v>482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23040</f>
        <v>23040.0</v>
      </c>
      <c r="L144" s="34" t="s">
        <v>48</v>
      </c>
      <c r="M144" s="33" t="n">
        <f>23490</f>
        <v>23490.0</v>
      </c>
      <c r="N144" s="34" t="s">
        <v>73</v>
      </c>
      <c r="O144" s="33" t="n">
        <f>21230</f>
        <v>21230.0</v>
      </c>
      <c r="P144" s="34" t="s">
        <v>50</v>
      </c>
      <c r="Q144" s="33" t="n">
        <f>21230</f>
        <v>21230.0</v>
      </c>
      <c r="R144" s="34" t="s">
        <v>50</v>
      </c>
      <c r="S144" s="35" t="n">
        <f>22613.44</f>
        <v>22613.44</v>
      </c>
      <c r="T144" s="32" t="n">
        <f>628</f>
        <v>628.0</v>
      </c>
      <c r="U144" s="32" t="n">
        <f>2</f>
        <v>2.0</v>
      </c>
      <c r="V144" s="32" t="n">
        <f>14296480</f>
        <v>1.429648E7</v>
      </c>
      <c r="W144" s="32" t="n">
        <f>45660</f>
        <v>45660.0</v>
      </c>
      <c r="X144" s="36" t="n">
        <f>16</f>
        <v>16.0</v>
      </c>
    </row>
    <row r="145">
      <c r="A145" s="27" t="s">
        <v>42</v>
      </c>
      <c r="B145" s="27" t="s">
        <v>483</v>
      </c>
      <c r="C145" s="27" t="s">
        <v>484</v>
      </c>
      <c r="D145" s="27" t="s">
        <v>485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7890</f>
        <v>7890.0</v>
      </c>
      <c r="L145" s="34" t="s">
        <v>48</v>
      </c>
      <c r="M145" s="33" t="n">
        <f>8120</f>
        <v>8120.0</v>
      </c>
      <c r="N145" s="34" t="s">
        <v>80</v>
      </c>
      <c r="O145" s="33" t="n">
        <f>7550</f>
        <v>7550.0</v>
      </c>
      <c r="P145" s="34" t="s">
        <v>50</v>
      </c>
      <c r="Q145" s="33" t="n">
        <f>7571</f>
        <v>7571.0</v>
      </c>
      <c r="R145" s="34" t="s">
        <v>50</v>
      </c>
      <c r="S145" s="35" t="n">
        <f>7909.25</f>
        <v>7909.25</v>
      </c>
      <c r="T145" s="32" t="n">
        <f>19712</f>
        <v>19712.0</v>
      </c>
      <c r="U145" s="32" t="str">
        <f>"－"</f>
        <v>－</v>
      </c>
      <c r="V145" s="32" t="n">
        <f>155890100</f>
        <v>1.558901E8</v>
      </c>
      <c r="W145" s="32" t="str">
        <f>"－"</f>
        <v>－</v>
      </c>
      <c r="X145" s="36" t="n">
        <f>20</f>
        <v>20.0</v>
      </c>
    </row>
    <row r="146">
      <c r="A146" s="27" t="s">
        <v>42</v>
      </c>
      <c r="B146" s="27" t="s">
        <v>486</v>
      </c>
      <c r="C146" s="27" t="s">
        <v>487</v>
      </c>
      <c r="D146" s="27" t="s">
        <v>488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14170</f>
        <v>14170.0</v>
      </c>
      <c r="L146" s="34" t="s">
        <v>48</v>
      </c>
      <c r="M146" s="33" t="n">
        <f>14220</f>
        <v>14220.0</v>
      </c>
      <c r="N146" s="34" t="s">
        <v>48</v>
      </c>
      <c r="O146" s="33" t="n">
        <f>13195</f>
        <v>13195.0</v>
      </c>
      <c r="P146" s="34" t="s">
        <v>50</v>
      </c>
      <c r="Q146" s="33" t="n">
        <f>13195</f>
        <v>13195.0</v>
      </c>
      <c r="R146" s="34" t="s">
        <v>50</v>
      </c>
      <c r="S146" s="35" t="n">
        <f>13812</f>
        <v>13812.0</v>
      </c>
      <c r="T146" s="32" t="n">
        <f>4843</f>
        <v>4843.0</v>
      </c>
      <c r="U146" s="32" t="n">
        <f>6</f>
        <v>6.0</v>
      </c>
      <c r="V146" s="32" t="n">
        <f>67142685</f>
        <v>6.7142685E7</v>
      </c>
      <c r="W146" s="32" t="n">
        <f>83390</f>
        <v>83390.0</v>
      </c>
      <c r="X146" s="36" t="n">
        <f>20</f>
        <v>20.0</v>
      </c>
    </row>
    <row r="147">
      <c r="A147" s="27" t="s">
        <v>42</v>
      </c>
      <c r="B147" s="27" t="s">
        <v>489</v>
      </c>
      <c r="C147" s="27" t="s">
        <v>490</v>
      </c>
      <c r="D147" s="27" t="s">
        <v>491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30450</f>
        <v>30450.0</v>
      </c>
      <c r="L147" s="34" t="s">
        <v>48</v>
      </c>
      <c r="M147" s="33" t="n">
        <f>30700</f>
        <v>30700.0</v>
      </c>
      <c r="N147" s="34" t="s">
        <v>73</v>
      </c>
      <c r="O147" s="33" t="n">
        <f>27400</f>
        <v>27400.0</v>
      </c>
      <c r="P147" s="34" t="s">
        <v>50</v>
      </c>
      <c r="Q147" s="33" t="n">
        <f>27580</f>
        <v>27580.0</v>
      </c>
      <c r="R147" s="34" t="s">
        <v>50</v>
      </c>
      <c r="S147" s="35" t="n">
        <f>29559.5</f>
        <v>29559.5</v>
      </c>
      <c r="T147" s="32" t="n">
        <f>1169</f>
        <v>1169.0</v>
      </c>
      <c r="U147" s="32" t="n">
        <f>6</f>
        <v>6.0</v>
      </c>
      <c r="V147" s="32" t="n">
        <f>34485535</f>
        <v>3.4485535E7</v>
      </c>
      <c r="W147" s="32" t="n">
        <f>179460</f>
        <v>179460.0</v>
      </c>
      <c r="X147" s="36" t="n">
        <f>20</f>
        <v>20.0</v>
      </c>
    </row>
    <row r="148">
      <c r="A148" s="27" t="s">
        <v>42</v>
      </c>
      <c r="B148" s="27" t="s">
        <v>492</v>
      </c>
      <c r="C148" s="27" t="s">
        <v>493</v>
      </c>
      <c r="D148" s="27" t="s">
        <v>494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1136</f>
        <v>1136.0</v>
      </c>
      <c r="L148" s="34" t="s">
        <v>48</v>
      </c>
      <c r="M148" s="33" t="n">
        <f>1146</f>
        <v>1146.0</v>
      </c>
      <c r="N148" s="34" t="s">
        <v>229</v>
      </c>
      <c r="O148" s="33" t="n">
        <f>1054</f>
        <v>1054.0</v>
      </c>
      <c r="P148" s="34" t="s">
        <v>50</v>
      </c>
      <c r="Q148" s="33" t="n">
        <f>1075</f>
        <v>1075.0</v>
      </c>
      <c r="R148" s="34" t="s">
        <v>50</v>
      </c>
      <c r="S148" s="35" t="n">
        <f>1099.75</f>
        <v>1099.75</v>
      </c>
      <c r="T148" s="32" t="n">
        <f>208100</f>
        <v>208100.0</v>
      </c>
      <c r="U148" s="32" t="n">
        <f>27700</f>
        <v>27700.0</v>
      </c>
      <c r="V148" s="32" t="n">
        <f>229402128</f>
        <v>2.29402128E8</v>
      </c>
      <c r="W148" s="32" t="n">
        <f>30080318</f>
        <v>3.0080318E7</v>
      </c>
      <c r="X148" s="36" t="n">
        <f>20</f>
        <v>20.0</v>
      </c>
    </row>
    <row r="149">
      <c r="A149" s="27" t="s">
        <v>42</v>
      </c>
      <c r="B149" s="27" t="s">
        <v>495</v>
      </c>
      <c r="C149" s="27" t="s">
        <v>496</v>
      </c>
      <c r="D149" s="27" t="s">
        <v>497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2521</f>
        <v>2521.0</v>
      </c>
      <c r="L149" s="34" t="s">
        <v>48</v>
      </c>
      <c r="M149" s="33" t="n">
        <f>2521</f>
        <v>2521.0</v>
      </c>
      <c r="N149" s="34" t="s">
        <v>48</v>
      </c>
      <c r="O149" s="33" t="n">
        <f>2403</f>
        <v>2403.0</v>
      </c>
      <c r="P149" s="34" t="s">
        <v>50</v>
      </c>
      <c r="Q149" s="33" t="n">
        <f>2403</f>
        <v>2403.0</v>
      </c>
      <c r="R149" s="34" t="s">
        <v>50</v>
      </c>
      <c r="S149" s="35" t="n">
        <f>2473.3</f>
        <v>2473.3</v>
      </c>
      <c r="T149" s="32" t="n">
        <f>9460</f>
        <v>9460.0</v>
      </c>
      <c r="U149" s="32" t="str">
        <f>"－"</f>
        <v>－</v>
      </c>
      <c r="V149" s="32" t="n">
        <f>23224480</f>
        <v>2.322448E7</v>
      </c>
      <c r="W149" s="32" t="str">
        <f>"－"</f>
        <v>－</v>
      </c>
      <c r="X149" s="36" t="n">
        <f>5</f>
        <v>5.0</v>
      </c>
    </row>
    <row r="150">
      <c r="A150" s="27" t="s">
        <v>42</v>
      </c>
      <c r="B150" s="27" t="s">
        <v>498</v>
      </c>
      <c r="C150" s="27" t="s">
        <v>499</v>
      </c>
      <c r="D150" s="27" t="s">
        <v>500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2638</f>
        <v>2638.0</v>
      </c>
      <c r="L150" s="34" t="s">
        <v>48</v>
      </c>
      <c r="M150" s="33" t="n">
        <f>2677</f>
        <v>2677.0</v>
      </c>
      <c r="N150" s="34" t="s">
        <v>49</v>
      </c>
      <c r="O150" s="33" t="n">
        <f>2534</f>
        <v>2534.0</v>
      </c>
      <c r="P150" s="34" t="s">
        <v>50</v>
      </c>
      <c r="Q150" s="33" t="n">
        <f>2534</f>
        <v>2534.0</v>
      </c>
      <c r="R150" s="34" t="s">
        <v>50</v>
      </c>
      <c r="S150" s="35" t="n">
        <f>2627.18</f>
        <v>2627.18</v>
      </c>
      <c r="T150" s="32" t="n">
        <f>22600</f>
        <v>22600.0</v>
      </c>
      <c r="U150" s="32" t="n">
        <f>20</f>
        <v>20.0</v>
      </c>
      <c r="V150" s="32" t="n">
        <f>59361615</f>
        <v>5.9361615E7</v>
      </c>
      <c r="W150" s="32" t="n">
        <f>52630</f>
        <v>52630.0</v>
      </c>
      <c r="X150" s="36" t="n">
        <f>19</f>
        <v>19.0</v>
      </c>
    </row>
    <row r="151">
      <c r="A151" s="27" t="s">
        <v>42</v>
      </c>
      <c r="B151" s="27" t="s">
        <v>501</v>
      </c>
      <c r="C151" s="27" t="s">
        <v>502</v>
      </c>
      <c r="D151" s="27" t="s">
        <v>503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1596</f>
        <v>1596.0</v>
      </c>
      <c r="L151" s="34" t="s">
        <v>48</v>
      </c>
      <c r="M151" s="33" t="n">
        <f>1605</f>
        <v>1605.0</v>
      </c>
      <c r="N151" s="34" t="s">
        <v>49</v>
      </c>
      <c r="O151" s="33" t="n">
        <f>1515</f>
        <v>1515.0</v>
      </c>
      <c r="P151" s="34" t="s">
        <v>50</v>
      </c>
      <c r="Q151" s="33" t="n">
        <f>1515</f>
        <v>1515.0</v>
      </c>
      <c r="R151" s="34" t="s">
        <v>50</v>
      </c>
      <c r="S151" s="35" t="n">
        <f>1577.42</f>
        <v>1577.42</v>
      </c>
      <c r="T151" s="32" t="n">
        <f>38630</f>
        <v>38630.0</v>
      </c>
      <c r="U151" s="32" t="n">
        <f>40</f>
        <v>40.0</v>
      </c>
      <c r="V151" s="32" t="n">
        <f>59941320</f>
        <v>5.994132E7</v>
      </c>
      <c r="W151" s="32" t="n">
        <f>63440</f>
        <v>63440.0</v>
      </c>
      <c r="X151" s="36" t="n">
        <f>12</f>
        <v>12.0</v>
      </c>
    </row>
    <row r="152">
      <c r="A152" s="27" t="s">
        <v>42</v>
      </c>
      <c r="B152" s="27" t="s">
        <v>504</v>
      </c>
      <c r="C152" s="27" t="s">
        <v>505</v>
      </c>
      <c r="D152" s="27" t="s">
        <v>506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3785</f>
        <v>3785.0</v>
      </c>
      <c r="L152" s="34" t="s">
        <v>48</v>
      </c>
      <c r="M152" s="33" t="n">
        <f>3910</f>
        <v>3910.0</v>
      </c>
      <c r="N152" s="34" t="s">
        <v>342</v>
      </c>
      <c r="O152" s="33" t="n">
        <f>3745</f>
        <v>3745.0</v>
      </c>
      <c r="P152" s="34" t="s">
        <v>50</v>
      </c>
      <c r="Q152" s="33" t="n">
        <f>3750</f>
        <v>3750.0</v>
      </c>
      <c r="R152" s="34" t="s">
        <v>50</v>
      </c>
      <c r="S152" s="35" t="n">
        <f>3824.5</f>
        <v>3824.5</v>
      </c>
      <c r="T152" s="32" t="n">
        <f>12347253</f>
        <v>1.2347253E7</v>
      </c>
      <c r="U152" s="32" t="n">
        <f>5379960</f>
        <v>5379960.0</v>
      </c>
      <c r="V152" s="32" t="n">
        <f>47165890507</f>
        <v>4.7165890507E10</v>
      </c>
      <c r="W152" s="32" t="n">
        <f>20530303622</f>
        <v>2.0530303622E10</v>
      </c>
      <c r="X152" s="36" t="n">
        <f>20</f>
        <v>20.0</v>
      </c>
    </row>
    <row r="153">
      <c r="A153" s="27" t="s">
        <v>42</v>
      </c>
      <c r="B153" s="27" t="s">
        <v>507</v>
      </c>
      <c r="C153" s="27" t="s">
        <v>508</v>
      </c>
      <c r="D153" s="27" t="s">
        <v>509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2687</f>
        <v>2687.0</v>
      </c>
      <c r="L153" s="34" t="s">
        <v>48</v>
      </c>
      <c r="M153" s="33" t="n">
        <f>2710</f>
        <v>2710.0</v>
      </c>
      <c r="N153" s="34" t="s">
        <v>87</v>
      </c>
      <c r="O153" s="33" t="n">
        <f>2678</f>
        <v>2678.0</v>
      </c>
      <c r="P153" s="34" t="s">
        <v>242</v>
      </c>
      <c r="Q153" s="33" t="n">
        <f>2691</f>
        <v>2691.0</v>
      </c>
      <c r="R153" s="34" t="s">
        <v>50</v>
      </c>
      <c r="S153" s="35" t="n">
        <f>2692.7</f>
        <v>2692.7</v>
      </c>
      <c r="T153" s="32" t="n">
        <f>1307278</f>
        <v>1307278.0</v>
      </c>
      <c r="U153" s="32" t="n">
        <f>898514</f>
        <v>898514.0</v>
      </c>
      <c r="V153" s="32" t="n">
        <f>3516108260</f>
        <v>3.51610826E9</v>
      </c>
      <c r="W153" s="32" t="n">
        <f>2415613265</f>
        <v>2.415613265E9</v>
      </c>
      <c r="X153" s="36" t="n">
        <f>20</f>
        <v>20.0</v>
      </c>
    </row>
    <row r="154">
      <c r="A154" s="27" t="s">
        <v>42</v>
      </c>
      <c r="B154" s="27" t="s">
        <v>510</v>
      </c>
      <c r="C154" s="27" t="s">
        <v>511</v>
      </c>
      <c r="D154" s="27" t="s">
        <v>512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3345</f>
        <v>3345.0</v>
      </c>
      <c r="L154" s="34" t="s">
        <v>48</v>
      </c>
      <c r="M154" s="33" t="n">
        <f>3415</f>
        <v>3415.0</v>
      </c>
      <c r="N154" s="34" t="s">
        <v>342</v>
      </c>
      <c r="O154" s="33" t="n">
        <f>3255</f>
        <v>3255.0</v>
      </c>
      <c r="P154" s="34" t="s">
        <v>50</v>
      </c>
      <c r="Q154" s="33" t="n">
        <f>3255</f>
        <v>3255.0</v>
      </c>
      <c r="R154" s="34" t="s">
        <v>50</v>
      </c>
      <c r="S154" s="35" t="n">
        <f>3356.5</f>
        <v>3356.5</v>
      </c>
      <c r="T154" s="32" t="n">
        <f>53624</f>
        <v>53624.0</v>
      </c>
      <c r="U154" s="32" t="n">
        <f>1482</f>
        <v>1482.0</v>
      </c>
      <c r="V154" s="32" t="n">
        <f>180145324</f>
        <v>1.80145324E8</v>
      </c>
      <c r="W154" s="32" t="n">
        <f>4997324</f>
        <v>4997324.0</v>
      </c>
      <c r="X154" s="36" t="n">
        <f>20</f>
        <v>20.0</v>
      </c>
    </row>
    <row r="155">
      <c r="A155" s="27" t="s">
        <v>42</v>
      </c>
      <c r="B155" s="27" t="s">
        <v>513</v>
      </c>
      <c r="C155" s="27" t="s">
        <v>514</v>
      </c>
      <c r="D155" s="27" t="s">
        <v>515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2387</f>
        <v>2387.0</v>
      </c>
      <c r="L155" s="34" t="s">
        <v>48</v>
      </c>
      <c r="M155" s="33" t="n">
        <f>2451</f>
        <v>2451.0</v>
      </c>
      <c r="N155" s="34" t="s">
        <v>133</v>
      </c>
      <c r="O155" s="33" t="n">
        <f>2262</f>
        <v>2262.0</v>
      </c>
      <c r="P155" s="34" t="s">
        <v>50</v>
      </c>
      <c r="Q155" s="33" t="n">
        <f>2269</f>
        <v>2269.0</v>
      </c>
      <c r="R155" s="34" t="s">
        <v>50</v>
      </c>
      <c r="S155" s="35" t="n">
        <f>2383.55</f>
        <v>2383.55</v>
      </c>
      <c r="T155" s="32" t="n">
        <f>79437</f>
        <v>79437.0</v>
      </c>
      <c r="U155" s="32" t="n">
        <f>4201</f>
        <v>4201.0</v>
      </c>
      <c r="V155" s="32" t="n">
        <f>189100987</f>
        <v>1.89100987E8</v>
      </c>
      <c r="W155" s="32" t="n">
        <f>9988313</f>
        <v>9988313.0</v>
      </c>
      <c r="X155" s="36" t="n">
        <f>20</f>
        <v>20.0</v>
      </c>
    </row>
    <row r="156">
      <c r="A156" s="27" t="s">
        <v>42</v>
      </c>
      <c r="B156" s="27" t="s">
        <v>516</v>
      </c>
      <c r="C156" s="27" t="s">
        <v>517</v>
      </c>
      <c r="D156" s="27" t="s">
        <v>518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2707</f>
        <v>2707.0</v>
      </c>
      <c r="L156" s="34" t="s">
        <v>48</v>
      </c>
      <c r="M156" s="33" t="n">
        <f>2826</f>
        <v>2826.0</v>
      </c>
      <c r="N156" s="34" t="s">
        <v>342</v>
      </c>
      <c r="O156" s="33" t="n">
        <f>2673</f>
        <v>2673.0</v>
      </c>
      <c r="P156" s="34" t="s">
        <v>50</v>
      </c>
      <c r="Q156" s="33" t="n">
        <f>2673</f>
        <v>2673.0</v>
      </c>
      <c r="R156" s="34" t="s">
        <v>50</v>
      </c>
      <c r="S156" s="35" t="n">
        <f>2736.45</f>
        <v>2736.45</v>
      </c>
      <c r="T156" s="32" t="n">
        <f>408309</f>
        <v>408309.0</v>
      </c>
      <c r="U156" s="32" t="n">
        <f>5</f>
        <v>5.0</v>
      </c>
      <c r="V156" s="32" t="n">
        <f>1114855953</f>
        <v>1.114855953E9</v>
      </c>
      <c r="W156" s="32" t="n">
        <f>13954</f>
        <v>13954.0</v>
      </c>
      <c r="X156" s="36" t="n">
        <f>20</f>
        <v>20.0</v>
      </c>
    </row>
    <row r="157">
      <c r="A157" s="27" t="s">
        <v>42</v>
      </c>
      <c r="B157" s="27" t="s">
        <v>519</v>
      </c>
      <c r="C157" s="27" t="s">
        <v>520</v>
      </c>
      <c r="D157" s="27" t="s">
        <v>521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11600</f>
        <v>11600.0</v>
      </c>
      <c r="L157" s="34" t="s">
        <v>48</v>
      </c>
      <c r="M157" s="33" t="n">
        <f>11690</f>
        <v>11690.0</v>
      </c>
      <c r="N157" s="34" t="s">
        <v>73</v>
      </c>
      <c r="O157" s="33" t="n">
        <f>11250</f>
        <v>11250.0</v>
      </c>
      <c r="P157" s="34" t="s">
        <v>69</v>
      </c>
      <c r="Q157" s="33" t="n">
        <f>11300</f>
        <v>11300.0</v>
      </c>
      <c r="R157" s="34" t="s">
        <v>50</v>
      </c>
      <c r="S157" s="35" t="n">
        <f>11517.75</f>
        <v>11517.75</v>
      </c>
      <c r="T157" s="32" t="n">
        <f>17113</f>
        <v>17113.0</v>
      </c>
      <c r="U157" s="32" t="n">
        <f>1</f>
        <v>1.0</v>
      </c>
      <c r="V157" s="32" t="n">
        <f>196969440</f>
        <v>1.9696944E8</v>
      </c>
      <c r="W157" s="32" t="n">
        <f>11325</f>
        <v>11325.0</v>
      </c>
      <c r="X157" s="36" t="n">
        <f>20</f>
        <v>20.0</v>
      </c>
    </row>
    <row r="158">
      <c r="A158" s="27" t="s">
        <v>42</v>
      </c>
      <c r="B158" s="27" t="s">
        <v>522</v>
      </c>
      <c r="C158" s="27" t="s">
        <v>523</v>
      </c>
      <c r="D158" s="27" t="s">
        <v>524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1849</f>
        <v>1849.0</v>
      </c>
      <c r="L158" s="34" t="s">
        <v>48</v>
      </c>
      <c r="M158" s="33" t="n">
        <f>1881</f>
        <v>1881.0</v>
      </c>
      <c r="N158" s="34" t="s">
        <v>60</v>
      </c>
      <c r="O158" s="33" t="n">
        <f>1555</f>
        <v>1555.0</v>
      </c>
      <c r="P158" s="34" t="s">
        <v>50</v>
      </c>
      <c r="Q158" s="33" t="n">
        <f>1558</f>
        <v>1558.0</v>
      </c>
      <c r="R158" s="34" t="s">
        <v>50</v>
      </c>
      <c r="S158" s="35" t="n">
        <f>1786.05</f>
        <v>1786.05</v>
      </c>
      <c r="T158" s="32" t="n">
        <f>29897733</f>
        <v>2.9897733E7</v>
      </c>
      <c r="U158" s="32" t="n">
        <f>6137</f>
        <v>6137.0</v>
      </c>
      <c r="V158" s="32" t="n">
        <f>52642114277</f>
        <v>5.2642114277E10</v>
      </c>
      <c r="W158" s="32" t="n">
        <f>11192651</f>
        <v>1.1192651E7</v>
      </c>
      <c r="X158" s="36" t="n">
        <f>20</f>
        <v>20.0</v>
      </c>
    </row>
    <row r="159">
      <c r="A159" s="27" t="s">
        <v>42</v>
      </c>
      <c r="B159" s="27" t="s">
        <v>525</v>
      </c>
      <c r="C159" s="27" t="s">
        <v>526</v>
      </c>
      <c r="D159" s="27" t="s">
        <v>527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19200</f>
        <v>19200.0</v>
      </c>
      <c r="L159" s="34" t="s">
        <v>48</v>
      </c>
      <c r="M159" s="33" t="n">
        <f>20150</f>
        <v>20150.0</v>
      </c>
      <c r="N159" s="34" t="s">
        <v>101</v>
      </c>
      <c r="O159" s="33" t="n">
        <f>19040</f>
        <v>19040.0</v>
      </c>
      <c r="P159" s="34" t="s">
        <v>68</v>
      </c>
      <c r="Q159" s="33" t="n">
        <f>19185</f>
        <v>19185.0</v>
      </c>
      <c r="R159" s="34" t="s">
        <v>50</v>
      </c>
      <c r="S159" s="35" t="n">
        <f>19611.75</f>
        <v>19611.75</v>
      </c>
      <c r="T159" s="32" t="n">
        <f>4611</f>
        <v>4611.0</v>
      </c>
      <c r="U159" s="32" t="n">
        <f>4</f>
        <v>4.0</v>
      </c>
      <c r="V159" s="32" t="n">
        <f>90505915</f>
        <v>9.0505915E7</v>
      </c>
      <c r="W159" s="32" t="n">
        <f>77540</f>
        <v>77540.0</v>
      </c>
      <c r="X159" s="36" t="n">
        <f>20</f>
        <v>20.0</v>
      </c>
    </row>
    <row r="160">
      <c r="A160" s="27" t="s">
        <v>42</v>
      </c>
      <c r="B160" s="27" t="s">
        <v>528</v>
      </c>
      <c r="C160" s="27" t="s">
        <v>529</v>
      </c>
      <c r="D160" s="27" t="s">
        <v>530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2520</f>
        <v>2520.0</v>
      </c>
      <c r="L160" s="34" t="s">
        <v>48</v>
      </c>
      <c r="M160" s="33" t="n">
        <f>2689</f>
        <v>2689.0</v>
      </c>
      <c r="N160" s="34" t="s">
        <v>229</v>
      </c>
      <c r="O160" s="33" t="n">
        <f>2412</f>
        <v>2412.0</v>
      </c>
      <c r="P160" s="34" t="s">
        <v>50</v>
      </c>
      <c r="Q160" s="33" t="n">
        <f>2427.5</f>
        <v>2427.5</v>
      </c>
      <c r="R160" s="34" t="s">
        <v>50</v>
      </c>
      <c r="S160" s="35" t="n">
        <f>2572.43</f>
        <v>2572.43</v>
      </c>
      <c r="T160" s="32" t="n">
        <f>11440</f>
        <v>11440.0</v>
      </c>
      <c r="U160" s="32" t="n">
        <f>40</f>
        <v>40.0</v>
      </c>
      <c r="V160" s="32" t="n">
        <f>29727980</f>
        <v>2.972798E7</v>
      </c>
      <c r="W160" s="32" t="n">
        <f>103370</f>
        <v>103370.0</v>
      </c>
      <c r="X160" s="36" t="n">
        <f>20</f>
        <v>20.0</v>
      </c>
    </row>
    <row r="161">
      <c r="A161" s="27" t="s">
        <v>42</v>
      </c>
      <c r="B161" s="27" t="s">
        <v>531</v>
      </c>
      <c r="C161" s="27" t="s">
        <v>532</v>
      </c>
      <c r="D161" s="27" t="s">
        <v>533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10810</f>
        <v>10810.0</v>
      </c>
      <c r="L161" s="34" t="s">
        <v>48</v>
      </c>
      <c r="M161" s="33" t="n">
        <f>11790</f>
        <v>11790.0</v>
      </c>
      <c r="N161" s="34" t="s">
        <v>97</v>
      </c>
      <c r="O161" s="33" t="n">
        <f>10090</f>
        <v>10090.0</v>
      </c>
      <c r="P161" s="34" t="s">
        <v>50</v>
      </c>
      <c r="Q161" s="33" t="n">
        <f>10090</f>
        <v>10090.0</v>
      </c>
      <c r="R161" s="34" t="s">
        <v>50</v>
      </c>
      <c r="S161" s="35" t="n">
        <f>11047.5</f>
        <v>11047.5</v>
      </c>
      <c r="T161" s="32" t="n">
        <f>7528</f>
        <v>7528.0</v>
      </c>
      <c r="U161" s="32" t="n">
        <f>6</f>
        <v>6.0</v>
      </c>
      <c r="V161" s="32" t="n">
        <f>84244735</f>
        <v>8.4244735E7</v>
      </c>
      <c r="W161" s="32" t="n">
        <f>67030</f>
        <v>67030.0</v>
      </c>
      <c r="X161" s="36" t="n">
        <f>20</f>
        <v>20.0</v>
      </c>
    </row>
    <row r="162">
      <c r="A162" s="27" t="s">
        <v>42</v>
      </c>
      <c r="B162" s="27" t="s">
        <v>534</v>
      </c>
      <c r="C162" s="27" t="s">
        <v>535</v>
      </c>
      <c r="D162" s="27" t="s">
        <v>536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20650</f>
        <v>20650.0</v>
      </c>
      <c r="L162" s="34" t="s">
        <v>48</v>
      </c>
      <c r="M162" s="33" t="n">
        <f>23480</f>
        <v>23480.0</v>
      </c>
      <c r="N162" s="34" t="s">
        <v>101</v>
      </c>
      <c r="O162" s="33" t="n">
        <f>18880</f>
        <v>18880.0</v>
      </c>
      <c r="P162" s="34" t="s">
        <v>50</v>
      </c>
      <c r="Q162" s="33" t="n">
        <f>18880</f>
        <v>18880.0</v>
      </c>
      <c r="R162" s="34" t="s">
        <v>50</v>
      </c>
      <c r="S162" s="35" t="n">
        <f>21437.25</f>
        <v>21437.25</v>
      </c>
      <c r="T162" s="32" t="n">
        <f>3071</f>
        <v>3071.0</v>
      </c>
      <c r="U162" s="32" t="n">
        <f>6</f>
        <v>6.0</v>
      </c>
      <c r="V162" s="32" t="n">
        <f>65612610</f>
        <v>6.561261E7</v>
      </c>
      <c r="W162" s="32" t="n">
        <f>129640</f>
        <v>129640.0</v>
      </c>
      <c r="X162" s="36" t="n">
        <f>20</f>
        <v>20.0</v>
      </c>
    </row>
    <row r="163">
      <c r="A163" s="27" t="s">
        <v>42</v>
      </c>
      <c r="B163" s="27" t="s">
        <v>537</v>
      </c>
      <c r="C163" s="27" t="s">
        <v>538</v>
      </c>
      <c r="D163" s="27" t="s">
        <v>539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16400</f>
        <v>16400.0</v>
      </c>
      <c r="L163" s="34" t="s">
        <v>540</v>
      </c>
      <c r="M163" s="33" t="n">
        <f>16880</f>
        <v>16880.0</v>
      </c>
      <c r="N163" s="34" t="s">
        <v>191</v>
      </c>
      <c r="O163" s="33" t="n">
        <f>14875</f>
        <v>14875.0</v>
      </c>
      <c r="P163" s="34" t="s">
        <v>50</v>
      </c>
      <c r="Q163" s="33" t="n">
        <f>15490</f>
        <v>15490.0</v>
      </c>
      <c r="R163" s="34" t="s">
        <v>50</v>
      </c>
      <c r="S163" s="35" t="n">
        <f>16145</f>
        <v>16145.0</v>
      </c>
      <c r="T163" s="32" t="n">
        <f>43</f>
        <v>43.0</v>
      </c>
      <c r="U163" s="32" t="str">
        <f>"－"</f>
        <v>－</v>
      </c>
      <c r="V163" s="32" t="n">
        <f>682885</f>
        <v>682885.0</v>
      </c>
      <c r="W163" s="32" t="str">
        <f>"－"</f>
        <v>－</v>
      </c>
      <c r="X163" s="36" t="n">
        <f>4</f>
        <v>4.0</v>
      </c>
    </row>
    <row r="164">
      <c r="A164" s="27" t="s">
        <v>42</v>
      </c>
      <c r="B164" s="27" t="s">
        <v>541</v>
      </c>
      <c r="C164" s="27" t="s">
        <v>542</v>
      </c>
      <c r="D164" s="27" t="s">
        <v>543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52400</f>
        <v>52400.0</v>
      </c>
      <c r="L164" s="34" t="s">
        <v>48</v>
      </c>
      <c r="M164" s="33" t="n">
        <f>52700</f>
        <v>52700.0</v>
      </c>
      <c r="N164" s="34" t="s">
        <v>73</v>
      </c>
      <c r="O164" s="33" t="n">
        <f>51700</f>
        <v>51700.0</v>
      </c>
      <c r="P164" s="34" t="s">
        <v>69</v>
      </c>
      <c r="Q164" s="33" t="n">
        <f>51730</f>
        <v>51730.0</v>
      </c>
      <c r="R164" s="34" t="s">
        <v>50</v>
      </c>
      <c r="S164" s="35" t="n">
        <f>52161.5</f>
        <v>52161.5</v>
      </c>
      <c r="T164" s="32" t="n">
        <f>5440</f>
        <v>5440.0</v>
      </c>
      <c r="U164" s="32" t="n">
        <f>50</f>
        <v>50.0</v>
      </c>
      <c r="V164" s="32" t="n">
        <f>284358300</f>
        <v>2.843583E8</v>
      </c>
      <c r="W164" s="32" t="n">
        <f>2612000</f>
        <v>2612000.0</v>
      </c>
      <c r="X164" s="36" t="n">
        <f>20</f>
        <v>20.0</v>
      </c>
    </row>
    <row r="165">
      <c r="A165" s="27" t="s">
        <v>42</v>
      </c>
      <c r="B165" s="27" t="s">
        <v>544</v>
      </c>
      <c r="C165" s="27" t="s">
        <v>545</v>
      </c>
      <c r="D165" s="27" t="s">
        <v>546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100.0</v>
      </c>
      <c r="K165" s="33" t="n">
        <f>242</f>
        <v>242.0</v>
      </c>
      <c r="L165" s="34" t="s">
        <v>48</v>
      </c>
      <c r="M165" s="33" t="n">
        <f>249</f>
        <v>249.0</v>
      </c>
      <c r="N165" s="34" t="s">
        <v>229</v>
      </c>
      <c r="O165" s="33" t="n">
        <f>225.9</f>
        <v>225.9</v>
      </c>
      <c r="P165" s="34" t="s">
        <v>69</v>
      </c>
      <c r="Q165" s="33" t="n">
        <f>228.1</f>
        <v>228.1</v>
      </c>
      <c r="R165" s="34" t="s">
        <v>50</v>
      </c>
      <c r="S165" s="35" t="n">
        <f>241.93</f>
        <v>241.93</v>
      </c>
      <c r="T165" s="32" t="n">
        <f>23673400</f>
        <v>2.36734E7</v>
      </c>
      <c r="U165" s="32" t="n">
        <f>44100</f>
        <v>44100.0</v>
      </c>
      <c r="V165" s="32" t="n">
        <f>5689473290</f>
        <v>5.68947329E9</v>
      </c>
      <c r="W165" s="32" t="n">
        <f>9816940</f>
        <v>9816940.0</v>
      </c>
      <c r="X165" s="36" t="n">
        <f>20</f>
        <v>20.0</v>
      </c>
    </row>
    <row r="166">
      <c r="A166" s="27" t="s">
        <v>42</v>
      </c>
      <c r="B166" s="27" t="s">
        <v>547</v>
      </c>
      <c r="C166" s="27" t="s">
        <v>548</v>
      </c>
      <c r="D166" s="27" t="s">
        <v>549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35950</f>
        <v>35950.0</v>
      </c>
      <c r="L166" s="34" t="s">
        <v>48</v>
      </c>
      <c r="M166" s="33" t="n">
        <f>36500</f>
        <v>36500.0</v>
      </c>
      <c r="N166" s="34" t="s">
        <v>133</v>
      </c>
      <c r="O166" s="33" t="n">
        <f>34500</f>
        <v>34500.0</v>
      </c>
      <c r="P166" s="34" t="s">
        <v>50</v>
      </c>
      <c r="Q166" s="33" t="n">
        <f>34500</f>
        <v>34500.0</v>
      </c>
      <c r="R166" s="34" t="s">
        <v>50</v>
      </c>
      <c r="S166" s="35" t="n">
        <f>35924</f>
        <v>35924.0</v>
      </c>
      <c r="T166" s="32" t="n">
        <f>12540</f>
        <v>12540.0</v>
      </c>
      <c r="U166" s="32" t="str">
        <f>"－"</f>
        <v>－</v>
      </c>
      <c r="V166" s="32" t="n">
        <f>449206800</f>
        <v>4.492068E8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550</v>
      </c>
      <c r="C167" s="27" t="s">
        <v>551</v>
      </c>
      <c r="D167" s="27" t="s">
        <v>552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3855</f>
        <v>3855.0</v>
      </c>
      <c r="L167" s="34" t="s">
        <v>48</v>
      </c>
      <c r="M167" s="33" t="n">
        <f>3945</f>
        <v>3945.0</v>
      </c>
      <c r="N167" s="34" t="s">
        <v>133</v>
      </c>
      <c r="O167" s="33" t="n">
        <f>3765</f>
        <v>3765.0</v>
      </c>
      <c r="P167" s="34" t="s">
        <v>50</v>
      </c>
      <c r="Q167" s="33" t="n">
        <f>3767</f>
        <v>3767.0</v>
      </c>
      <c r="R167" s="34" t="s">
        <v>50</v>
      </c>
      <c r="S167" s="35" t="n">
        <f>3882.65</f>
        <v>3882.65</v>
      </c>
      <c r="T167" s="32" t="n">
        <f>134210</f>
        <v>134210.0</v>
      </c>
      <c r="U167" s="32" t="n">
        <f>7900</f>
        <v>7900.0</v>
      </c>
      <c r="V167" s="32" t="n">
        <f>521327690</f>
        <v>5.2132769E8</v>
      </c>
      <c r="W167" s="32" t="n">
        <f>30725230</f>
        <v>3.072523E7</v>
      </c>
      <c r="X167" s="36" t="n">
        <f>20</f>
        <v>20.0</v>
      </c>
    </row>
    <row r="168">
      <c r="A168" s="27" t="s">
        <v>42</v>
      </c>
      <c r="B168" s="27" t="s">
        <v>553</v>
      </c>
      <c r="C168" s="27" t="s">
        <v>554</v>
      </c>
      <c r="D168" s="27" t="s">
        <v>555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1830</f>
        <v>1830.0</v>
      </c>
      <c r="L168" s="34" t="s">
        <v>48</v>
      </c>
      <c r="M168" s="33" t="n">
        <f>1886</f>
        <v>1886.0</v>
      </c>
      <c r="N168" s="34" t="s">
        <v>49</v>
      </c>
      <c r="O168" s="33" t="n">
        <f>1720</f>
        <v>1720.0</v>
      </c>
      <c r="P168" s="34" t="s">
        <v>50</v>
      </c>
      <c r="Q168" s="33" t="n">
        <f>1720</f>
        <v>1720.0</v>
      </c>
      <c r="R168" s="34" t="s">
        <v>50</v>
      </c>
      <c r="S168" s="35" t="n">
        <f>1829.9</f>
        <v>1829.9</v>
      </c>
      <c r="T168" s="32" t="n">
        <f>152870</f>
        <v>152870.0</v>
      </c>
      <c r="U168" s="32" t="str">
        <f>"－"</f>
        <v>－</v>
      </c>
      <c r="V168" s="32" t="n">
        <f>277302110</f>
        <v>2.7730211E8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556</v>
      </c>
      <c r="C169" s="27" t="s">
        <v>557</v>
      </c>
      <c r="D169" s="27" t="s">
        <v>558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100.0</v>
      </c>
      <c r="K169" s="33" t="n">
        <f>198</f>
        <v>198.0</v>
      </c>
      <c r="L169" s="34" t="s">
        <v>48</v>
      </c>
      <c r="M169" s="33" t="n">
        <f>210</f>
        <v>210.0</v>
      </c>
      <c r="N169" s="34" t="s">
        <v>97</v>
      </c>
      <c r="O169" s="33" t="n">
        <f>182</f>
        <v>182.0</v>
      </c>
      <c r="P169" s="34" t="s">
        <v>50</v>
      </c>
      <c r="Q169" s="33" t="n">
        <f>185</f>
        <v>185.0</v>
      </c>
      <c r="R169" s="34" t="s">
        <v>50</v>
      </c>
      <c r="S169" s="35" t="n">
        <f>201.16</f>
        <v>201.16</v>
      </c>
      <c r="T169" s="32" t="n">
        <f>464300</f>
        <v>464300.0</v>
      </c>
      <c r="U169" s="32" t="str">
        <f>"－"</f>
        <v>－</v>
      </c>
      <c r="V169" s="32" t="n">
        <f>93338420</f>
        <v>9.333842E7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559</v>
      </c>
      <c r="C170" s="27" t="s">
        <v>560</v>
      </c>
      <c r="D170" s="27" t="s">
        <v>561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1220</f>
        <v>1220.0</v>
      </c>
      <c r="L170" s="34" t="s">
        <v>48</v>
      </c>
      <c r="M170" s="33" t="n">
        <f>1230</f>
        <v>1230.0</v>
      </c>
      <c r="N170" s="34" t="s">
        <v>342</v>
      </c>
      <c r="O170" s="33" t="n">
        <f>1170</f>
        <v>1170.0</v>
      </c>
      <c r="P170" s="34" t="s">
        <v>68</v>
      </c>
      <c r="Q170" s="33" t="n">
        <f>1177.5</f>
        <v>1177.5</v>
      </c>
      <c r="R170" s="34" t="s">
        <v>50</v>
      </c>
      <c r="S170" s="35" t="n">
        <f>1205.79</f>
        <v>1205.79</v>
      </c>
      <c r="T170" s="32" t="n">
        <f>2970</f>
        <v>2970.0</v>
      </c>
      <c r="U170" s="32" t="n">
        <f>40</f>
        <v>40.0</v>
      </c>
      <c r="V170" s="32" t="n">
        <f>3562040</f>
        <v>3562040.0</v>
      </c>
      <c r="W170" s="32" t="n">
        <f>49040</f>
        <v>49040.0</v>
      </c>
      <c r="X170" s="36" t="n">
        <f>17</f>
        <v>17.0</v>
      </c>
    </row>
    <row r="171">
      <c r="A171" s="27" t="s">
        <v>42</v>
      </c>
      <c r="B171" s="27" t="s">
        <v>562</v>
      </c>
      <c r="C171" s="27" t="s">
        <v>563</v>
      </c>
      <c r="D171" s="27" t="s">
        <v>564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432</f>
        <v>432.0</v>
      </c>
      <c r="L171" s="34" t="s">
        <v>48</v>
      </c>
      <c r="M171" s="33" t="n">
        <f>439</f>
        <v>439.0</v>
      </c>
      <c r="N171" s="34" t="s">
        <v>48</v>
      </c>
      <c r="O171" s="33" t="n">
        <f>376</f>
        <v>376.0</v>
      </c>
      <c r="P171" s="34" t="s">
        <v>50</v>
      </c>
      <c r="Q171" s="33" t="n">
        <f>376.7</f>
        <v>376.7</v>
      </c>
      <c r="R171" s="34" t="s">
        <v>50</v>
      </c>
      <c r="S171" s="35" t="n">
        <f>418.26</f>
        <v>418.26</v>
      </c>
      <c r="T171" s="32" t="n">
        <f>68740</f>
        <v>68740.0</v>
      </c>
      <c r="U171" s="32" t="n">
        <f>40</f>
        <v>40.0</v>
      </c>
      <c r="V171" s="32" t="n">
        <f>27593142</f>
        <v>2.7593142E7</v>
      </c>
      <c r="W171" s="32" t="n">
        <f>16900</f>
        <v>16900.0</v>
      </c>
      <c r="X171" s="36" t="n">
        <f>20</f>
        <v>20.0</v>
      </c>
    </row>
    <row r="172">
      <c r="A172" s="27" t="s">
        <v>42</v>
      </c>
      <c r="B172" s="27" t="s">
        <v>565</v>
      </c>
      <c r="C172" s="27" t="s">
        <v>566</v>
      </c>
      <c r="D172" s="27" t="s">
        <v>567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1846</f>
        <v>1846.0</v>
      </c>
      <c r="L172" s="34" t="s">
        <v>48</v>
      </c>
      <c r="M172" s="33" t="n">
        <f>1910</f>
        <v>1910.0</v>
      </c>
      <c r="N172" s="34" t="s">
        <v>60</v>
      </c>
      <c r="O172" s="33" t="n">
        <f>1785</f>
        <v>1785.0</v>
      </c>
      <c r="P172" s="34" t="s">
        <v>73</v>
      </c>
      <c r="Q172" s="33" t="n">
        <f>1820</f>
        <v>1820.0</v>
      </c>
      <c r="R172" s="34" t="s">
        <v>50</v>
      </c>
      <c r="S172" s="35" t="n">
        <f>1833.68</f>
        <v>1833.68</v>
      </c>
      <c r="T172" s="32" t="n">
        <f>11990</f>
        <v>11990.0</v>
      </c>
      <c r="U172" s="32" t="n">
        <f>40</f>
        <v>40.0</v>
      </c>
      <c r="V172" s="32" t="n">
        <f>22059250</f>
        <v>2.205925E7</v>
      </c>
      <c r="W172" s="32" t="n">
        <f>72180</f>
        <v>72180.0</v>
      </c>
      <c r="X172" s="36" t="n">
        <f>20</f>
        <v>20.0</v>
      </c>
    </row>
    <row r="173">
      <c r="A173" s="27" t="s">
        <v>42</v>
      </c>
      <c r="B173" s="27" t="s">
        <v>568</v>
      </c>
      <c r="C173" s="27" t="s">
        <v>569</v>
      </c>
      <c r="D173" s="27" t="s">
        <v>570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652</f>
        <v>652.0</v>
      </c>
      <c r="L173" s="34" t="s">
        <v>48</v>
      </c>
      <c r="M173" s="33" t="n">
        <f>710</f>
        <v>710.0</v>
      </c>
      <c r="N173" s="34" t="s">
        <v>195</v>
      </c>
      <c r="O173" s="33" t="n">
        <f>630</f>
        <v>630.0</v>
      </c>
      <c r="P173" s="34" t="s">
        <v>242</v>
      </c>
      <c r="Q173" s="33" t="n">
        <f>660</f>
        <v>660.0</v>
      </c>
      <c r="R173" s="34" t="s">
        <v>50</v>
      </c>
      <c r="S173" s="35" t="n">
        <f>667.15</f>
        <v>667.15</v>
      </c>
      <c r="T173" s="32" t="n">
        <f>65010</f>
        <v>65010.0</v>
      </c>
      <c r="U173" s="32" t="n">
        <f>60</f>
        <v>60.0</v>
      </c>
      <c r="V173" s="32" t="n">
        <f>43473408</f>
        <v>4.3473408E7</v>
      </c>
      <c r="W173" s="32" t="n">
        <f>39380</f>
        <v>39380.0</v>
      </c>
      <c r="X173" s="36" t="n">
        <f>20</f>
        <v>20.0</v>
      </c>
    </row>
    <row r="174">
      <c r="A174" s="27" t="s">
        <v>42</v>
      </c>
      <c r="B174" s="27" t="s">
        <v>571</v>
      </c>
      <c r="C174" s="27" t="s">
        <v>572</v>
      </c>
      <c r="D174" s="27" t="s">
        <v>573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471</f>
        <v>471.0</v>
      </c>
      <c r="L174" s="34" t="s">
        <v>48</v>
      </c>
      <c r="M174" s="33" t="n">
        <f>495</f>
        <v>495.0</v>
      </c>
      <c r="N174" s="34" t="s">
        <v>195</v>
      </c>
      <c r="O174" s="33" t="n">
        <f>447</f>
        <v>447.0</v>
      </c>
      <c r="P174" s="34" t="s">
        <v>242</v>
      </c>
      <c r="Q174" s="33" t="n">
        <f>470.3</f>
        <v>470.3</v>
      </c>
      <c r="R174" s="34" t="s">
        <v>50</v>
      </c>
      <c r="S174" s="35" t="n">
        <f>472.37</f>
        <v>472.37</v>
      </c>
      <c r="T174" s="32" t="n">
        <f>309590</f>
        <v>309590.0</v>
      </c>
      <c r="U174" s="32" t="n">
        <f>20</f>
        <v>20.0</v>
      </c>
      <c r="V174" s="32" t="n">
        <f>145809373</f>
        <v>1.45809373E8</v>
      </c>
      <c r="W174" s="32" t="n">
        <f>9700</f>
        <v>9700.0</v>
      </c>
      <c r="X174" s="36" t="n">
        <f>20</f>
        <v>20.0</v>
      </c>
    </row>
    <row r="175">
      <c r="A175" s="27" t="s">
        <v>42</v>
      </c>
      <c r="B175" s="27" t="s">
        <v>574</v>
      </c>
      <c r="C175" s="27" t="s">
        <v>575</v>
      </c>
      <c r="D175" s="27" t="s">
        <v>576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100.0</v>
      </c>
      <c r="K175" s="33" t="n">
        <f>3</f>
        <v>3.0</v>
      </c>
      <c r="L175" s="34" t="s">
        <v>48</v>
      </c>
      <c r="M175" s="33" t="n">
        <f>3</f>
        <v>3.0</v>
      </c>
      <c r="N175" s="34" t="s">
        <v>48</v>
      </c>
      <c r="O175" s="33" t="n">
        <f>2</f>
        <v>2.0</v>
      </c>
      <c r="P175" s="34" t="s">
        <v>48</v>
      </c>
      <c r="Q175" s="33" t="n">
        <f>2.2</f>
        <v>2.2</v>
      </c>
      <c r="R175" s="34" t="s">
        <v>50</v>
      </c>
      <c r="S175" s="35" t="n">
        <f>2.58</f>
        <v>2.58</v>
      </c>
      <c r="T175" s="32" t="n">
        <f>387579400</f>
        <v>3.875794E8</v>
      </c>
      <c r="U175" s="32" t="str">
        <f>"－"</f>
        <v>－</v>
      </c>
      <c r="V175" s="32" t="n">
        <f>1002741340</f>
        <v>1.00274134E9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577</v>
      </c>
      <c r="C176" s="27" t="s">
        <v>578</v>
      </c>
      <c r="D176" s="27" t="s">
        <v>579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857</f>
        <v>857.0</v>
      </c>
      <c r="L176" s="34" t="s">
        <v>48</v>
      </c>
      <c r="M176" s="33" t="n">
        <f>873</f>
        <v>873.0</v>
      </c>
      <c r="N176" s="34" t="s">
        <v>60</v>
      </c>
      <c r="O176" s="33" t="n">
        <f>735</f>
        <v>735.0</v>
      </c>
      <c r="P176" s="34" t="s">
        <v>50</v>
      </c>
      <c r="Q176" s="33" t="n">
        <f>736.5</f>
        <v>736.5</v>
      </c>
      <c r="R176" s="34" t="s">
        <v>50</v>
      </c>
      <c r="S176" s="35" t="n">
        <f>835.08</f>
        <v>835.08</v>
      </c>
      <c r="T176" s="32" t="n">
        <f>588610</f>
        <v>588610.0</v>
      </c>
      <c r="U176" s="32" t="n">
        <f>20</f>
        <v>20.0</v>
      </c>
      <c r="V176" s="32" t="n">
        <f>483941418</f>
        <v>4.83941418E8</v>
      </c>
      <c r="W176" s="32" t="n">
        <f>16990</f>
        <v>16990.0</v>
      </c>
      <c r="X176" s="36" t="n">
        <f>20</f>
        <v>20.0</v>
      </c>
    </row>
    <row r="177">
      <c r="A177" s="27" t="s">
        <v>42</v>
      </c>
      <c r="B177" s="27" t="s">
        <v>580</v>
      </c>
      <c r="C177" s="27" t="s">
        <v>581</v>
      </c>
      <c r="D177" s="27" t="s">
        <v>582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1.0</v>
      </c>
      <c r="K177" s="33" t="n">
        <f>3725</f>
        <v>3725.0</v>
      </c>
      <c r="L177" s="34" t="s">
        <v>48</v>
      </c>
      <c r="M177" s="33" t="n">
        <f>3860</f>
        <v>3860.0</v>
      </c>
      <c r="N177" s="34" t="s">
        <v>60</v>
      </c>
      <c r="O177" s="33" t="n">
        <f>3310</f>
        <v>3310.0</v>
      </c>
      <c r="P177" s="34" t="s">
        <v>50</v>
      </c>
      <c r="Q177" s="33" t="n">
        <f>3335</f>
        <v>3335.0</v>
      </c>
      <c r="R177" s="34" t="s">
        <v>50</v>
      </c>
      <c r="S177" s="35" t="n">
        <f>3655.59</f>
        <v>3655.59</v>
      </c>
      <c r="T177" s="32" t="n">
        <f>1306</f>
        <v>1306.0</v>
      </c>
      <c r="U177" s="32" t="str">
        <f>"－"</f>
        <v>－</v>
      </c>
      <c r="V177" s="32" t="n">
        <f>4693500</f>
        <v>4693500.0</v>
      </c>
      <c r="W177" s="32" t="str">
        <f>"－"</f>
        <v>－</v>
      </c>
      <c r="X177" s="36" t="n">
        <f>17</f>
        <v>17.0</v>
      </c>
    </row>
    <row r="178">
      <c r="A178" s="27" t="s">
        <v>42</v>
      </c>
      <c r="B178" s="27" t="s">
        <v>583</v>
      </c>
      <c r="C178" s="27" t="s">
        <v>584</v>
      </c>
      <c r="D178" s="27" t="s">
        <v>585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441</f>
        <v>441.0</v>
      </c>
      <c r="L178" s="34" t="s">
        <v>48</v>
      </c>
      <c r="M178" s="33" t="n">
        <f>449</f>
        <v>449.0</v>
      </c>
      <c r="N178" s="34" t="s">
        <v>49</v>
      </c>
      <c r="O178" s="33" t="n">
        <f>402</f>
        <v>402.0</v>
      </c>
      <c r="P178" s="34" t="s">
        <v>68</v>
      </c>
      <c r="Q178" s="33" t="n">
        <f>415</f>
        <v>415.0</v>
      </c>
      <c r="R178" s="34" t="s">
        <v>50</v>
      </c>
      <c r="S178" s="35" t="n">
        <f>423.5</f>
        <v>423.5</v>
      </c>
      <c r="T178" s="32" t="n">
        <f>275500</f>
        <v>275500.0</v>
      </c>
      <c r="U178" s="32" t="n">
        <f>400</f>
        <v>400.0</v>
      </c>
      <c r="V178" s="32" t="n">
        <f>116784930</f>
        <v>1.1678493E8</v>
      </c>
      <c r="W178" s="32" t="n">
        <f>171100</f>
        <v>171100.0</v>
      </c>
      <c r="X178" s="36" t="n">
        <f>20</f>
        <v>20.0</v>
      </c>
    </row>
    <row r="179">
      <c r="A179" s="27" t="s">
        <v>42</v>
      </c>
      <c r="B179" s="27" t="s">
        <v>586</v>
      </c>
      <c r="C179" s="27" t="s">
        <v>587</v>
      </c>
      <c r="D179" s="27" t="s">
        <v>588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4405</f>
        <v>4405.0</v>
      </c>
      <c r="L179" s="34" t="s">
        <v>48</v>
      </c>
      <c r="M179" s="33" t="n">
        <f>4635</f>
        <v>4635.0</v>
      </c>
      <c r="N179" s="34" t="s">
        <v>87</v>
      </c>
      <c r="O179" s="33" t="n">
        <f>4265</f>
        <v>4265.0</v>
      </c>
      <c r="P179" s="34" t="s">
        <v>101</v>
      </c>
      <c r="Q179" s="33" t="n">
        <f>4350</f>
        <v>4350.0</v>
      </c>
      <c r="R179" s="34" t="s">
        <v>50</v>
      </c>
      <c r="S179" s="35" t="n">
        <f>4425.55</f>
        <v>4425.55</v>
      </c>
      <c r="T179" s="32" t="n">
        <f>27170</f>
        <v>27170.0</v>
      </c>
      <c r="U179" s="32" t="n">
        <f>20</f>
        <v>20.0</v>
      </c>
      <c r="V179" s="32" t="n">
        <f>121667490</f>
        <v>1.2166749E8</v>
      </c>
      <c r="W179" s="32" t="n">
        <f>87800</f>
        <v>87800.0</v>
      </c>
      <c r="X179" s="36" t="n">
        <f>20</f>
        <v>20.0</v>
      </c>
    </row>
    <row r="180">
      <c r="A180" s="27" t="s">
        <v>42</v>
      </c>
      <c r="B180" s="27" t="s">
        <v>589</v>
      </c>
      <c r="C180" s="27" t="s">
        <v>590</v>
      </c>
      <c r="D180" s="27" t="s">
        <v>591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2053</f>
        <v>2053.0</v>
      </c>
      <c r="L180" s="34" t="s">
        <v>48</v>
      </c>
      <c r="M180" s="33" t="n">
        <f>2251</f>
        <v>2251.0</v>
      </c>
      <c r="N180" s="34" t="s">
        <v>342</v>
      </c>
      <c r="O180" s="33" t="n">
        <f>2020</f>
        <v>2020.0</v>
      </c>
      <c r="P180" s="34" t="s">
        <v>68</v>
      </c>
      <c r="Q180" s="33" t="n">
        <f>2110.5</f>
        <v>2110.5</v>
      </c>
      <c r="R180" s="34" t="s">
        <v>50</v>
      </c>
      <c r="S180" s="35" t="n">
        <f>2097.08</f>
        <v>2097.08</v>
      </c>
      <c r="T180" s="32" t="n">
        <f>21490</f>
        <v>21490.0</v>
      </c>
      <c r="U180" s="32" t="n">
        <f>40</f>
        <v>40.0</v>
      </c>
      <c r="V180" s="32" t="n">
        <f>45619910</f>
        <v>4.561991E7</v>
      </c>
      <c r="W180" s="32" t="n">
        <f>83920</f>
        <v>83920.0</v>
      </c>
      <c r="X180" s="36" t="n">
        <f>20</f>
        <v>20.0</v>
      </c>
    </row>
    <row r="181">
      <c r="A181" s="27" t="s">
        <v>42</v>
      </c>
      <c r="B181" s="27" t="s">
        <v>592</v>
      </c>
      <c r="C181" s="27" t="s">
        <v>593</v>
      </c>
      <c r="D181" s="27" t="s">
        <v>594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100.0</v>
      </c>
      <c r="K181" s="33" t="n">
        <f>96</f>
        <v>96.0</v>
      </c>
      <c r="L181" s="34" t="s">
        <v>48</v>
      </c>
      <c r="M181" s="33" t="n">
        <f>106</f>
        <v>106.0</v>
      </c>
      <c r="N181" s="34" t="s">
        <v>195</v>
      </c>
      <c r="O181" s="33" t="n">
        <f>93</f>
        <v>93.0</v>
      </c>
      <c r="P181" s="34" t="s">
        <v>73</v>
      </c>
      <c r="Q181" s="33" t="n">
        <f>98.1</f>
        <v>98.1</v>
      </c>
      <c r="R181" s="34" t="s">
        <v>50</v>
      </c>
      <c r="S181" s="35" t="n">
        <f>98.69</f>
        <v>98.69</v>
      </c>
      <c r="T181" s="32" t="n">
        <f>3693700</f>
        <v>3693700.0</v>
      </c>
      <c r="U181" s="32" t="str">
        <f>"－"</f>
        <v>－</v>
      </c>
      <c r="V181" s="32" t="n">
        <f>366850270</f>
        <v>3.6685027E8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595</v>
      </c>
      <c r="C182" s="27" t="s">
        <v>596</v>
      </c>
      <c r="D182" s="27" t="s">
        <v>597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100.0</v>
      </c>
      <c r="K182" s="33" t="n">
        <f>124</f>
        <v>124.0</v>
      </c>
      <c r="L182" s="34" t="s">
        <v>48</v>
      </c>
      <c r="M182" s="33" t="n">
        <f>127</f>
        <v>127.0</v>
      </c>
      <c r="N182" s="34" t="s">
        <v>195</v>
      </c>
      <c r="O182" s="33" t="n">
        <f>118</f>
        <v>118.0</v>
      </c>
      <c r="P182" s="34" t="s">
        <v>242</v>
      </c>
      <c r="Q182" s="33" t="n">
        <f>123.5</f>
        <v>123.5</v>
      </c>
      <c r="R182" s="34" t="s">
        <v>50</v>
      </c>
      <c r="S182" s="35" t="n">
        <f>123.55</f>
        <v>123.55</v>
      </c>
      <c r="T182" s="32" t="n">
        <f>1873400</f>
        <v>1873400.0</v>
      </c>
      <c r="U182" s="32" t="str">
        <f>"－"</f>
        <v>－</v>
      </c>
      <c r="V182" s="32" t="n">
        <f>231449640</f>
        <v>2.3144964E8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598</v>
      </c>
      <c r="C183" s="27" t="s">
        <v>599</v>
      </c>
      <c r="D183" s="27" t="s">
        <v>600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2638</f>
        <v>2638.0</v>
      </c>
      <c r="L183" s="34" t="s">
        <v>48</v>
      </c>
      <c r="M183" s="33" t="n">
        <f>2718</f>
        <v>2718.0</v>
      </c>
      <c r="N183" s="34" t="s">
        <v>365</v>
      </c>
      <c r="O183" s="33" t="n">
        <f>2489</f>
        <v>2489.0</v>
      </c>
      <c r="P183" s="34" t="s">
        <v>73</v>
      </c>
      <c r="Q183" s="33" t="n">
        <f>2570</f>
        <v>2570.0</v>
      </c>
      <c r="R183" s="34" t="s">
        <v>50</v>
      </c>
      <c r="S183" s="35" t="n">
        <f>2615.5</f>
        <v>2615.5</v>
      </c>
      <c r="T183" s="32" t="n">
        <f>41210</f>
        <v>41210.0</v>
      </c>
      <c r="U183" s="32" t="n">
        <f>20</f>
        <v>20.0</v>
      </c>
      <c r="V183" s="32" t="n">
        <f>108181720</f>
        <v>1.0818172E8</v>
      </c>
      <c r="W183" s="32" t="n">
        <f>53290</f>
        <v>53290.0</v>
      </c>
      <c r="X183" s="36" t="n">
        <f>20</f>
        <v>20.0</v>
      </c>
    </row>
    <row r="184">
      <c r="A184" s="27" t="s">
        <v>42</v>
      </c>
      <c r="B184" s="27" t="s">
        <v>601</v>
      </c>
      <c r="C184" s="27" t="s">
        <v>602</v>
      </c>
      <c r="D184" s="27" t="s">
        <v>603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1913</f>
        <v>1913.0</v>
      </c>
      <c r="L184" s="34" t="s">
        <v>48</v>
      </c>
      <c r="M184" s="33" t="n">
        <f>1913</f>
        <v>1913.0</v>
      </c>
      <c r="N184" s="34" t="s">
        <v>48</v>
      </c>
      <c r="O184" s="33" t="n">
        <f>1779</f>
        <v>1779.0</v>
      </c>
      <c r="P184" s="34" t="s">
        <v>50</v>
      </c>
      <c r="Q184" s="33" t="n">
        <f>1779</f>
        <v>1779.0</v>
      </c>
      <c r="R184" s="34" t="s">
        <v>50</v>
      </c>
      <c r="S184" s="35" t="n">
        <f>1864.05</f>
        <v>1864.05</v>
      </c>
      <c r="T184" s="32" t="n">
        <f>22220</f>
        <v>22220.0</v>
      </c>
      <c r="U184" s="32" t="n">
        <f>50</f>
        <v>50.0</v>
      </c>
      <c r="V184" s="32" t="n">
        <f>41182020</f>
        <v>4.118202E7</v>
      </c>
      <c r="W184" s="32" t="n">
        <f>94240</f>
        <v>94240.0</v>
      </c>
      <c r="X184" s="36" t="n">
        <f>20</f>
        <v>20.0</v>
      </c>
    </row>
    <row r="185">
      <c r="A185" s="27" t="s">
        <v>42</v>
      </c>
      <c r="B185" s="27" t="s">
        <v>604</v>
      </c>
      <c r="C185" s="27" t="s">
        <v>605</v>
      </c>
      <c r="D185" s="27" t="s">
        <v>606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10.0</v>
      </c>
      <c r="K185" s="33" t="n">
        <f>228</f>
        <v>228.0</v>
      </c>
      <c r="L185" s="34" t="s">
        <v>48</v>
      </c>
      <c r="M185" s="33" t="n">
        <f>231</f>
        <v>231.0</v>
      </c>
      <c r="N185" s="34" t="s">
        <v>60</v>
      </c>
      <c r="O185" s="33" t="n">
        <f>195.4</f>
        <v>195.4</v>
      </c>
      <c r="P185" s="34" t="s">
        <v>50</v>
      </c>
      <c r="Q185" s="33" t="n">
        <f>195.5</f>
        <v>195.5</v>
      </c>
      <c r="R185" s="34" t="s">
        <v>50</v>
      </c>
      <c r="S185" s="35" t="n">
        <f>221.69</f>
        <v>221.69</v>
      </c>
      <c r="T185" s="32" t="n">
        <f>116565700</f>
        <v>1.165657E8</v>
      </c>
      <c r="U185" s="32" t="n">
        <f>380580</f>
        <v>380580.0</v>
      </c>
      <c r="V185" s="32" t="n">
        <f>25695552343</f>
        <v>2.5695552343E10</v>
      </c>
      <c r="W185" s="32" t="n">
        <f>84937959</f>
        <v>8.4937959E7</v>
      </c>
      <c r="X185" s="36" t="n">
        <f>20</f>
        <v>20.0</v>
      </c>
    </row>
    <row r="186">
      <c r="A186" s="27" t="s">
        <v>42</v>
      </c>
      <c r="B186" s="27" t="s">
        <v>607</v>
      </c>
      <c r="C186" s="27" t="s">
        <v>608</v>
      </c>
      <c r="D186" s="27" t="s">
        <v>609</v>
      </c>
      <c r="E186" s="28" t="s">
        <v>46</v>
      </c>
      <c r="F186" s="29" t="s">
        <v>46</v>
      </c>
      <c r="G186" s="30" t="s">
        <v>46</v>
      </c>
      <c r="H186" s="31"/>
      <c r="I186" s="31" t="s">
        <v>610</v>
      </c>
      <c r="J186" s="32" t="n">
        <v>1.0</v>
      </c>
      <c r="K186" s="33" t="n">
        <f>9250</f>
        <v>9250.0</v>
      </c>
      <c r="L186" s="34" t="s">
        <v>48</v>
      </c>
      <c r="M186" s="33" t="n">
        <f>9710</f>
        <v>9710.0</v>
      </c>
      <c r="N186" s="34" t="s">
        <v>60</v>
      </c>
      <c r="O186" s="33" t="n">
        <f>7800</f>
        <v>7800.0</v>
      </c>
      <c r="P186" s="34" t="s">
        <v>50</v>
      </c>
      <c r="Q186" s="33" t="n">
        <f>7880</f>
        <v>7880.0</v>
      </c>
      <c r="R186" s="34" t="s">
        <v>50</v>
      </c>
      <c r="S186" s="35" t="n">
        <f>9003.45</f>
        <v>9003.45</v>
      </c>
      <c r="T186" s="32" t="n">
        <f>14339</f>
        <v>14339.0</v>
      </c>
      <c r="U186" s="32" t="str">
        <f>"－"</f>
        <v>－</v>
      </c>
      <c r="V186" s="32" t="n">
        <f>129862712</f>
        <v>1.29862712E8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611</v>
      </c>
      <c r="C187" s="27" t="s">
        <v>612</v>
      </c>
      <c r="D187" s="27" t="s">
        <v>613</v>
      </c>
      <c r="E187" s="28" t="s">
        <v>46</v>
      </c>
      <c r="F187" s="29" t="s">
        <v>46</v>
      </c>
      <c r="G187" s="30" t="s">
        <v>46</v>
      </c>
      <c r="H187" s="31"/>
      <c r="I187" s="31" t="s">
        <v>610</v>
      </c>
      <c r="J187" s="32" t="n">
        <v>1.0</v>
      </c>
      <c r="K187" s="33" t="n">
        <f>5880</f>
        <v>5880.0</v>
      </c>
      <c r="L187" s="34" t="s">
        <v>48</v>
      </c>
      <c r="M187" s="33" t="n">
        <f>6349</f>
        <v>6349.0</v>
      </c>
      <c r="N187" s="34" t="s">
        <v>50</v>
      </c>
      <c r="O187" s="33" t="n">
        <f>5810</f>
        <v>5810.0</v>
      </c>
      <c r="P187" s="34" t="s">
        <v>97</v>
      </c>
      <c r="Q187" s="33" t="n">
        <f>6314</f>
        <v>6314.0</v>
      </c>
      <c r="R187" s="34" t="s">
        <v>50</v>
      </c>
      <c r="S187" s="35" t="n">
        <f>6007.25</f>
        <v>6007.25</v>
      </c>
      <c r="T187" s="32" t="n">
        <f>4643</f>
        <v>4643.0</v>
      </c>
      <c r="U187" s="32" t="n">
        <f>7</f>
        <v>7.0</v>
      </c>
      <c r="V187" s="32" t="n">
        <f>27923374</f>
        <v>2.7923374E7</v>
      </c>
      <c r="W187" s="32" t="n">
        <f>41990</f>
        <v>41990.0</v>
      </c>
      <c r="X187" s="36" t="n">
        <f>20</f>
        <v>20.0</v>
      </c>
    </row>
    <row r="188">
      <c r="A188" s="27" t="s">
        <v>42</v>
      </c>
      <c r="B188" s="27" t="s">
        <v>614</v>
      </c>
      <c r="C188" s="27" t="s">
        <v>615</v>
      </c>
      <c r="D188" s="27" t="s">
        <v>616</v>
      </c>
      <c r="E188" s="28" t="s">
        <v>46</v>
      </c>
      <c r="F188" s="29" t="s">
        <v>46</v>
      </c>
      <c r="G188" s="30" t="s">
        <v>46</v>
      </c>
      <c r="H188" s="31"/>
      <c r="I188" s="31" t="s">
        <v>610</v>
      </c>
      <c r="J188" s="32" t="n">
        <v>1.0</v>
      </c>
      <c r="K188" s="33" t="n">
        <f>16410</f>
        <v>16410.0</v>
      </c>
      <c r="L188" s="34" t="s">
        <v>48</v>
      </c>
      <c r="M188" s="33" t="n">
        <f>17080</f>
        <v>17080.0</v>
      </c>
      <c r="N188" s="34" t="s">
        <v>195</v>
      </c>
      <c r="O188" s="33" t="n">
        <f>14900</f>
        <v>14900.0</v>
      </c>
      <c r="P188" s="34" t="s">
        <v>50</v>
      </c>
      <c r="Q188" s="33" t="n">
        <f>14900</f>
        <v>14900.0</v>
      </c>
      <c r="R188" s="34" t="s">
        <v>50</v>
      </c>
      <c r="S188" s="35" t="n">
        <f>16038.42</f>
        <v>16038.42</v>
      </c>
      <c r="T188" s="32" t="n">
        <f>1110</f>
        <v>1110.0</v>
      </c>
      <c r="U188" s="32" t="n">
        <f>4</f>
        <v>4.0</v>
      </c>
      <c r="V188" s="32" t="n">
        <f>17587365</f>
        <v>1.7587365E7</v>
      </c>
      <c r="W188" s="32" t="n">
        <f>63240</f>
        <v>63240.0</v>
      </c>
      <c r="X188" s="36" t="n">
        <f>19</f>
        <v>19.0</v>
      </c>
    </row>
    <row r="189">
      <c r="A189" s="27" t="s">
        <v>42</v>
      </c>
      <c r="B189" s="27" t="s">
        <v>617</v>
      </c>
      <c r="C189" s="27" t="s">
        <v>618</v>
      </c>
      <c r="D189" s="27" t="s">
        <v>619</v>
      </c>
      <c r="E189" s="28" t="s">
        <v>46</v>
      </c>
      <c r="F189" s="29" t="s">
        <v>46</v>
      </c>
      <c r="G189" s="30" t="s">
        <v>46</v>
      </c>
      <c r="H189" s="31"/>
      <c r="I189" s="31" t="s">
        <v>610</v>
      </c>
      <c r="J189" s="32" t="n">
        <v>1.0</v>
      </c>
      <c r="K189" s="33" t="n">
        <f>6320</f>
        <v>6320.0</v>
      </c>
      <c r="L189" s="34" t="s">
        <v>48</v>
      </c>
      <c r="M189" s="33" t="n">
        <f>6430</f>
        <v>6430.0</v>
      </c>
      <c r="N189" s="34" t="s">
        <v>540</v>
      </c>
      <c r="O189" s="33" t="n">
        <f>6170</f>
        <v>6170.0</v>
      </c>
      <c r="P189" s="34" t="s">
        <v>191</v>
      </c>
      <c r="Q189" s="33" t="n">
        <f>6403</f>
        <v>6403.0</v>
      </c>
      <c r="R189" s="34" t="s">
        <v>50</v>
      </c>
      <c r="S189" s="35" t="n">
        <f>6297.05</f>
        <v>6297.05</v>
      </c>
      <c r="T189" s="32" t="n">
        <f>13428</f>
        <v>13428.0</v>
      </c>
      <c r="U189" s="32" t="n">
        <f>10</f>
        <v>10.0</v>
      </c>
      <c r="V189" s="32" t="n">
        <f>84673561</f>
        <v>8.4673561E7</v>
      </c>
      <c r="W189" s="32" t="n">
        <f>62660</f>
        <v>62660.0</v>
      </c>
      <c r="X189" s="36" t="n">
        <f>20</f>
        <v>20.0</v>
      </c>
    </row>
    <row r="190">
      <c r="A190" s="27" t="s">
        <v>42</v>
      </c>
      <c r="B190" s="27" t="s">
        <v>620</v>
      </c>
      <c r="C190" s="27" t="s">
        <v>621</v>
      </c>
      <c r="D190" s="27" t="s">
        <v>622</v>
      </c>
      <c r="E190" s="28" t="s">
        <v>46</v>
      </c>
      <c r="F190" s="29" t="s">
        <v>46</v>
      </c>
      <c r="G190" s="30" t="s">
        <v>46</v>
      </c>
      <c r="H190" s="31" t="s">
        <v>352</v>
      </c>
      <c r="I190" s="31" t="s">
        <v>610</v>
      </c>
      <c r="J190" s="32" t="n">
        <v>1.0</v>
      </c>
      <c r="K190" s="33" t="n">
        <f>125</f>
        <v>125.0</v>
      </c>
      <c r="L190" s="34" t="s">
        <v>48</v>
      </c>
      <c r="M190" s="33" t="n">
        <f>128</f>
        <v>128.0</v>
      </c>
      <c r="N190" s="34" t="s">
        <v>60</v>
      </c>
      <c r="O190" s="33" t="n">
        <f>97</f>
        <v>97.0</v>
      </c>
      <c r="P190" s="34" t="s">
        <v>49</v>
      </c>
      <c r="Q190" s="33" t="n">
        <f>126</f>
        <v>126.0</v>
      </c>
      <c r="R190" s="34" t="s">
        <v>50</v>
      </c>
      <c r="S190" s="35" t="n">
        <f>115.5</f>
        <v>115.5</v>
      </c>
      <c r="T190" s="32" t="n">
        <f>14658034</f>
        <v>1.4658034E7</v>
      </c>
      <c r="U190" s="32" t="n">
        <f>3</f>
        <v>3.0</v>
      </c>
      <c r="V190" s="32" t="n">
        <f>1662646932</f>
        <v>1.662646932E9</v>
      </c>
      <c r="W190" s="32" t="n">
        <f>342</f>
        <v>342.0</v>
      </c>
      <c r="X190" s="36" t="n">
        <f>20</f>
        <v>20.0</v>
      </c>
    </row>
    <row r="191">
      <c r="A191" s="27" t="s">
        <v>42</v>
      </c>
      <c r="B191" s="27" t="s">
        <v>623</v>
      </c>
      <c r="C191" s="27" t="s">
        <v>624</v>
      </c>
      <c r="D191" s="27" t="s">
        <v>625</v>
      </c>
      <c r="E191" s="28" t="s">
        <v>46</v>
      </c>
      <c r="F191" s="29" t="s">
        <v>46</v>
      </c>
      <c r="G191" s="30" t="s">
        <v>46</v>
      </c>
      <c r="H191" s="31"/>
      <c r="I191" s="31" t="s">
        <v>610</v>
      </c>
      <c r="J191" s="32" t="n">
        <v>1.0</v>
      </c>
      <c r="K191" s="33" t="n">
        <f>18430</f>
        <v>18430.0</v>
      </c>
      <c r="L191" s="34" t="s">
        <v>48</v>
      </c>
      <c r="M191" s="33" t="n">
        <f>20360</f>
        <v>20360.0</v>
      </c>
      <c r="N191" s="34" t="s">
        <v>101</v>
      </c>
      <c r="O191" s="33" t="n">
        <f>18300</f>
        <v>18300.0</v>
      </c>
      <c r="P191" s="34" t="s">
        <v>80</v>
      </c>
      <c r="Q191" s="33" t="n">
        <f>18370</f>
        <v>18370.0</v>
      </c>
      <c r="R191" s="34" t="s">
        <v>50</v>
      </c>
      <c r="S191" s="35" t="n">
        <f>19267.25</f>
        <v>19267.25</v>
      </c>
      <c r="T191" s="32" t="n">
        <f>35994</f>
        <v>35994.0</v>
      </c>
      <c r="U191" s="32" t="n">
        <f>10</f>
        <v>10.0</v>
      </c>
      <c r="V191" s="32" t="n">
        <f>698995170</f>
        <v>6.9899517E8</v>
      </c>
      <c r="W191" s="32" t="n">
        <f>194580</f>
        <v>194580.0</v>
      </c>
      <c r="X191" s="36" t="n">
        <f>20</f>
        <v>20.0</v>
      </c>
    </row>
    <row r="192">
      <c r="A192" s="27" t="s">
        <v>42</v>
      </c>
      <c r="B192" s="27" t="s">
        <v>626</v>
      </c>
      <c r="C192" s="27" t="s">
        <v>627</v>
      </c>
      <c r="D192" s="27" t="s">
        <v>628</v>
      </c>
      <c r="E192" s="28" t="s">
        <v>46</v>
      </c>
      <c r="F192" s="29" t="s">
        <v>46</v>
      </c>
      <c r="G192" s="30" t="s">
        <v>46</v>
      </c>
      <c r="H192" s="31"/>
      <c r="I192" s="31" t="s">
        <v>610</v>
      </c>
      <c r="J192" s="32" t="n">
        <v>1.0</v>
      </c>
      <c r="K192" s="33" t="n">
        <f>5380</f>
        <v>5380.0</v>
      </c>
      <c r="L192" s="34" t="s">
        <v>48</v>
      </c>
      <c r="M192" s="33" t="n">
        <f>5410</f>
        <v>5410.0</v>
      </c>
      <c r="N192" s="34" t="s">
        <v>48</v>
      </c>
      <c r="O192" s="33" t="n">
        <f>5070</f>
        <v>5070.0</v>
      </c>
      <c r="P192" s="34" t="s">
        <v>101</v>
      </c>
      <c r="Q192" s="33" t="n">
        <f>5314</f>
        <v>5314.0</v>
      </c>
      <c r="R192" s="34" t="s">
        <v>50</v>
      </c>
      <c r="S192" s="35" t="n">
        <f>5234.2</f>
        <v>5234.2</v>
      </c>
      <c r="T192" s="32" t="n">
        <f>14653</f>
        <v>14653.0</v>
      </c>
      <c r="U192" s="32" t="n">
        <f>6</f>
        <v>6.0</v>
      </c>
      <c r="V192" s="32" t="n">
        <f>76850250</f>
        <v>7.685025E7</v>
      </c>
      <c r="W192" s="32" t="n">
        <f>31230</f>
        <v>31230.0</v>
      </c>
      <c r="X192" s="36" t="n">
        <f>20</f>
        <v>20.0</v>
      </c>
    </row>
    <row r="193">
      <c r="A193" s="27" t="s">
        <v>42</v>
      </c>
      <c r="B193" s="27" t="s">
        <v>629</v>
      </c>
      <c r="C193" s="27" t="s">
        <v>630</v>
      </c>
      <c r="D193" s="27" t="s">
        <v>631</v>
      </c>
      <c r="E193" s="28" t="s">
        <v>46</v>
      </c>
      <c r="F193" s="29" t="s">
        <v>46</v>
      </c>
      <c r="G193" s="30" t="s">
        <v>46</v>
      </c>
      <c r="H193" s="31"/>
      <c r="I193" s="31" t="s">
        <v>610</v>
      </c>
      <c r="J193" s="32" t="n">
        <v>1.0</v>
      </c>
      <c r="K193" s="33" t="n">
        <f>826</f>
        <v>826.0</v>
      </c>
      <c r="L193" s="34" t="s">
        <v>48</v>
      </c>
      <c r="M193" s="33" t="n">
        <f>850</f>
        <v>850.0</v>
      </c>
      <c r="N193" s="34" t="s">
        <v>60</v>
      </c>
      <c r="O193" s="33" t="n">
        <f>638</f>
        <v>638.0</v>
      </c>
      <c r="P193" s="34" t="s">
        <v>50</v>
      </c>
      <c r="Q193" s="33" t="n">
        <f>641</f>
        <v>641.0</v>
      </c>
      <c r="R193" s="34" t="s">
        <v>50</v>
      </c>
      <c r="S193" s="35" t="n">
        <f>792.25</f>
        <v>792.25</v>
      </c>
      <c r="T193" s="32" t="n">
        <f>161649336</f>
        <v>1.61649336E8</v>
      </c>
      <c r="U193" s="32" t="n">
        <f>300000</f>
        <v>300000.0</v>
      </c>
      <c r="V193" s="32" t="n">
        <f>127122411698</f>
        <v>1.27122411698E11</v>
      </c>
      <c r="W193" s="32" t="n">
        <f>260100000</f>
        <v>2.601E8</v>
      </c>
      <c r="X193" s="36" t="n">
        <f>20</f>
        <v>20.0</v>
      </c>
    </row>
    <row r="194">
      <c r="A194" s="27" t="s">
        <v>42</v>
      </c>
      <c r="B194" s="27" t="s">
        <v>632</v>
      </c>
      <c r="C194" s="27" t="s">
        <v>633</v>
      </c>
      <c r="D194" s="27" t="s">
        <v>634</v>
      </c>
      <c r="E194" s="28" t="s">
        <v>46</v>
      </c>
      <c r="F194" s="29" t="s">
        <v>46</v>
      </c>
      <c r="G194" s="30" t="s">
        <v>46</v>
      </c>
      <c r="H194" s="31"/>
      <c r="I194" s="31" t="s">
        <v>610</v>
      </c>
      <c r="J194" s="32" t="n">
        <v>1.0</v>
      </c>
      <c r="K194" s="33" t="n">
        <f>2696</f>
        <v>2696.0</v>
      </c>
      <c r="L194" s="34" t="s">
        <v>48</v>
      </c>
      <c r="M194" s="33" t="n">
        <f>2940</f>
        <v>2940.0</v>
      </c>
      <c r="N194" s="34" t="s">
        <v>50</v>
      </c>
      <c r="O194" s="33" t="n">
        <f>2635</f>
        <v>2635.0</v>
      </c>
      <c r="P194" s="34" t="s">
        <v>342</v>
      </c>
      <c r="Q194" s="33" t="n">
        <f>2938</f>
        <v>2938.0</v>
      </c>
      <c r="R194" s="34" t="s">
        <v>50</v>
      </c>
      <c r="S194" s="35" t="n">
        <f>2728.8</f>
        <v>2728.8</v>
      </c>
      <c r="T194" s="32" t="n">
        <f>1399308</f>
        <v>1399308.0</v>
      </c>
      <c r="U194" s="32" t="n">
        <f>215</f>
        <v>215.0</v>
      </c>
      <c r="V194" s="32" t="n">
        <f>3842739691</f>
        <v>3.842739691E9</v>
      </c>
      <c r="W194" s="32" t="n">
        <f>588168</f>
        <v>588168.0</v>
      </c>
      <c r="X194" s="36" t="n">
        <f>20</f>
        <v>20.0</v>
      </c>
    </row>
    <row r="195">
      <c r="A195" s="27" t="s">
        <v>42</v>
      </c>
      <c r="B195" s="27" t="s">
        <v>635</v>
      </c>
      <c r="C195" s="27" t="s">
        <v>636</v>
      </c>
      <c r="D195" s="27" t="s">
        <v>637</v>
      </c>
      <c r="E195" s="28" t="s">
        <v>46</v>
      </c>
      <c r="F195" s="29" t="s">
        <v>46</v>
      </c>
      <c r="G195" s="30" t="s">
        <v>46</v>
      </c>
      <c r="H195" s="31"/>
      <c r="I195" s="31" t="s">
        <v>610</v>
      </c>
      <c r="J195" s="32" t="n">
        <v>1.0</v>
      </c>
      <c r="K195" s="33" t="n">
        <f>32900</f>
        <v>32900.0</v>
      </c>
      <c r="L195" s="34" t="s">
        <v>48</v>
      </c>
      <c r="M195" s="33" t="n">
        <f>33900</f>
        <v>33900.0</v>
      </c>
      <c r="N195" s="34" t="s">
        <v>242</v>
      </c>
      <c r="O195" s="33" t="n">
        <f>31210</f>
        <v>31210.0</v>
      </c>
      <c r="P195" s="34" t="s">
        <v>50</v>
      </c>
      <c r="Q195" s="33" t="n">
        <f>31370</f>
        <v>31370.0</v>
      </c>
      <c r="R195" s="34" t="s">
        <v>50</v>
      </c>
      <c r="S195" s="35" t="n">
        <f>33050</f>
        <v>33050.0</v>
      </c>
      <c r="T195" s="32" t="n">
        <f>110298</f>
        <v>110298.0</v>
      </c>
      <c r="U195" s="32" t="n">
        <f>9</f>
        <v>9.0</v>
      </c>
      <c r="V195" s="32" t="n">
        <f>3622685660</f>
        <v>3.62268566E9</v>
      </c>
      <c r="W195" s="32" t="n">
        <f>296950</f>
        <v>296950.0</v>
      </c>
      <c r="X195" s="36" t="n">
        <f>20</f>
        <v>20.0</v>
      </c>
    </row>
    <row r="196">
      <c r="A196" s="27" t="s">
        <v>42</v>
      </c>
      <c r="B196" s="27" t="s">
        <v>638</v>
      </c>
      <c r="C196" s="27" t="s">
        <v>639</v>
      </c>
      <c r="D196" s="27" t="s">
        <v>640</v>
      </c>
      <c r="E196" s="28" t="s">
        <v>46</v>
      </c>
      <c r="F196" s="29" t="s">
        <v>46</v>
      </c>
      <c r="G196" s="30" t="s">
        <v>46</v>
      </c>
      <c r="H196" s="31"/>
      <c r="I196" s="31" t="s">
        <v>610</v>
      </c>
      <c r="J196" s="32" t="n">
        <v>1.0</v>
      </c>
      <c r="K196" s="33" t="n">
        <f>2830</f>
        <v>2830.0</v>
      </c>
      <c r="L196" s="34" t="s">
        <v>48</v>
      </c>
      <c r="M196" s="33" t="n">
        <f>2902</f>
        <v>2902.0</v>
      </c>
      <c r="N196" s="34" t="s">
        <v>50</v>
      </c>
      <c r="O196" s="33" t="n">
        <f>2800</f>
        <v>2800.0</v>
      </c>
      <c r="P196" s="34" t="s">
        <v>242</v>
      </c>
      <c r="Q196" s="33" t="n">
        <f>2900</f>
        <v>2900.0</v>
      </c>
      <c r="R196" s="34" t="s">
        <v>50</v>
      </c>
      <c r="S196" s="35" t="n">
        <f>2830.05</f>
        <v>2830.05</v>
      </c>
      <c r="T196" s="32" t="n">
        <f>430519</f>
        <v>430519.0</v>
      </c>
      <c r="U196" s="32" t="n">
        <f>9</f>
        <v>9.0</v>
      </c>
      <c r="V196" s="32" t="n">
        <f>1222539440</f>
        <v>1.22253944E9</v>
      </c>
      <c r="W196" s="32" t="n">
        <f>25467</f>
        <v>25467.0</v>
      </c>
      <c r="X196" s="36" t="n">
        <f>20</f>
        <v>20.0</v>
      </c>
    </row>
    <row r="197">
      <c r="A197" s="27" t="s">
        <v>42</v>
      </c>
      <c r="B197" s="27" t="s">
        <v>641</v>
      </c>
      <c r="C197" s="27" t="s">
        <v>642</v>
      </c>
      <c r="D197" s="27" t="s">
        <v>643</v>
      </c>
      <c r="E197" s="28" t="s">
        <v>46</v>
      </c>
      <c r="F197" s="29" t="s">
        <v>46</v>
      </c>
      <c r="G197" s="30" t="s">
        <v>46</v>
      </c>
      <c r="H197" s="31"/>
      <c r="I197" s="31" t="s">
        <v>610</v>
      </c>
      <c r="J197" s="32" t="n">
        <v>1.0</v>
      </c>
      <c r="K197" s="33" t="n">
        <f>12010</f>
        <v>12010.0</v>
      </c>
      <c r="L197" s="34" t="s">
        <v>48</v>
      </c>
      <c r="M197" s="33" t="n">
        <f>12840</f>
        <v>12840.0</v>
      </c>
      <c r="N197" s="34" t="s">
        <v>133</v>
      </c>
      <c r="O197" s="33" t="n">
        <f>11455</f>
        <v>11455.0</v>
      </c>
      <c r="P197" s="34" t="s">
        <v>50</v>
      </c>
      <c r="Q197" s="33" t="n">
        <f>11550</f>
        <v>11550.0</v>
      </c>
      <c r="R197" s="34" t="s">
        <v>50</v>
      </c>
      <c r="S197" s="35" t="n">
        <f>12191.5</f>
        <v>12191.5</v>
      </c>
      <c r="T197" s="32" t="n">
        <f>48620</f>
        <v>48620.0</v>
      </c>
      <c r="U197" s="32" t="n">
        <f>3615</f>
        <v>3615.0</v>
      </c>
      <c r="V197" s="32" t="n">
        <f>598974600</f>
        <v>5.989746E8</v>
      </c>
      <c r="W197" s="32" t="n">
        <f>45362530</f>
        <v>4.536253E7</v>
      </c>
      <c r="X197" s="36" t="n">
        <f>20</f>
        <v>20.0</v>
      </c>
    </row>
    <row r="198">
      <c r="A198" s="27" t="s">
        <v>42</v>
      </c>
      <c r="B198" s="27" t="s">
        <v>644</v>
      </c>
      <c r="C198" s="27" t="s">
        <v>645</v>
      </c>
      <c r="D198" s="27" t="s">
        <v>646</v>
      </c>
      <c r="E198" s="28" t="s">
        <v>46</v>
      </c>
      <c r="F198" s="29" t="s">
        <v>46</v>
      </c>
      <c r="G198" s="30" t="s">
        <v>46</v>
      </c>
      <c r="H198" s="31"/>
      <c r="I198" s="31" t="s">
        <v>610</v>
      </c>
      <c r="J198" s="32" t="n">
        <v>1.0</v>
      </c>
      <c r="K198" s="33" t="n">
        <f>13960</f>
        <v>13960.0</v>
      </c>
      <c r="L198" s="34" t="s">
        <v>48</v>
      </c>
      <c r="M198" s="33" t="n">
        <f>14050</f>
        <v>14050.0</v>
      </c>
      <c r="N198" s="34" t="s">
        <v>133</v>
      </c>
      <c r="O198" s="33" t="n">
        <f>13590</f>
        <v>13590.0</v>
      </c>
      <c r="P198" s="34" t="s">
        <v>229</v>
      </c>
      <c r="Q198" s="33" t="n">
        <f>13600</f>
        <v>13600.0</v>
      </c>
      <c r="R198" s="34" t="s">
        <v>69</v>
      </c>
      <c r="S198" s="35" t="n">
        <f>13794</f>
        <v>13794.0</v>
      </c>
      <c r="T198" s="32" t="n">
        <f>452</f>
        <v>452.0</v>
      </c>
      <c r="U198" s="32" t="n">
        <f>4</f>
        <v>4.0</v>
      </c>
      <c r="V198" s="32" t="n">
        <f>6240990</f>
        <v>6240990.0</v>
      </c>
      <c r="W198" s="32" t="n">
        <f>55440</f>
        <v>55440.0</v>
      </c>
      <c r="X198" s="36" t="n">
        <f>15</f>
        <v>15.0</v>
      </c>
    </row>
    <row r="199">
      <c r="A199" s="27" t="s">
        <v>42</v>
      </c>
      <c r="B199" s="27" t="s">
        <v>647</v>
      </c>
      <c r="C199" s="27" t="s">
        <v>648</v>
      </c>
      <c r="D199" s="27" t="s">
        <v>649</v>
      </c>
      <c r="E199" s="28" t="s">
        <v>46</v>
      </c>
      <c r="F199" s="29" t="s">
        <v>46</v>
      </c>
      <c r="G199" s="30" t="s">
        <v>46</v>
      </c>
      <c r="H199" s="31"/>
      <c r="I199" s="31" t="s">
        <v>610</v>
      </c>
      <c r="J199" s="32" t="n">
        <v>1.0</v>
      </c>
      <c r="K199" s="33" t="n">
        <f>19950</f>
        <v>19950.0</v>
      </c>
      <c r="L199" s="34" t="s">
        <v>48</v>
      </c>
      <c r="M199" s="33" t="n">
        <f>20700</f>
        <v>20700.0</v>
      </c>
      <c r="N199" s="34" t="s">
        <v>133</v>
      </c>
      <c r="O199" s="33" t="n">
        <f>19740</f>
        <v>19740.0</v>
      </c>
      <c r="P199" s="34" t="s">
        <v>50</v>
      </c>
      <c r="Q199" s="33" t="n">
        <f>19740</f>
        <v>19740.0</v>
      </c>
      <c r="R199" s="34" t="s">
        <v>50</v>
      </c>
      <c r="S199" s="35" t="n">
        <f>20258.25</f>
        <v>20258.25</v>
      </c>
      <c r="T199" s="32" t="n">
        <f>18885</f>
        <v>18885.0</v>
      </c>
      <c r="U199" s="32" t="n">
        <f>3</f>
        <v>3.0</v>
      </c>
      <c r="V199" s="32" t="n">
        <f>381279415</f>
        <v>3.81279415E8</v>
      </c>
      <c r="W199" s="32" t="n">
        <f>60830</f>
        <v>60830.0</v>
      </c>
      <c r="X199" s="36" t="n">
        <f>20</f>
        <v>20.0</v>
      </c>
    </row>
    <row r="200">
      <c r="A200" s="27" t="s">
        <v>42</v>
      </c>
      <c r="B200" s="27" t="s">
        <v>650</v>
      </c>
      <c r="C200" s="27" t="s">
        <v>651</v>
      </c>
      <c r="D200" s="27" t="s">
        <v>652</v>
      </c>
      <c r="E200" s="28" t="s">
        <v>46</v>
      </c>
      <c r="F200" s="29" t="s">
        <v>46</v>
      </c>
      <c r="G200" s="30" t="s">
        <v>46</v>
      </c>
      <c r="H200" s="31"/>
      <c r="I200" s="31" t="s">
        <v>610</v>
      </c>
      <c r="J200" s="32" t="n">
        <v>1.0</v>
      </c>
      <c r="K200" s="33" t="n">
        <f>14740</f>
        <v>14740.0</v>
      </c>
      <c r="L200" s="34" t="s">
        <v>48</v>
      </c>
      <c r="M200" s="33" t="n">
        <f>14740</f>
        <v>14740.0</v>
      </c>
      <c r="N200" s="34" t="s">
        <v>48</v>
      </c>
      <c r="O200" s="33" t="n">
        <f>14110</f>
        <v>14110.0</v>
      </c>
      <c r="P200" s="34" t="s">
        <v>61</v>
      </c>
      <c r="Q200" s="33" t="n">
        <f>14200</f>
        <v>14200.0</v>
      </c>
      <c r="R200" s="34" t="s">
        <v>69</v>
      </c>
      <c r="S200" s="35" t="n">
        <f>14307.27</f>
        <v>14307.27</v>
      </c>
      <c r="T200" s="32" t="n">
        <f>321</f>
        <v>321.0</v>
      </c>
      <c r="U200" s="32" t="n">
        <f>2</f>
        <v>2.0</v>
      </c>
      <c r="V200" s="32" t="n">
        <f>4617500</f>
        <v>4617500.0</v>
      </c>
      <c r="W200" s="32" t="n">
        <f>28630</f>
        <v>28630.0</v>
      </c>
      <c r="X200" s="36" t="n">
        <f>11</f>
        <v>11.0</v>
      </c>
    </row>
    <row r="201">
      <c r="A201" s="27" t="s">
        <v>42</v>
      </c>
      <c r="B201" s="27" t="s">
        <v>653</v>
      </c>
      <c r="C201" s="27" t="s">
        <v>654</v>
      </c>
      <c r="D201" s="27" t="s">
        <v>655</v>
      </c>
      <c r="E201" s="28" t="s">
        <v>46</v>
      </c>
      <c r="F201" s="29" t="s">
        <v>46</v>
      </c>
      <c r="G201" s="30" t="s">
        <v>46</v>
      </c>
      <c r="H201" s="31"/>
      <c r="I201" s="31" t="s">
        <v>610</v>
      </c>
      <c r="J201" s="32" t="n">
        <v>1.0</v>
      </c>
      <c r="K201" s="33" t="n">
        <f>18500</f>
        <v>18500.0</v>
      </c>
      <c r="L201" s="34" t="s">
        <v>48</v>
      </c>
      <c r="M201" s="33" t="n">
        <f>20050</f>
        <v>20050.0</v>
      </c>
      <c r="N201" s="34" t="s">
        <v>229</v>
      </c>
      <c r="O201" s="33" t="n">
        <f>16755</f>
        <v>16755.0</v>
      </c>
      <c r="P201" s="34" t="s">
        <v>69</v>
      </c>
      <c r="Q201" s="33" t="n">
        <f>17100</f>
        <v>17100.0</v>
      </c>
      <c r="R201" s="34" t="s">
        <v>50</v>
      </c>
      <c r="S201" s="35" t="n">
        <f>18949.5</f>
        <v>18949.5</v>
      </c>
      <c r="T201" s="32" t="n">
        <f>114445</f>
        <v>114445.0</v>
      </c>
      <c r="U201" s="32" t="n">
        <f>33</f>
        <v>33.0</v>
      </c>
      <c r="V201" s="32" t="n">
        <f>2157505805</f>
        <v>2.157505805E9</v>
      </c>
      <c r="W201" s="32" t="n">
        <f>639200</f>
        <v>639200.0</v>
      </c>
      <c r="X201" s="36" t="n">
        <f>20</f>
        <v>20.0</v>
      </c>
    </row>
    <row r="202">
      <c r="A202" s="27" t="s">
        <v>42</v>
      </c>
      <c r="B202" s="27" t="s">
        <v>656</v>
      </c>
      <c r="C202" s="27" t="s">
        <v>657</v>
      </c>
      <c r="D202" s="27" t="s">
        <v>658</v>
      </c>
      <c r="E202" s="28" t="s">
        <v>46</v>
      </c>
      <c r="F202" s="29" t="s">
        <v>46</v>
      </c>
      <c r="G202" s="30" t="s">
        <v>46</v>
      </c>
      <c r="H202" s="31"/>
      <c r="I202" s="31" t="s">
        <v>610</v>
      </c>
      <c r="J202" s="32" t="n">
        <v>1.0</v>
      </c>
      <c r="K202" s="33" t="n">
        <f>4090</f>
        <v>4090.0</v>
      </c>
      <c r="L202" s="34" t="s">
        <v>48</v>
      </c>
      <c r="M202" s="33" t="n">
        <f>4305</f>
        <v>4305.0</v>
      </c>
      <c r="N202" s="34" t="s">
        <v>69</v>
      </c>
      <c r="O202" s="33" t="n">
        <f>3830</f>
        <v>3830.0</v>
      </c>
      <c r="P202" s="34" t="s">
        <v>229</v>
      </c>
      <c r="Q202" s="33" t="n">
        <f>4100</f>
        <v>4100.0</v>
      </c>
      <c r="R202" s="34" t="s">
        <v>50</v>
      </c>
      <c r="S202" s="35" t="n">
        <f>3958.5</f>
        <v>3958.5</v>
      </c>
      <c r="T202" s="32" t="n">
        <f>16451</f>
        <v>16451.0</v>
      </c>
      <c r="U202" s="32" t="n">
        <f>4</f>
        <v>4.0</v>
      </c>
      <c r="V202" s="32" t="n">
        <f>65469170</f>
        <v>6.546917E7</v>
      </c>
      <c r="W202" s="32" t="n">
        <f>15635</f>
        <v>15635.0</v>
      </c>
      <c r="X202" s="36" t="n">
        <f>20</f>
        <v>20.0</v>
      </c>
    </row>
    <row r="203">
      <c r="A203" s="27" t="s">
        <v>42</v>
      </c>
      <c r="B203" s="27" t="s">
        <v>659</v>
      </c>
      <c r="C203" s="27" t="s">
        <v>660</v>
      </c>
      <c r="D203" s="27" t="s">
        <v>661</v>
      </c>
      <c r="E203" s="28" t="s">
        <v>46</v>
      </c>
      <c r="F203" s="29" t="s">
        <v>46</v>
      </c>
      <c r="G203" s="30" t="s">
        <v>46</v>
      </c>
      <c r="H203" s="31"/>
      <c r="I203" s="31" t="s">
        <v>610</v>
      </c>
      <c r="J203" s="32" t="n">
        <v>1.0</v>
      </c>
      <c r="K203" s="33" t="n">
        <f>11910</f>
        <v>11910.0</v>
      </c>
      <c r="L203" s="34" t="s">
        <v>60</v>
      </c>
      <c r="M203" s="33" t="n">
        <f>11910</f>
        <v>11910.0</v>
      </c>
      <c r="N203" s="34" t="s">
        <v>60</v>
      </c>
      <c r="O203" s="33" t="n">
        <f>11010</f>
        <v>11010.0</v>
      </c>
      <c r="P203" s="34" t="s">
        <v>50</v>
      </c>
      <c r="Q203" s="33" t="n">
        <f>11010</f>
        <v>11010.0</v>
      </c>
      <c r="R203" s="34" t="s">
        <v>50</v>
      </c>
      <c r="S203" s="35" t="n">
        <f>11603.57</f>
        <v>11603.57</v>
      </c>
      <c r="T203" s="32" t="n">
        <f>413</f>
        <v>413.0</v>
      </c>
      <c r="U203" s="32" t="n">
        <f>1</f>
        <v>1.0</v>
      </c>
      <c r="V203" s="32" t="n">
        <f>4812460</f>
        <v>4812460.0</v>
      </c>
      <c r="W203" s="32" t="n">
        <f>11690</f>
        <v>11690.0</v>
      </c>
      <c r="X203" s="36" t="n">
        <f>14</f>
        <v>14.0</v>
      </c>
    </row>
    <row r="204">
      <c r="A204" s="27" t="s">
        <v>42</v>
      </c>
      <c r="B204" s="27" t="s">
        <v>662</v>
      </c>
      <c r="C204" s="27" t="s">
        <v>663</v>
      </c>
      <c r="D204" s="27" t="s">
        <v>664</v>
      </c>
      <c r="E204" s="28" t="s">
        <v>46</v>
      </c>
      <c r="F204" s="29" t="s">
        <v>46</v>
      </c>
      <c r="G204" s="30" t="s">
        <v>46</v>
      </c>
      <c r="H204" s="31"/>
      <c r="I204" s="31" t="s">
        <v>610</v>
      </c>
      <c r="J204" s="32" t="n">
        <v>1.0</v>
      </c>
      <c r="K204" s="33" t="n">
        <f>13020</f>
        <v>13020.0</v>
      </c>
      <c r="L204" s="34" t="s">
        <v>80</v>
      </c>
      <c r="M204" s="33" t="n">
        <f>13020</f>
        <v>13020.0</v>
      </c>
      <c r="N204" s="34" t="s">
        <v>80</v>
      </c>
      <c r="O204" s="33" t="n">
        <f>12125</f>
        <v>12125.0</v>
      </c>
      <c r="P204" s="34" t="s">
        <v>69</v>
      </c>
      <c r="Q204" s="33" t="n">
        <f>12125</f>
        <v>12125.0</v>
      </c>
      <c r="R204" s="34" t="s">
        <v>50</v>
      </c>
      <c r="S204" s="35" t="n">
        <f>12508.33</f>
        <v>12508.33</v>
      </c>
      <c r="T204" s="32" t="n">
        <f>22</f>
        <v>22.0</v>
      </c>
      <c r="U204" s="32" t="str">
        <f>"－"</f>
        <v>－</v>
      </c>
      <c r="V204" s="32" t="n">
        <f>277290</f>
        <v>277290.0</v>
      </c>
      <c r="W204" s="32" t="str">
        <f>"－"</f>
        <v>－</v>
      </c>
      <c r="X204" s="36" t="n">
        <f>6</f>
        <v>6.0</v>
      </c>
    </row>
    <row r="205">
      <c r="A205" s="27" t="s">
        <v>42</v>
      </c>
      <c r="B205" s="27" t="s">
        <v>665</v>
      </c>
      <c r="C205" s="27" t="s">
        <v>666</v>
      </c>
      <c r="D205" s="27" t="s">
        <v>667</v>
      </c>
      <c r="E205" s="28" t="s">
        <v>46</v>
      </c>
      <c r="F205" s="29" t="s">
        <v>46</v>
      </c>
      <c r="G205" s="30" t="s">
        <v>46</v>
      </c>
      <c r="H205" s="31"/>
      <c r="I205" s="31" t="s">
        <v>610</v>
      </c>
      <c r="J205" s="32" t="n">
        <v>1.0</v>
      </c>
      <c r="K205" s="33" t="n">
        <f>13470</f>
        <v>13470.0</v>
      </c>
      <c r="L205" s="34" t="s">
        <v>60</v>
      </c>
      <c r="M205" s="33" t="n">
        <f>13810</f>
        <v>13810.0</v>
      </c>
      <c r="N205" s="34" t="s">
        <v>80</v>
      </c>
      <c r="O205" s="33" t="n">
        <f>12800</f>
        <v>12800.0</v>
      </c>
      <c r="P205" s="34" t="s">
        <v>69</v>
      </c>
      <c r="Q205" s="33" t="n">
        <f>12800</f>
        <v>12800.0</v>
      </c>
      <c r="R205" s="34" t="s">
        <v>69</v>
      </c>
      <c r="S205" s="35" t="n">
        <f>13360</f>
        <v>13360.0</v>
      </c>
      <c r="T205" s="32" t="n">
        <f>76</f>
        <v>76.0</v>
      </c>
      <c r="U205" s="32" t="str">
        <f>"－"</f>
        <v>－</v>
      </c>
      <c r="V205" s="32" t="n">
        <f>1017290</f>
        <v>1017290.0</v>
      </c>
      <c r="W205" s="32" t="str">
        <f>"－"</f>
        <v>－</v>
      </c>
      <c r="X205" s="36" t="n">
        <f>7</f>
        <v>7.0</v>
      </c>
    </row>
    <row r="206">
      <c r="A206" s="27" t="s">
        <v>42</v>
      </c>
      <c r="B206" s="27" t="s">
        <v>668</v>
      </c>
      <c r="C206" s="27" t="s">
        <v>669</v>
      </c>
      <c r="D206" s="27" t="s">
        <v>670</v>
      </c>
      <c r="E206" s="28" t="s">
        <v>46</v>
      </c>
      <c r="F206" s="29" t="s">
        <v>46</v>
      </c>
      <c r="G206" s="30" t="s">
        <v>46</v>
      </c>
      <c r="H206" s="31"/>
      <c r="I206" s="31" t="s">
        <v>610</v>
      </c>
      <c r="J206" s="32" t="n">
        <v>1.0</v>
      </c>
      <c r="K206" s="33" t="str">
        <f>"－"</f>
        <v>－</v>
      </c>
      <c r="L206" s="34"/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5" t="str">
        <f>"－"</f>
        <v>－</v>
      </c>
      <c r="T206" s="32" t="n">
        <f>1</f>
        <v>1.0</v>
      </c>
      <c r="U206" s="32" t="n">
        <f>1</f>
        <v>1.0</v>
      </c>
      <c r="V206" s="32" t="n">
        <f>14580</f>
        <v>14580.0</v>
      </c>
      <c r="W206" s="32" t="n">
        <f>14580</f>
        <v>14580.0</v>
      </c>
      <c r="X206" s="36" t="str">
        <f>"－"</f>
        <v>－</v>
      </c>
    </row>
    <row r="207">
      <c r="A207" s="27" t="s">
        <v>42</v>
      </c>
      <c r="B207" s="27" t="s">
        <v>671</v>
      </c>
      <c r="C207" s="27" t="s">
        <v>672</v>
      </c>
      <c r="D207" s="27" t="s">
        <v>673</v>
      </c>
      <c r="E207" s="28" t="s">
        <v>46</v>
      </c>
      <c r="F207" s="29" t="s">
        <v>46</v>
      </c>
      <c r="G207" s="30" t="s">
        <v>46</v>
      </c>
      <c r="H207" s="31"/>
      <c r="I207" s="31" t="s">
        <v>610</v>
      </c>
      <c r="J207" s="32" t="n">
        <v>1.0</v>
      </c>
      <c r="K207" s="33" t="n">
        <f>13150</f>
        <v>13150.0</v>
      </c>
      <c r="L207" s="34" t="s">
        <v>48</v>
      </c>
      <c r="M207" s="33" t="n">
        <f>13280</f>
        <v>13280.0</v>
      </c>
      <c r="N207" s="34" t="s">
        <v>80</v>
      </c>
      <c r="O207" s="33" t="n">
        <f>12380</f>
        <v>12380.0</v>
      </c>
      <c r="P207" s="34" t="s">
        <v>50</v>
      </c>
      <c r="Q207" s="33" t="n">
        <f>12380</f>
        <v>12380.0</v>
      </c>
      <c r="R207" s="34" t="s">
        <v>50</v>
      </c>
      <c r="S207" s="35" t="n">
        <f>12993.33</f>
        <v>12993.33</v>
      </c>
      <c r="T207" s="32" t="n">
        <f>1228</f>
        <v>1228.0</v>
      </c>
      <c r="U207" s="32" t="n">
        <f>1</f>
        <v>1.0</v>
      </c>
      <c r="V207" s="32" t="n">
        <f>15920520</f>
        <v>1.592052E7</v>
      </c>
      <c r="W207" s="32" t="n">
        <f>13120</f>
        <v>13120.0</v>
      </c>
      <c r="X207" s="36" t="n">
        <f>15</f>
        <v>15.0</v>
      </c>
    </row>
    <row r="208">
      <c r="A208" s="27" t="s">
        <v>42</v>
      </c>
      <c r="B208" s="27" t="s">
        <v>674</v>
      </c>
      <c r="C208" s="27" t="s">
        <v>675</v>
      </c>
      <c r="D208" s="27" t="s">
        <v>676</v>
      </c>
      <c r="E208" s="28" t="s">
        <v>46</v>
      </c>
      <c r="F208" s="29" t="s">
        <v>46</v>
      </c>
      <c r="G208" s="30" t="s">
        <v>46</v>
      </c>
      <c r="H208" s="31"/>
      <c r="I208" s="31" t="s">
        <v>610</v>
      </c>
      <c r="J208" s="32" t="n">
        <v>1.0</v>
      </c>
      <c r="K208" s="33" t="n">
        <f>14070</f>
        <v>14070.0</v>
      </c>
      <c r="L208" s="34" t="s">
        <v>540</v>
      </c>
      <c r="M208" s="33" t="n">
        <f>14210</f>
        <v>14210.0</v>
      </c>
      <c r="N208" s="34" t="s">
        <v>365</v>
      </c>
      <c r="O208" s="33" t="n">
        <f>14070</f>
        <v>14070.0</v>
      </c>
      <c r="P208" s="34" t="s">
        <v>540</v>
      </c>
      <c r="Q208" s="33" t="n">
        <f>14210</f>
        <v>14210.0</v>
      </c>
      <c r="R208" s="34" t="s">
        <v>365</v>
      </c>
      <c r="S208" s="35" t="n">
        <f>14140</f>
        <v>14140.0</v>
      </c>
      <c r="T208" s="32" t="n">
        <f>11</f>
        <v>11.0</v>
      </c>
      <c r="U208" s="32" t="n">
        <f>1</f>
        <v>1.0</v>
      </c>
      <c r="V208" s="32" t="n">
        <f>155230</f>
        <v>155230.0</v>
      </c>
      <c r="W208" s="32" t="n">
        <f>14040</f>
        <v>14040.0</v>
      </c>
      <c r="X208" s="36" t="n">
        <f>3</f>
        <v>3.0</v>
      </c>
    </row>
    <row r="209">
      <c r="A209" s="27" t="s">
        <v>42</v>
      </c>
      <c r="B209" s="27" t="s">
        <v>677</v>
      </c>
      <c r="C209" s="27" t="s">
        <v>678</v>
      </c>
      <c r="D209" s="27" t="s">
        <v>679</v>
      </c>
      <c r="E209" s="28" t="s">
        <v>46</v>
      </c>
      <c r="F209" s="29" t="s">
        <v>46</v>
      </c>
      <c r="G209" s="30" t="s">
        <v>46</v>
      </c>
      <c r="H209" s="31"/>
      <c r="I209" s="31" t="s">
        <v>610</v>
      </c>
      <c r="J209" s="32" t="n">
        <v>1.0</v>
      </c>
      <c r="K209" s="33" t="n">
        <f>13620</f>
        <v>13620.0</v>
      </c>
      <c r="L209" s="34" t="s">
        <v>80</v>
      </c>
      <c r="M209" s="33" t="n">
        <f>13620</f>
        <v>13620.0</v>
      </c>
      <c r="N209" s="34" t="s">
        <v>80</v>
      </c>
      <c r="O209" s="33" t="n">
        <f>13480</f>
        <v>13480.0</v>
      </c>
      <c r="P209" s="34" t="s">
        <v>80</v>
      </c>
      <c r="Q209" s="33" t="n">
        <f>13480</f>
        <v>13480.0</v>
      </c>
      <c r="R209" s="34" t="s">
        <v>80</v>
      </c>
      <c r="S209" s="35" t="n">
        <f>13480</f>
        <v>13480.0</v>
      </c>
      <c r="T209" s="32" t="n">
        <f>200</f>
        <v>200.0</v>
      </c>
      <c r="U209" s="32" t="str">
        <f>"－"</f>
        <v>－</v>
      </c>
      <c r="V209" s="32" t="n">
        <f>2710000</f>
        <v>2710000.0</v>
      </c>
      <c r="W209" s="32" t="str">
        <f>"－"</f>
        <v>－</v>
      </c>
      <c r="X209" s="36" t="n">
        <f>1</f>
        <v>1.0</v>
      </c>
    </row>
    <row r="210">
      <c r="A210" s="27" t="s">
        <v>42</v>
      </c>
      <c r="B210" s="27" t="s">
        <v>680</v>
      </c>
      <c r="C210" s="27" t="s">
        <v>681</v>
      </c>
      <c r="D210" s="27" t="s">
        <v>682</v>
      </c>
      <c r="E210" s="28" t="s">
        <v>46</v>
      </c>
      <c r="F210" s="29" t="s">
        <v>46</v>
      </c>
      <c r="G210" s="30" t="s">
        <v>46</v>
      </c>
      <c r="H210" s="31"/>
      <c r="I210" s="31" t="s">
        <v>610</v>
      </c>
      <c r="J210" s="32" t="n">
        <v>1.0</v>
      </c>
      <c r="K210" s="33" t="n">
        <f>10680</f>
        <v>10680.0</v>
      </c>
      <c r="L210" s="34" t="s">
        <v>80</v>
      </c>
      <c r="M210" s="33" t="n">
        <f>10680</f>
        <v>10680.0</v>
      </c>
      <c r="N210" s="34" t="s">
        <v>80</v>
      </c>
      <c r="O210" s="33" t="n">
        <f>10430</f>
        <v>10430.0</v>
      </c>
      <c r="P210" s="34" t="s">
        <v>540</v>
      </c>
      <c r="Q210" s="33" t="n">
        <f>10550</f>
        <v>10550.0</v>
      </c>
      <c r="R210" s="34" t="s">
        <v>191</v>
      </c>
      <c r="S210" s="35" t="n">
        <f>10546.67</f>
        <v>10546.67</v>
      </c>
      <c r="T210" s="32" t="n">
        <f>2752</f>
        <v>2752.0</v>
      </c>
      <c r="U210" s="32" t="n">
        <f>1</f>
        <v>1.0</v>
      </c>
      <c r="V210" s="32" t="n">
        <f>29001590</f>
        <v>2.900159E7</v>
      </c>
      <c r="W210" s="32" t="n">
        <f>10480</f>
        <v>10480.0</v>
      </c>
      <c r="X210" s="36" t="n">
        <f>9</f>
        <v>9.0</v>
      </c>
    </row>
    <row r="211">
      <c r="A211" s="27" t="s">
        <v>42</v>
      </c>
      <c r="B211" s="27" t="s">
        <v>683</v>
      </c>
      <c r="C211" s="27" t="s">
        <v>684</v>
      </c>
      <c r="D211" s="27" t="s">
        <v>685</v>
      </c>
      <c r="E211" s="28" t="s">
        <v>46</v>
      </c>
      <c r="F211" s="29" t="s">
        <v>46</v>
      </c>
      <c r="G211" s="30" t="s">
        <v>46</v>
      </c>
      <c r="H211" s="31"/>
      <c r="I211" s="31" t="s">
        <v>610</v>
      </c>
      <c r="J211" s="32" t="n">
        <v>1.0</v>
      </c>
      <c r="K211" s="33" t="n">
        <f>12220</f>
        <v>12220.0</v>
      </c>
      <c r="L211" s="34" t="s">
        <v>48</v>
      </c>
      <c r="M211" s="33" t="n">
        <f>12410</f>
        <v>12410.0</v>
      </c>
      <c r="N211" s="34" t="s">
        <v>229</v>
      </c>
      <c r="O211" s="33" t="n">
        <f>11650</f>
        <v>11650.0</v>
      </c>
      <c r="P211" s="34" t="s">
        <v>69</v>
      </c>
      <c r="Q211" s="33" t="n">
        <f>11685</f>
        <v>11685.0</v>
      </c>
      <c r="R211" s="34" t="s">
        <v>50</v>
      </c>
      <c r="S211" s="35" t="n">
        <f>12156.75</f>
        <v>12156.75</v>
      </c>
      <c r="T211" s="32" t="n">
        <f>51601</f>
        <v>51601.0</v>
      </c>
      <c r="U211" s="32" t="n">
        <f>4</f>
        <v>4.0</v>
      </c>
      <c r="V211" s="32" t="n">
        <f>627389790</f>
        <v>6.2738979E8</v>
      </c>
      <c r="W211" s="32" t="n">
        <f>48315</f>
        <v>48315.0</v>
      </c>
      <c r="X211" s="36" t="n">
        <f>20</f>
        <v>20.0</v>
      </c>
    </row>
    <row r="212">
      <c r="A212" s="27" t="s">
        <v>42</v>
      </c>
      <c r="B212" s="27" t="s">
        <v>686</v>
      </c>
      <c r="C212" s="27" t="s">
        <v>687</v>
      </c>
      <c r="D212" s="27" t="s">
        <v>688</v>
      </c>
      <c r="E212" s="28" t="s">
        <v>46</v>
      </c>
      <c r="F212" s="29" t="s">
        <v>46</v>
      </c>
      <c r="G212" s="30" t="s">
        <v>46</v>
      </c>
      <c r="H212" s="31"/>
      <c r="I212" s="31" t="s">
        <v>610</v>
      </c>
      <c r="J212" s="32" t="n">
        <v>1.0</v>
      </c>
      <c r="K212" s="33" t="n">
        <f>10430</f>
        <v>10430.0</v>
      </c>
      <c r="L212" s="34" t="s">
        <v>48</v>
      </c>
      <c r="M212" s="33" t="n">
        <f>10530</f>
        <v>10530.0</v>
      </c>
      <c r="N212" s="34" t="s">
        <v>68</v>
      </c>
      <c r="O212" s="33" t="n">
        <f>9896</f>
        <v>9896.0</v>
      </c>
      <c r="P212" s="34" t="s">
        <v>69</v>
      </c>
      <c r="Q212" s="33" t="n">
        <f>9900</f>
        <v>9900.0</v>
      </c>
      <c r="R212" s="34" t="s">
        <v>50</v>
      </c>
      <c r="S212" s="35" t="n">
        <f>10273.57</f>
        <v>10273.57</v>
      </c>
      <c r="T212" s="32" t="n">
        <f>9180</f>
        <v>9180.0</v>
      </c>
      <c r="U212" s="32" t="n">
        <f>12</f>
        <v>12.0</v>
      </c>
      <c r="V212" s="32" t="n">
        <f>94604780</f>
        <v>9.460478E7</v>
      </c>
      <c r="W212" s="32" t="n">
        <f>124260</f>
        <v>124260.0</v>
      </c>
      <c r="X212" s="36" t="n">
        <f>14</f>
        <v>14.0</v>
      </c>
    </row>
    <row r="213">
      <c r="A213" s="27" t="s">
        <v>42</v>
      </c>
      <c r="B213" s="27" t="s">
        <v>689</v>
      </c>
      <c r="C213" s="27" t="s">
        <v>690</v>
      </c>
      <c r="D213" s="27" t="s">
        <v>691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992</f>
        <v>992.0</v>
      </c>
      <c r="L213" s="34" t="s">
        <v>48</v>
      </c>
      <c r="M213" s="33" t="n">
        <f>995</f>
        <v>995.0</v>
      </c>
      <c r="N213" s="34" t="s">
        <v>68</v>
      </c>
      <c r="O213" s="33" t="n">
        <f>991</f>
        <v>991.0</v>
      </c>
      <c r="P213" s="34" t="s">
        <v>48</v>
      </c>
      <c r="Q213" s="33" t="n">
        <f>994</f>
        <v>994.0</v>
      </c>
      <c r="R213" s="34" t="s">
        <v>50</v>
      </c>
      <c r="S213" s="35" t="n">
        <f>993.35</f>
        <v>993.35</v>
      </c>
      <c r="T213" s="32" t="n">
        <f>5533170</f>
        <v>5533170.0</v>
      </c>
      <c r="U213" s="32" t="n">
        <f>2882760</f>
        <v>2882760.0</v>
      </c>
      <c r="V213" s="32" t="n">
        <f>5499293018</f>
        <v>5.499293018E9</v>
      </c>
      <c r="W213" s="32" t="n">
        <f>2865583086</f>
        <v>2.865583086E9</v>
      </c>
      <c r="X213" s="36" t="n">
        <f>20</f>
        <v>20.0</v>
      </c>
    </row>
    <row r="214">
      <c r="A214" s="27" t="s">
        <v>42</v>
      </c>
      <c r="B214" s="27" t="s">
        <v>692</v>
      </c>
      <c r="C214" s="27" t="s">
        <v>693</v>
      </c>
      <c r="D214" s="27" t="s">
        <v>694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1026</f>
        <v>1026.0</v>
      </c>
      <c r="L214" s="34" t="s">
        <v>48</v>
      </c>
      <c r="M214" s="33" t="n">
        <f>1032</f>
        <v>1032.0</v>
      </c>
      <c r="N214" s="34" t="s">
        <v>73</v>
      </c>
      <c r="O214" s="33" t="n">
        <f>1015.5</f>
        <v>1015.5</v>
      </c>
      <c r="P214" s="34" t="s">
        <v>69</v>
      </c>
      <c r="Q214" s="33" t="n">
        <f>1018</f>
        <v>1018.0</v>
      </c>
      <c r="R214" s="34" t="s">
        <v>50</v>
      </c>
      <c r="S214" s="35" t="n">
        <f>1025.03</f>
        <v>1025.03</v>
      </c>
      <c r="T214" s="32" t="n">
        <f>2003410</f>
        <v>2003410.0</v>
      </c>
      <c r="U214" s="32" t="n">
        <f>822210</f>
        <v>822210.0</v>
      </c>
      <c r="V214" s="32" t="n">
        <f>2051486060</f>
        <v>2.05148606E9</v>
      </c>
      <c r="W214" s="32" t="n">
        <f>841542355</f>
        <v>8.41542355E8</v>
      </c>
      <c r="X214" s="36" t="n">
        <f>20</f>
        <v>20.0</v>
      </c>
    </row>
    <row r="215">
      <c r="A215" s="27" t="s">
        <v>42</v>
      </c>
      <c r="B215" s="27" t="s">
        <v>695</v>
      </c>
      <c r="C215" s="27" t="s">
        <v>696</v>
      </c>
      <c r="D215" s="27" t="s">
        <v>697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1013</f>
        <v>1013.0</v>
      </c>
      <c r="L215" s="34" t="s">
        <v>48</v>
      </c>
      <c r="M215" s="33" t="n">
        <f>1024</f>
        <v>1024.0</v>
      </c>
      <c r="N215" s="34" t="s">
        <v>61</v>
      </c>
      <c r="O215" s="33" t="n">
        <f>1008</f>
        <v>1008.0</v>
      </c>
      <c r="P215" s="34" t="s">
        <v>48</v>
      </c>
      <c r="Q215" s="33" t="n">
        <f>1021</f>
        <v>1021.0</v>
      </c>
      <c r="R215" s="34" t="s">
        <v>50</v>
      </c>
      <c r="S215" s="35" t="n">
        <f>1016.08</f>
        <v>1016.08</v>
      </c>
      <c r="T215" s="32" t="n">
        <f>9864500</f>
        <v>9864500.0</v>
      </c>
      <c r="U215" s="32" t="n">
        <f>6229560</f>
        <v>6229560.0</v>
      </c>
      <c r="V215" s="32" t="n">
        <f>10030982072</f>
        <v>1.0030982072E10</v>
      </c>
      <c r="W215" s="32" t="n">
        <f>6338280277</f>
        <v>6.338280277E9</v>
      </c>
      <c r="X215" s="36" t="n">
        <f>20</f>
        <v>20.0</v>
      </c>
    </row>
    <row r="216">
      <c r="A216" s="27" t="s">
        <v>42</v>
      </c>
      <c r="B216" s="27" t="s">
        <v>698</v>
      </c>
      <c r="C216" s="27" t="s">
        <v>699</v>
      </c>
      <c r="D216" s="27" t="s">
        <v>700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1647</f>
        <v>1647.0</v>
      </c>
      <c r="L216" s="34" t="s">
        <v>48</v>
      </c>
      <c r="M216" s="33" t="n">
        <f>1681</f>
        <v>1681.0</v>
      </c>
      <c r="N216" s="34" t="s">
        <v>133</v>
      </c>
      <c r="O216" s="33" t="n">
        <f>1603</f>
        <v>1603.0</v>
      </c>
      <c r="P216" s="34" t="s">
        <v>50</v>
      </c>
      <c r="Q216" s="33" t="n">
        <f>1632</f>
        <v>1632.0</v>
      </c>
      <c r="R216" s="34" t="s">
        <v>50</v>
      </c>
      <c r="S216" s="35" t="n">
        <f>1655.23</f>
        <v>1655.23</v>
      </c>
      <c r="T216" s="32" t="n">
        <f>2353670</f>
        <v>2353670.0</v>
      </c>
      <c r="U216" s="32" t="n">
        <f>1186430</f>
        <v>1186430.0</v>
      </c>
      <c r="V216" s="32" t="n">
        <f>3891778314</f>
        <v>3.891778314E9</v>
      </c>
      <c r="W216" s="32" t="n">
        <f>1956287849</f>
        <v>1.956287849E9</v>
      </c>
      <c r="X216" s="36" t="n">
        <f>20</f>
        <v>20.0</v>
      </c>
    </row>
    <row r="217">
      <c r="A217" s="27" t="s">
        <v>42</v>
      </c>
      <c r="B217" s="27" t="s">
        <v>701</v>
      </c>
      <c r="C217" s="27" t="s">
        <v>702</v>
      </c>
      <c r="D217" s="27" t="s">
        <v>703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1557</f>
        <v>1557.0</v>
      </c>
      <c r="L217" s="34" t="s">
        <v>48</v>
      </c>
      <c r="M217" s="33" t="n">
        <f>1594</f>
        <v>1594.0</v>
      </c>
      <c r="N217" s="34" t="s">
        <v>365</v>
      </c>
      <c r="O217" s="33" t="n">
        <f>1540</f>
        <v>1540.0</v>
      </c>
      <c r="P217" s="34" t="s">
        <v>69</v>
      </c>
      <c r="Q217" s="33" t="n">
        <f>1542.5</f>
        <v>1542.5</v>
      </c>
      <c r="R217" s="34" t="s">
        <v>50</v>
      </c>
      <c r="S217" s="35" t="n">
        <f>1572.58</f>
        <v>1572.58</v>
      </c>
      <c r="T217" s="32" t="n">
        <f>502090</f>
        <v>502090.0</v>
      </c>
      <c r="U217" s="32" t="n">
        <f>80</f>
        <v>80.0</v>
      </c>
      <c r="V217" s="32" t="n">
        <f>789526670</f>
        <v>7.8952667E8</v>
      </c>
      <c r="W217" s="32" t="n">
        <f>126300</f>
        <v>126300.0</v>
      </c>
      <c r="X217" s="36" t="n">
        <f>20</f>
        <v>20.0</v>
      </c>
    </row>
    <row r="218">
      <c r="A218" s="27" t="s">
        <v>42</v>
      </c>
      <c r="B218" s="27" t="s">
        <v>704</v>
      </c>
      <c r="C218" s="27" t="s">
        <v>705</v>
      </c>
      <c r="D218" s="27" t="s">
        <v>706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1248</f>
        <v>1248.0</v>
      </c>
      <c r="L218" s="34" t="s">
        <v>48</v>
      </c>
      <c r="M218" s="33" t="n">
        <f>1303</f>
        <v>1303.0</v>
      </c>
      <c r="N218" s="34" t="s">
        <v>342</v>
      </c>
      <c r="O218" s="33" t="n">
        <f>1242</f>
        <v>1242.0</v>
      </c>
      <c r="P218" s="34" t="s">
        <v>60</v>
      </c>
      <c r="Q218" s="33" t="n">
        <f>1244</f>
        <v>1244.0</v>
      </c>
      <c r="R218" s="34" t="s">
        <v>50</v>
      </c>
      <c r="S218" s="35" t="n">
        <f>1264.48</f>
        <v>1264.48</v>
      </c>
      <c r="T218" s="32" t="n">
        <f>1987270</f>
        <v>1987270.0</v>
      </c>
      <c r="U218" s="32" t="n">
        <f>1455300</f>
        <v>1455300.0</v>
      </c>
      <c r="V218" s="32" t="n">
        <f>2540586197</f>
        <v>2.540586197E9</v>
      </c>
      <c r="W218" s="32" t="n">
        <f>1866722582</f>
        <v>1.866722582E9</v>
      </c>
      <c r="X218" s="36" t="n">
        <f>20</f>
        <v>20.0</v>
      </c>
    </row>
    <row r="219">
      <c r="A219" s="27" t="s">
        <v>42</v>
      </c>
      <c r="B219" s="27" t="s">
        <v>707</v>
      </c>
      <c r="C219" s="27" t="s">
        <v>708</v>
      </c>
      <c r="D219" s="27" t="s">
        <v>709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871</f>
        <v>871.0</v>
      </c>
      <c r="L219" s="34" t="s">
        <v>48</v>
      </c>
      <c r="M219" s="33" t="n">
        <f>925</f>
        <v>925.0</v>
      </c>
      <c r="N219" s="34" t="s">
        <v>133</v>
      </c>
      <c r="O219" s="33" t="n">
        <f>821</f>
        <v>821.0</v>
      </c>
      <c r="P219" s="34" t="s">
        <v>50</v>
      </c>
      <c r="Q219" s="33" t="n">
        <f>823.3</f>
        <v>823.3</v>
      </c>
      <c r="R219" s="34" t="s">
        <v>50</v>
      </c>
      <c r="S219" s="35" t="n">
        <f>879.33</f>
        <v>879.33</v>
      </c>
      <c r="T219" s="32" t="n">
        <f>14638230</f>
        <v>1.463823E7</v>
      </c>
      <c r="U219" s="32" t="n">
        <f>386460</f>
        <v>386460.0</v>
      </c>
      <c r="V219" s="32" t="n">
        <f>12925955189</f>
        <v>1.2925955189E10</v>
      </c>
      <c r="W219" s="32" t="n">
        <f>341310939</f>
        <v>3.41310939E8</v>
      </c>
      <c r="X219" s="36" t="n">
        <f>20</f>
        <v>20.0</v>
      </c>
    </row>
    <row r="220">
      <c r="A220" s="27" t="s">
        <v>42</v>
      </c>
      <c r="B220" s="27" t="s">
        <v>710</v>
      </c>
      <c r="C220" s="27" t="s">
        <v>711</v>
      </c>
      <c r="D220" s="27" t="s">
        <v>712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1225</f>
        <v>1225.0</v>
      </c>
      <c r="L220" s="34" t="s">
        <v>48</v>
      </c>
      <c r="M220" s="33" t="n">
        <f>1226</f>
        <v>1226.0</v>
      </c>
      <c r="N220" s="34" t="s">
        <v>68</v>
      </c>
      <c r="O220" s="33" t="n">
        <f>1167</f>
        <v>1167.0</v>
      </c>
      <c r="P220" s="34" t="s">
        <v>69</v>
      </c>
      <c r="Q220" s="33" t="n">
        <f>1170</f>
        <v>1170.0</v>
      </c>
      <c r="R220" s="34" t="s">
        <v>50</v>
      </c>
      <c r="S220" s="35" t="n">
        <f>1201.7</f>
        <v>1201.7</v>
      </c>
      <c r="T220" s="32" t="n">
        <f>430910</f>
        <v>430910.0</v>
      </c>
      <c r="U220" s="32" t="n">
        <f>200750</f>
        <v>200750.0</v>
      </c>
      <c r="V220" s="32" t="n">
        <f>519704021</f>
        <v>5.19704021E8</v>
      </c>
      <c r="W220" s="32" t="n">
        <f>244263501</f>
        <v>2.44263501E8</v>
      </c>
      <c r="X220" s="36" t="n">
        <f>20</f>
        <v>20.0</v>
      </c>
    </row>
    <row r="221">
      <c r="A221" s="27" t="s">
        <v>42</v>
      </c>
      <c r="B221" s="27" t="s">
        <v>713</v>
      </c>
      <c r="C221" s="27" t="s">
        <v>714</v>
      </c>
      <c r="D221" s="27" t="s">
        <v>715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1180</f>
        <v>1180.0</v>
      </c>
      <c r="L221" s="34" t="s">
        <v>48</v>
      </c>
      <c r="M221" s="33" t="n">
        <f>1196</f>
        <v>1196.0</v>
      </c>
      <c r="N221" s="34" t="s">
        <v>133</v>
      </c>
      <c r="O221" s="33" t="n">
        <f>1116</f>
        <v>1116.0</v>
      </c>
      <c r="P221" s="34" t="s">
        <v>50</v>
      </c>
      <c r="Q221" s="33" t="n">
        <f>1116</f>
        <v>1116.0</v>
      </c>
      <c r="R221" s="34" t="s">
        <v>50</v>
      </c>
      <c r="S221" s="35" t="n">
        <f>1169.55</f>
        <v>1169.55</v>
      </c>
      <c r="T221" s="32" t="n">
        <f>319889</f>
        <v>319889.0</v>
      </c>
      <c r="U221" s="32" t="n">
        <f>44006</f>
        <v>44006.0</v>
      </c>
      <c r="V221" s="32" t="n">
        <f>374367835</f>
        <v>3.74367835E8</v>
      </c>
      <c r="W221" s="32" t="n">
        <f>51157911</f>
        <v>5.1157911E7</v>
      </c>
      <c r="X221" s="36" t="n">
        <f>20</f>
        <v>20.0</v>
      </c>
    </row>
    <row r="222">
      <c r="A222" s="27" t="s">
        <v>42</v>
      </c>
      <c r="B222" s="27" t="s">
        <v>716</v>
      </c>
      <c r="C222" s="27" t="s">
        <v>717</v>
      </c>
      <c r="D222" s="27" t="s">
        <v>718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1041</f>
        <v>1041.0</v>
      </c>
      <c r="L222" s="34" t="s">
        <v>48</v>
      </c>
      <c r="M222" s="33" t="n">
        <f>1060</f>
        <v>1060.0</v>
      </c>
      <c r="N222" s="34" t="s">
        <v>97</v>
      </c>
      <c r="O222" s="33" t="n">
        <f>1021</f>
        <v>1021.0</v>
      </c>
      <c r="P222" s="34" t="s">
        <v>69</v>
      </c>
      <c r="Q222" s="33" t="n">
        <f>1024.5</f>
        <v>1024.5</v>
      </c>
      <c r="R222" s="34" t="s">
        <v>50</v>
      </c>
      <c r="S222" s="35" t="n">
        <f>1048.98</f>
        <v>1048.98</v>
      </c>
      <c r="T222" s="32" t="n">
        <f>220100</f>
        <v>220100.0</v>
      </c>
      <c r="U222" s="32" t="n">
        <f>148270</f>
        <v>148270.0</v>
      </c>
      <c r="V222" s="32" t="n">
        <f>230609013</f>
        <v>2.30609013E8</v>
      </c>
      <c r="W222" s="32" t="n">
        <f>155314453</f>
        <v>1.55314453E8</v>
      </c>
      <c r="X222" s="36" t="n">
        <f>20</f>
        <v>20.0</v>
      </c>
    </row>
    <row r="223">
      <c r="A223" s="27" t="s">
        <v>42</v>
      </c>
      <c r="B223" s="27" t="s">
        <v>719</v>
      </c>
      <c r="C223" s="27" t="s">
        <v>720</v>
      </c>
      <c r="D223" s="27" t="s">
        <v>721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1255</f>
        <v>1255.0</v>
      </c>
      <c r="L223" s="34" t="s">
        <v>48</v>
      </c>
      <c r="M223" s="33" t="n">
        <f>1281</f>
        <v>1281.0</v>
      </c>
      <c r="N223" s="34" t="s">
        <v>49</v>
      </c>
      <c r="O223" s="33" t="n">
        <f>1173.5</f>
        <v>1173.5</v>
      </c>
      <c r="P223" s="34" t="s">
        <v>50</v>
      </c>
      <c r="Q223" s="33" t="n">
        <f>1173.5</f>
        <v>1173.5</v>
      </c>
      <c r="R223" s="34" t="s">
        <v>50</v>
      </c>
      <c r="S223" s="35" t="n">
        <f>1249.05</f>
        <v>1249.05</v>
      </c>
      <c r="T223" s="32" t="n">
        <f>228060</f>
        <v>228060.0</v>
      </c>
      <c r="U223" s="32" t="n">
        <f>94380</f>
        <v>94380.0</v>
      </c>
      <c r="V223" s="32" t="n">
        <f>282334131</f>
        <v>2.82334131E8</v>
      </c>
      <c r="W223" s="32" t="n">
        <f>117536666</f>
        <v>1.17536666E8</v>
      </c>
      <c r="X223" s="36" t="n">
        <f>20</f>
        <v>20.0</v>
      </c>
    </row>
    <row r="224">
      <c r="A224" s="27" t="s">
        <v>42</v>
      </c>
      <c r="B224" s="27" t="s">
        <v>722</v>
      </c>
      <c r="C224" s="27" t="s">
        <v>723</v>
      </c>
      <c r="D224" s="27" t="s">
        <v>724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1616</f>
        <v>1616.0</v>
      </c>
      <c r="L224" s="34" t="s">
        <v>48</v>
      </c>
      <c r="M224" s="33" t="n">
        <f>1654</f>
        <v>1654.0</v>
      </c>
      <c r="N224" s="34" t="s">
        <v>365</v>
      </c>
      <c r="O224" s="33" t="n">
        <f>1610</f>
        <v>1610.0</v>
      </c>
      <c r="P224" s="34" t="s">
        <v>60</v>
      </c>
      <c r="Q224" s="33" t="n">
        <f>1615.5</f>
        <v>1615.5</v>
      </c>
      <c r="R224" s="34" t="s">
        <v>50</v>
      </c>
      <c r="S224" s="35" t="n">
        <f>1635</f>
        <v>1635.0</v>
      </c>
      <c r="T224" s="32" t="n">
        <f>9698550</f>
        <v>9698550.0</v>
      </c>
      <c r="U224" s="32" t="n">
        <f>1653960</f>
        <v>1653960.0</v>
      </c>
      <c r="V224" s="32" t="n">
        <f>15858024714</f>
        <v>1.5858024714E10</v>
      </c>
      <c r="W224" s="32" t="n">
        <f>2702747399</f>
        <v>2.702747399E9</v>
      </c>
      <c r="X224" s="36" t="n">
        <f>20</f>
        <v>20.0</v>
      </c>
    </row>
    <row r="225">
      <c r="A225" s="27" t="s">
        <v>42</v>
      </c>
      <c r="B225" s="27" t="s">
        <v>725</v>
      </c>
      <c r="C225" s="27" t="s">
        <v>726</v>
      </c>
      <c r="D225" s="27" t="s">
        <v>727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4235</f>
        <v>4235.0</v>
      </c>
      <c r="L225" s="34" t="s">
        <v>48</v>
      </c>
      <c r="M225" s="33" t="n">
        <f>4515</f>
        <v>4515.0</v>
      </c>
      <c r="N225" s="34" t="s">
        <v>133</v>
      </c>
      <c r="O225" s="33" t="n">
        <f>4200</f>
        <v>4200.0</v>
      </c>
      <c r="P225" s="34" t="s">
        <v>87</v>
      </c>
      <c r="Q225" s="33" t="n">
        <f>4240</f>
        <v>4240.0</v>
      </c>
      <c r="R225" s="34" t="s">
        <v>50</v>
      </c>
      <c r="S225" s="35" t="n">
        <f>4384.5</f>
        <v>4384.5</v>
      </c>
      <c r="T225" s="32" t="n">
        <f>101885</f>
        <v>101885.0</v>
      </c>
      <c r="U225" s="32" t="n">
        <f>53</f>
        <v>53.0</v>
      </c>
      <c r="V225" s="32" t="n">
        <f>444661205</f>
        <v>4.44661205E8</v>
      </c>
      <c r="W225" s="32" t="n">
        <f>221710</f>
        <v>221710.0</v>
      </c>
      <c r="X225" s="36" t="n">
        <f>20</f>
        <v>20.0</v>
      </c>
    </row>
    <row r="226">
      <c r="A226" s="27" t="s">
        <v>42</v>
      </c>
      <c r="B226" s="27" t="s">
        <v>728</v>
      </c>
      <c r="C226" s="27" t="s">
        <v>729</v>
      </c>
      <c r="D226" s="27" t="s">
        <v>730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1715</f>
        <v>1715.0</v>
      </c>
      <c r="L226" s="34" t="s">
        <v>48</v>
      </c>
      <c r="M226" s="33" t="n">
        <f>1744</f>
        <v>1744.0</v>
      </c>
      <c r="N226" s="34" t="s">
        <v>68</v>
      </c>
      <c r="O226" s="33" t="n">
        <f>1673.5</f>
        <v>1673.5</v>
      </c>
      <c r="P226" s="34" t="s">
        <v>50</v>
      </c>
      <c r="Q226" s="33" t="n">
        <f>1684.5</f>
        <v>1684.5</v>
      </c>
      <c r="R226" s="34" t="s">
        <v>50</v>
      </c>
      <c r="S226" s="35" t="n">
        <f>1723.53</f>
        <v>1723.53</v>
      </c>
      <c r="T226" s="32" t="n">
        <f>4680</f>
        <v>4680.0</v>
      </c>
      <c r="U226" s="32" t="str">
        <f>"－"</f>
        <v>－</v>
      </c>
      <c r="V226" s="32" t="n">
        <f>8084355</f>
        <v>8084355.0</v>
      </c>
      <c r="W226" s="32" t="str">
        <f>"－"</f>
        <v>－</v>
      </c>
      <c r="X226" s="36" t="n">
        <f>18</f>
        <v>18.0</v>
      </c>
    </row>
    <row r="227">
      <c r="A227" s="27" t="s">
        <v>42</v>
      </c>
      <c r="B227" s="27" t="s">
        <v>731</v>
      </c>
      <c r="C227" s="27" t="s">
        <v>732</v>
      </c>
      <c r="D227" s="27" t="s">
        <v>733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2078</f>
        <v>2078.0</v>
      </c>
      <c r="L227" s="34" t="s">
        <v>48</v>
      </c>
      <c r="M227" s="33" t="n">
        <f>2093</f>
        <v>2093.0</v>
      </c>
      <c r="N227" s="34" t="s">
        <v>80</v>
      </c>
      <c r="O227" s="33" t="n">
        <f>1974</f>
        <v>1974.0</v>
      </c>
      <c r="P227" s="34" t="s">
        <v>50</v>
      </c>
      <c r="Q227" s="33" t="n">
        <f>1974</f>
        <v>1974.0</v>
      </c>
      <c r="R227" s="34" t="s">
        <v>50</v>
      </c>
      <c r="S227" s="35" t="n">
        <f>2065.2</f>
        <v>2065.2</v>
      </c>
      <c r="T227" s="32" t="n">
        <f>193760</f>
        <v>193760.0</v>
      </c>
      <c r="U227" s="32" t="str">
        <f>"－"</f>
        <v>－</v>
      </c>
      <c r="V227" s="32" t="n">
        <f>401946915</f>
        <v>4.01946915E8</v>
      </c>
      <c r="W227" s="32" t="str">
        <f>"－"</f>
        <v>－</v>
      </c>
      <c r="X227" s="36" t="n">
        <f>10</f>
        <v>10.0</v>
      </c>
    </row>
    <row r="228">
      <c r="A228" s="27" t="s">
        <v>42</v>
      </c>
      <c r="B228" s="27" t="s">
        <v>734</v>
      </c>
      <c r="C228" s="27" t="s">
        <v>735</v>
      </c>
      <c r="D228" s="27" t="s">
        <v>736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29870</f>
        <v>29870.0</v>
      </c>
      <c r="L228" s="34" t="s">
        <v>48</v>
      </c>
      <c r="M228" s="33" t="n">
        <f>30200</f>
        <v>30200.0</v>
      </c>
      <c r="N228" s="34" t="s">
        <v>80</v>
      </c>
      <c r="O228" s="33" t="n">
        <f>28280</f>
        <v>28280.0</v>
      </c>
      <c r="P228" s="34" t="s">
        <v>50</v>
      </c>
      <c r="Q228" s="33" t="n">
        <f>28325</f>
        <v>28325.0</v>
      </c>
      <c r="R228" s="34" t="s">
        <v>50</v>
      </c>
      <c r="S228" s="35" t="n">
        <f>29738</f>
        <v>29738.0</v>
      </c>
      <c r="T228" s="32" t="n">
        <f>32408</f>
        <v>32408.0</v>
      </c>
      <c r="U228" s="32" t="n">
        <f>19902</f>
        <v>19902.0</v>
      </c>
      <c r="V228" s="32" t="n">
        <f>945987075</f>
        <v>9.45987075E8</v>
      </c>
      <c r="W228" s="32" t="n">
        <f>585741540</f>
        <v>5.8574154E8</v>
      </c>
      <c r="X228" s="36" t="n">
        <f>15</f>
        <v>15.0</v>
      </c>
    </row>
    <row r="229">
      <c r="A229" s="27" t="s">
        <v>42</v>
      </c>
      <c r="B229" s="27" t="s">
        <v>737</v>
      </c>
      <c r="C229" s="27" t="s">
        <v>738</v>
      </c>
      <c r="D229" s="27" t="s">
        <v>739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18640</f>
        <v>18640.0</v>
      </c>
      <c r="L229" s="34" t="s">
        <v>48</v>
      </c>
      <c r="M229" s="33" t="n">
        <f>18850</f>
        <v>18850.0</v>
      </c>
      <c r="N229" s="34" t="s">
        <v>229</v>
      </c>
      <c r="O229" s="33" t="n">
        <f>17920</f>
        <v>17920.0</v>
      </c>
      <c r="P229" s="34" t="s">
        <v>69</v>
      </c>
      <c r="Q229" s="33" t="n">
        <f>17920</f>
        <v>17920.0</v>
      </c>
      <c r="R229" s="34" t="s">
        <v>69</v>
      </c>
      <c r="S229" s="35" t="n">
        <f>18584.71</f>
        <v>18584.71</v>
      </c>
      <c r="T229" s="32" t="n">
        <f>65170</f>
        <v>65170.0</v>
      </c>
      <c r="U229" s="32" t="str">
        <f>"－"</f>
        <v>－</v>
      </c>
      <c r="V229" s="32" t="n">
        <f>1222082670</f>
        <v>1.22208267E9</v>
      </c>
      <c r="W229" s="32" t="str">
        <f>"－"</f>
        <v>－</v>
      </c>
      <c r="X229" s="36" t="n">
        <f>17</f>
        <v>17.0</v>
      </c>
    </row>
    <row r="230">
      <c r="A230" s="27" t="s">
        <v>42</v>
      </c>
      <c r="B230" s="27" t="s">
        <v>740</v>
      </c>
      <c r="C230" s="27" t="s">
        <v>741</v>
      </c>
      <c r="D230" s="27" t="s">
        <v>742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1231</f>
        <v>1231.0</v>
      </c>
      <c r="L230" s="34" t="s">
        <v>48</v>
      </c>
      <c r="M230" s="33" t="n">
        <f>1233</f>
        <v>1233.0</v>
      </c>
      <c r="N230" s="34" t="s">
        <v>80</v>
      </c>
      <c r="O230" s="33" t="n">
        <f>1194</f>
        <v>1194.0</v>
      </c>
      <c r="P230" s="34" t="s">
        <v>69</v>
      </c>
      <c r="Q230" s="33" t="n">
        <f>1196</f>
        <v>1196.0</v>
      </c>
      <c r="R230" s="34" t="s">
        <v>69</v>
      </c>
      <c r="S230" s="35" t="n">
        <f>1219.55</f>
        <v>1219.55</v>
      </c>
      <c r="T230" s="32" t="n">
        <f>124370</f>
        <v>124370.0</v>
      </c>
      <c r="U230" s="32" t="str">
        <f>"－"</f>
        <v>－</v>
      </c>
      <c r="V230" s="32" t="n">
        <f>150848740</f>
        <v>1.5084874E8</v>
      </c>
      <c r="W230" s="32" t="str">
        <f>"－"</f>
        <v>－</v>
      </c>
      <c r="X230" s="36" t="n">
        <f>11</f>
        <v>11.0</v>
      </c>
    </row>
    <row r="231">
      <c r="A231" s="27" t="s">
        <v>42</v>
      </c>
      <c r="B231" s="27" t="s">
        <v>743</v>
      </c>
      <c r="C231" s="27" t="s">
        <v>744</v>
      </c>
      <c r="D231" s="27" t="s">
        <v>745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1220</f>
        <v>1220.0</v>
      </c>
      <c r="L231" s="34" t="s">
        <v>48</v>
      </c>
      <c r="M231" s="33" t="n">
        <f>1224</f>
        <v>1224.0</v>
      </c>
      <c r="N231" s="34" t="s">
        <v>80</v>
      </c>
      <c r="O231" s="33" t="n">
        <f>1173</f>
        <v>1173.0</v>
      </c>
      <c r="P231" s="34" t="s">
        <v>69</v>
      </c>
      <c r="Q231" s="33" t="n">
        <f>1179</f>
        <v>1179.0</v>
      </c>
      <c r="R231" s="34" t="s">
        <v>50</v>
      </c>
      <c r="S231" s="35" t="n">
        <f>1202.55</f>
        <v>1202.55</v>
      </c>
      <c r="T231" s="32" t="n">
        <f>5880</f>
        <v>5880.0</v>
      </c>
      <c r="U231" s="32" t="str">
        <f>"－"</f>
        <v>－</v>
      </c>
      <c r="V231" s="32" t="n">
        <f>7091760</f>
        <v>7091760.0</v>
      </c>
      <c r="W231" s="32" t="str">
        <f>"－"</f>
        <v>－</v>
      </c>
      <c r="X231" s="36" t="n">
        <f>20</f>
        <v>20.0</v>
      </c>
    </row>
    <row r="232">
      <c r="A232" s="27" t="s">
        <v>42</v>
      </c>
      <c r="B232" s="27" t="s">
        <v>746</v>
      </c>
      <c r="C232" s="27" t="s">
        <v>747</v>
      </c>
      <c r="D232" s="27" t="s">
        <v>748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1148</f>
        <v>1148.0</v>
      </c>
      <c r="L232" s="34" t="s">
        <v>48</v>
      </c>
      <c r="M232" s="33" t="n">
        <f>1160</f>
        <v>1160.0</v>
      </c>
      <c r="N232" s="34" t="s">
        <v>80</v>
      </c>
      <c r="O232" s="33" t="n">
        <f>1080</f>
        <v>1080.0</v>
      </c>
      <c r="P232" s="34" t="s">
        <v>50</v>
      </c>
      <c r="Q232" s="33" t="n">
        <f>1090</f>
        <v>1090.0</v>
      </c>
      <c r="R232" s="34" t="s">
        <v>50</v>
      </c>
      <c r="S232" s="35" t="n">
        <f>1135.45</f>
        <v>1135.45</v>
      </c>
      <c r="T232" s="32" t="n">
        <f>50635</f>
        <v>50635.0</v>
      </c>
      <c r="U232" s="32" t="n">
        <f>20</f>
        <v>20.0</v>
      </c>
      <c r="V232" s="32" t="n">
        <f>57144314</f>
        <v>5.7144314E7</v>
      </c>
      <c r="W232" s="32" t="n">
        <f>21904</f>
        <v>21904.0</v>
      </c>
      <c r="X232" s="36" t="n">
        <f>20</f>
        <v>20.0</v>
      </c>
    </row>
    <row r="233">
      <c r="A233" s="27" t="s">
        <v>42</v>
      </c>
      <c r="B233" s="27" t="s">
        <v>749</v>
      </c>
      <c r="C233" s="27" t="s">
        <v>750</v>
      </c>
      <c r="D233" s="27" t="s">
        <v>751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14140</f>
        <v>14140.0</v>
      </c>
      <c r="L233" s="34" t="s">
        <v>48</v>
      </c>
      <c r="M233" s="33" t="n">
        <f>14140</f>
        <v>14140.0</v>
      </c>
      <c r="N233" s="34" t="s">
        <v>48</v>
      </c>
      <c r="O233" s="33" t="n">
        <f>12900</f>
        <v>12900.0</v>
      </c>
      <c r="P233" s="34" t="s">
        <v>73</v>
      </c>
      <c r="Q233" s="33" t="n">
        <f>13915</f>
        <v>13915.0</v>
      </c>
      <c r="R233" s="34" t="s">
        <v>50</v>
      </c>
      <c r="S233" s="35" t="n">
        <f>13832.75</f>
        <v>13832.75</v>
      </c>
      <c r="T233" s="32" t="n">
        <f>1482</f>
        <v>1482.0</v>
      </c>
      <c r="U233" s="32" t="n">
        <f>4</f>
        <v>4.0</v>
      </c>
      <c r="V233" s="32" t="n">
        <f>20289715</f>
        <v>2.0289715E7</v>
      </c>
      <c r="W233" s="32" t="n">
        <f>54820</f>
        <v>54820.0</v>
      </c>
      <c r="X233" s="36" t="n">
        <f>20</f>
        <v>20.0</v>
      </c>
    </row>
    <row r="234">
      <c r="A234" s="27" t="s">
        <v>42</v>
      </c>
      <c r="B234" s="27" t="s">
        <v>752</v>
      </c>
      <c r="C234" s="27" t="s">
        <v>753</v>
      </c>
      <c r="D234" s="27" t="s">
        <v>754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2239</f>
        <v>2239.0</v>
      </c>
      <c r="L234" s="34" t="s">
        <v>48</v>
      </c>
      <c r="M234" s="33" t="n">
        <f>2245</f>
        <v>2245.0</v>
      </c>
      <c r="N234" s="34" t="s">
        <v>68</v>
      </c>
      <c r="O234" s="33" t="n">
        <f>2148</f>
        <v>2148.0</v>
      </c>
      <c r="P234" s="34" t="s">
        <v>69</v>
      </c>
      <c r="Q234" s="33" t="n">
        <f>2150</f>
        <v>2150.0</v>
      </c>
      <c r="R234" s="34" t="s">
        <v>50</v>
      </c>
      <c r="S234" s="35" t="n">
        <f>2202.6</f>
        <v>2202.6</v>
      </c>
      <c r="T234" s="32" t="n">
        <f>13627</f>
        <v>13627.0</v>
      </c>
      <c r="U234" s="32" t="n">
        <f>2</f>
        <v>2.0</v>
      </c>
      <c r="V234" s="32" t="n">
        <f>29991979</f>
        <v>2.9991979E7</v>
      </c>
      <c r="W234" s="32" t="n">
        <f>4390</f>
        <v>4390.0</v>
      </c>
      <c r="X234" s="36" t="n">
        <f>20</f>
        <v>20.0</v>
      </c>
    </row>
    <row r="235">
      <c r="A235" s="27" t="s">
        <v>42</v>
      </c>
      <c r="B235" s="27" t="s">
        <v>755</v>
      </c>
      <c r="C235" s="27" t="s">
        <v>756</v>
      </c>
      <c r="D235" s="27" t="s">
        <v>757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1705</f>
        <v>1705.0</v>
      </c>
      <c r="L235" s="34" t="s">
        <v>48</v>
      </c>
      <c r="M235" s="33" t="n">
        <f>1755</f>
        <v>1755.0</v>
      </c>
      <c r="N235" s="34" t="s">
        <v>69</v>
      </c>
      <c r="O235" s="33" t="n">
        <f>1612</f>
        <v>1612.0</v>
      </c>
      <c r="P235" s="34" t="s">
        <v>242</v>
      </c>
      <c r="Q235" s="33" t="n">
        <f>1755</f>
        <v>1755.0</v>
      </c>
      <c r="R235" s="34" t="s">
        <v>50</v>
      </c>
      <c r="S235" s="35" t="n">
        <f>1701.7</f>
        <v>1701.7</v>
      </c>
      <c r="T235" s="32" t="n">
        <f>5190</f>
        <v>5190.0</v>
      </c>
      <c r="U235" s="32" t="n">
        <f>20</f>
        <v>20.0</v>
      </c>
      <c r="V235" s="32" t="n">
        <f>8791680</f>
        <v>8791680.0</v>
      </c>
      <c r="W235" s="32" t="n">
        <f>33730</f>
        <v>33730.0</v>
      </c>
      <c r="X235" s="36" t="n">
        <f>20</f>
        <v>20.0</v>
      </c>
    </row>
    <row r="236">
      <c r="A236" s="27" t="s">
        <v>42</v>
      </c>
      <c r="B236" s="27" t="s">
        <v>758</v>
      </c>
      <c r="C236" s="27" t="s">
        <v>759</v>
      </c>
      <c r="D236" s="27" t="s">
        <v>760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999</f>
        <v>999.0</v>
      </c>
      <c r="L236" s="34" t="s">
        <v>48</v>
      </c>
      <c r="M236" s="33" t="n">
        <f>1006</f>
        <v>1006.0</v>
      </c>
      <c r="N236" s="34" t="s">
        <v>61</v>
      </c>
      <c r="O236" s="33" t="n">
        <f>991</f>
        <v>991.0</v>
      </c>
      <c r="P236" s="34" t="s">
        <v>342</v>
      </c>
      <c r="Q236" s="33" t="n">
        <f>994.9</f>
        <v>994.9</v>
      </c>
      <c r="R236" s="34" t="s">
        <v>50</v>
      </c>
      <c r="S236" s="35" t="n">
        <f>997.61</f>
        <v>997.61</v>
      </c>
      <c r="T236" s="32" t="n">
        <f>1839010</f>
        <v>1839010.0</v>
      </c>
      <c r="U236" s="32" t="n">
        <f>1045790</f>
        <v>1045790.0</v>
      </c>
      <c r="V236" s="32" t="n">
        <f>1833962163</f>
        <v>1.833962163E9</v>
      </c>
      <c r="W236" s="32" t="n">
        <f>1042286880</f>
        <v>1.04228688E9</v>
      </c>
      <c r="X236" s="36" t="n">
        <f>20</f>
        <v>20.0</v>
      </c>
    </row>
    <row r="237">
      <c r="A237" s="27" t="s">
        <v>42</v>
      </c>
      <c r="B237" s="27" t="s">
        <v>761</v>
      </c>
      <c r="C237" s="27" t="s">
        <v>762</v>
      </c>
      <c r="D237" s="27" t="s">
        <v>763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2140</f>
        <v>2140.0</v>
      </c>
      <c r="L237" s="34" t="s">
        <v>48</v>
      </c>
      <c r="M237" s="33" t="n">
        <f>2140</f>
        <v>2140.0</v>
      </c>
      <c r="N237" s="34" t="s">
        <v>48</v>
      </c>
      <c r="O237" s="33" t="n">
        <f>1950</f>
        <v>1950.0</v>
      </c>
      <c r="P237" s="34" t="s">
        <v>69</v>
      </c>
      <c r="Q237" s="33" t="n">
        <f>2046.5</f>
        <v>2046.5</v>
      </c>
      <c r="R237" s="34" t="s">
        <v>50</v>
      </c>
      <c r="S237" s="35" t="n">
        <f>2101.58</f>
        <v>2101.58</v>
      </c>
      <c r="T237" s="32" t="n">
        <f>13030</f>
        <v>13030.0</v>
      </c>
      <c r="U237" s="32" t="n">
        <f>60</f>
        <v>60.0</v>
      </c>
      <c r="V237" s="32" t="n">
        <f>27413190</f>
        <v>2.741319E7</v>
      </c>
      <c r="W237" s="32" t="n">
        <f>125640</f>
        <v>125640.0</v>
      </c>
      <c r="X237" s="36" t="n">
        <f>20</f>
        <v>20.0</v>
      </c>
    </row>
    <row r="238">
      <c r="A238" s="27" t="s">
        <v>42</v>
      </c>
      <c r="B238" s="27" t="s">
        <v>764</v>
      </c>
      <c r="C238" s="27" t="s">
        <v>765</v>
      </c>
      <c r="D238" s="27" t="s">
        <v>766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2134</f>
        <v>2134.0</v>
      </c>
      <c r="L238" s="34" t="s">
        <v>48</v>
      </c>
      <c r="M238" s="33" t="n">
        <f>2135</f>
        <v>2135.0</v>
      </c>
      <c r="N238" s="34" t="s">
        <v>68</v>
      </c>
      <c r="O238" s="33" t="n">
        <f>2050</f>
        <v>2050.0</v>
      </c>
      <c r="P238" s="34" t="s">
        <v>69</v>
      </c>
      <c r="Q238" s="33" t="n">
        <f>2050.5</f>
        <v>2050.5</v>
      </c>
      <c r="R238" s="34" t="s">
        <v>50</v>
      </c>
      <c r="S238" s="35" t="n">
        <f>2100.58</f>
        <v>2100.58</v>
      </c>
      <c r="T238" s="32" t="n">
        <f>191440</f>
        <v>191440.0</v>
      </c>
      <c r="U238" s="32" t="n">
        <f>30080</f>
        <v>30080.0</v>
      </c>
      <c r="V238" s="32" t="n">
        <f>401144095</f>
        <v>4.01144095E8</v>
      </c>
      <c r="W238" s="32" t="n">
        <f>61983460</f>
        <v>6.198346E7</v>
      </c>
      <c r="X238" s="36" t="n">
        <f>20</f>
        <v>20.0</v>
      </c>
    </row>
    <row r="239">
      <c r="A239" s="27" t="s">
        <v>42</v>
      </c>
      <c r="B239" s="27" t="s">
        <v>767</v>
      </c>
      <c r="C239" s="27" t="s">
        <v>768</v>
      </c>
      <c r="D239" s="27" t="s">
        <v>769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2042</f>
        <v>2042.0</v>
      </c>
      <c r="L239" s="34" t="s">
        <v>48</v>
      </c>
      <c r="M239" s="33" t="n">
        <f>2076</f>
        <v>2076.0</v>
      </c>
      <c r="N239" s="34" t="s">
        <v>229</v>
      </c>
      <c r="O239" s="33" t="n">
        <f>1970.5</f>
        <v>1970.5</v>
      </c>
      <c r="P239" s="34" t="s">
        <v>69</v>
      </c>
      <c r="Q239" s="33" t="n">
        <f>1970.5</f>
        <v>1970.5</v>
      </c>
      <c r="R239" s="34" t="s">
        <v>69</v>
      </c>
      <c r="S239" s="35" t="n">
        <f>2035.88</f>
        <v>2035.88</v>
      </c>
      <c r="T239" s="32" t="n">
        <f>1080</f>
        <v>1080.0</v>
      </c>
      <c r="U239" s="32" t="str">
        <f>"－"</f>
        <v>－</v>
      </c>
      <c r="V239" s="32" t="n">
        <f>2188185</f>
        <v>2188185.0</v>
      </c>
      <c r="W239" s="32" t="str">
        <f>"－"</f>
        <v>－</v>
      </c>
      <c r="X239" s="36" t="n">
        <f>12</f>
        <v>12.0</v>
      </c>
    </row>
    <row r="240">
      <c r="A240" s="27" t="s">
        <v>42</v>
      </c>
      <c r="B240" s="27" t="s">
        <v>770</v>
      </c>
      <c r="C240" s="27" t="s">
        <v>771</v>
      </c>
      <c r="D240" s="27" t="s">
        <v>772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15150</f>
        <v>15150.0</v>
      </c>
      <c r="L240" s="34" t="s">
        <v>48</v>
      </c>
      <c r="M240" s="33" t="n">
        <f>15650</f>
        <v>15650.0</v>
      </c>
      <c r="N240" s="34" t="s">
        <v>342</v>
      </c>
      <c r="O240" s="33" t="n">
        <f>14985</f>
        <v>14985.0</v>
      </c>
      <c r="P240" s="34" t="s">
        <v>50</v>
      </c>
      <c r="Q240" s="33" t="n">
        <f>14995</f>
        <v>14995.0</v>
      </c>
      <c r="R240" s="34" t="s">
        <v>50</v>
      </c>
      <c r="S240" s="35" t="n">
        <f>15302.5</f>
        <v>15302.5</v>
      </c>
      <c r="T240" s="32" t="n">
        <f>818829</f>
        <v>818829.0</v>
      </c>
      <c r="U240" s="32" t="n">
        <f>1</f>
        <v>1.0</v>
      </c>
      <c r="V240" s="32" t="n">
        <f>12523101890</f>
        <v>1.252310189E10</v>
      </c>
      <c r="W240" s="32" t="n">
        <f>15150</f>
        <v>15150.0</v>
      </c>
      <c r="X240" s="36" t="n">
        <f>20</f>
        <v>20.0</v>
      </c>
    </row>
    <row r="241">
      <c r="A241" s="27" t="s">
        <v>42</v>
      </c>
      <c r="B241" s="27" t="s">
        <v>773</v>
      </c>
      <c r="C241" s="27" t="s">
        <v>774</v>
      </c>
      <c r="D241" s="27" t="s">
        <v>775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14080</f>
        <v>14080.0</v>
      </c>
      <c r="L241" s="34" t="s">
        <v>48</v>
      </c>
      <c r="M241" s="33" t="n">
        <f>14400</f>
        <v>14400.0</v>
      </c>
      <c r="N241" s="34" t="s">
        <v>68</v>
      </c>
      <c r="O241" s="33" t="n">
        <f>13630</f>
        <v>13630.0</v>
      </c>
      <c r="P241" s="34" t="s">
        <v>50</v>
      </c>
      <c r="Q241" s="33" t="n">
        <f>13655</f>
        <v>13655.0</v>
      </c>
      <c r="R241" s="34" t="s">
        <v>50</v>
      </c>
      <c r="S241" s="35" t="n">
        <f>14155.25</f>
        <v>14155.25</v>
      </c>
      <c r="T241" s="32" t="n">
        <f>227433</f>
        <v>227433.0</v>
      </c>
      <c r="U241" s="32" t="n">
        <f>37502</f>
        <v>37502.0</v>
      </c>
      <c r="V241" s="32" t="n">
        <f>3198609390</f>
        <v>3.19860939E9</v>
      </c>
      <c r="W241" s="32" t="n">
        <f>515969660</f>
        <v>5.1596966E8</v>
      </c>
      <c r="X241" s="36" t="n">
        <f>20</f>
        <v>20.0</v>
      </c>
    </row>
    <row r="242">
      <c r="A242" s="27" t="s">
        <v>42</v>
      </c>
      <c r="B242" s="27" t="s">
        <v>776</v>
      </c>
      <c r="C242" s="27" t="s">
        <v>777</v>
      </c>
      <c r="D242" s="27" t="s">
        <v>778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27170</f>
        <v>27170.0</v>
      </c>
      <c r="L242" s="34" t="s">
        <v>48</v>
      </c>
      <c r="M242" s="33" t="n">
        <f>27510</f>
        <v>27510.0</v>
      </c>
      <c r="N242" s="34" t="s">
        <v>73</v>
      </c>
      <c r="O242" s="33" t="n">
        <f>25900</f>
        <v>25900.0</v>
      </c>
      <c r="P242" s="34" t="s">
        <v>50</v>
      </c>
      <c r="Q242" s="33" t="n">
        <f>25900</f>
        <v>25900.0</v>
      </c>
      <c r="R242" s="34" t="s">
        <v>50</v>
      </c>
      <c r="S242" s="35" t="n">
        <f>27012.5</f>
        <v>27012.5</v>
      </c>
      <c r="T242" s="32" t="n">
        <f>144</f>
        <v>144.0</v>
      </c>
      <c r="U242" s="32" t="str">
        <f>"－"</f>
        <v>－</v>
      </c>
      <c r="V242" s="32" t="n">
        <f>3889920</f>
        <v>3889920.0</v>
      </c>
      <c r="W242" s="32" t="str">
        <f>"－"</f>
        <v>－</v>
      </c>
      <c r="X242" s="36" t="n">
        <f>12</f>
        <v>12.0</v>
      </c>
    </row>
    <row r="243">
      <c r="A243" s="27" t="s">
        <v>42</v>
      </c>
      <c r="B243" s="27" t="s">
        <v>779</v>
      </c>
      <c r="C243" s="27" t="s">
        <v>780</v>
      </c>
      <c r="D243" s="27" t="s">
        <v>781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2706</f>
        <v>2706.0</v>
      </c>
      <c r="L243" s="34" t="s">
        <v>48</v>
      </c>
      <c r="M243" s="33" t="n">
        <f>2716</f>
        <v>2716.0</v>
      </c>
      <c r="N243" s="34" t="s">
        <v>73</v>
      </c>
      <c r="O243" s="33" t="n">
        <f>2700</f>
        <v>2700.0</v>
      </c>
      <c r="P243" s="34" t="s">
        <v>48</v>
      </c>
      <c r="Q243" s="33" t="n">
        <f>2710</f>
        <v>2710.0</v>
      </c>
      <c r="R243" s="34" t="s">
        <v>50</v>
      </c>
      <c r="S243" s="35" t="n">
        <f>2707.85</f>
        <v>2707.85</v>
      </c>
      <c r="T243" s="32" t="n">
        <f>3043772</f>
        <v>3043772.0</v>
      </c>
      <c r="U243" s="32" t="n">
        <f>1749736</f>
        <v>1749736.0</v>
      </c>
      <c r="V243" s="32" t="n">
        <f>8242085643</f>
        <v>8.242085643E9</v>
      </c>
      <c r="W243" s="32" t="n">
        <f>4737653868</f>
        <v>4.737653868E9</v>
      </c>
      <c r="X243" s="36" t="n">
        <f>20</f>
        <v>20.0</v>
      </c>
    </row>
    <row r="244">
      <c r="A244" s="27" t="s">
        <v>42</v>
      </c>
      <c r="B244" s="27" t="s">
        <v>782</v>
      </c>
      <c r="C244" s="27" t="s">
        <v>783</v>
      </c>
      <c r="D244" s="27" t="s">
        <v>784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3100</f>
        <v>3100.0</v>
      </c>
      <c r="L244" s="34" t="s">
        <v>48</v>
      </c>
      <c r="M244" s="33" t="n">
        <f>3195</f>
        <v>3195.0</v>
      </c>
      <c r="N244" s="34" t="s">
        <v>101</v>
      </c>
      <c r="O244" s="33" t="n">
        <f>3006</f>
        <v>3006.0</v>
      </c>
      <c r="P244" s="34" t="s">
        <v>50</v>
      </c>
      <c r="Q244" s="33" t="n">
        <f>3009</f>
        <v>3009.0</v>
      </c>
      <c r="R244" s="34" t="s">
        <v>50</v>
      </c>
      <c r="S244" s="35" t="n">
        <f>3105.3</f>
        <v>3105.3</v>
      </c>
      <c r="T244" s="32" t="n">
        <f>2514570</f>
        <v>2514570.0</v>
      </c>
      <c r="U244" s="32" t="n">
        <f>1230920</f>
        <v>1230920.0</v>
      </c>
      <c r="V244" s="32" t="n">
        <f>7789094824</f>
        <v>7.789094824E9</v>
      </c>
      <c r="W244" s="32" t="n">
        <f>3826903014</f>
        <v>3.826903014E9</v>
      </c>
      <c r="X244" s="36" t="n">
        <f>20</f>
        <v>20.0</v>
      </c>
    </row>
    <row r="245">
      <c r="A245" s="27" t="s">
        <v>42</v>
      </c>
      <c r="B245" s="27" t="s">
        <v>785</v>
      </c>
      <c r="C245" s="27" t="s">
        <v>786</v>
      </c>
      <c r="D245" s="27" t="s">
        <v>787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3000</f>
        <v>3000.0</v>
      </c>
      <c r="L245" s="34" t="s">
        <v>48</v>
      </c>
      <c r="M245" s="33" t="n">
        <f>3080</f>
        <v>3080.0</v>
      </c>
      <c r="N245" s="34" t="s">
        <v>365</v>
      </c>
      <c r="O245" s="33" t="n">
        <f>2993</f>
        <v>2993.0</v>
      </c>
      <c r="P245" s="34" t="s">
        <v>60</v>
      </c>
      <c r="Q245" s="33" t="n">
        <f>3005</f>
        <v>3005.0</v>
      </c>
      <c r="R245" s="34" t="s">
        <v>50</v>
      </c>
      <c r="S245" s="35" t="n">
        <f>3040.9</f>
        <v>3040.9</v>
      </c>
      <c r="T245" s="32" t="n">
        <f>4834775</f>
        <v>4834775.0</v>
      </c>
      <c r="U245" s="32" t="n">
        <f>2431753</f>
        <v>2431753.0</v>
      </c>
      <c r="V245" s="32" t="n">
        <f>14713725724</f>
        <v>1.4713725724E10</v>
      </c>
      <c r="W245" s="32" t="n">
        <f>7413761538</f>
        <v>7.413761538E9</v>
      </c>
      <c r="X245" s="36" t="n">
        <f>20</f>
        <v>20.0</v>
      </c>
    </row>
    <row r="246">
      <c r="A246" s="27" t="s">
        <v>42</v>
      </c>
      <c r="B246" s="27" t="s">
        <v>788</v>
      </c>
      <c r="C246" s="27" t="s">
        <v>789</v>
      </c>
      <c r="D246" s="27" t="s">
        <v>790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1921</f>
        <v>1921.0</v>
      </c>
      <c r="L246" s="34" t="s">
        <v>48</v>
      </c>
      <c r="M246" s="33" t="n">
        <f>1937</f>
        <v>1937.0</v>
      </c>
      <c r="N246" s="34" t="s">
        <v>229</v>
      </c>
      <c r="O246" s="33" t="n">
        <f>1800</f>
        <v>1800.0</v>
      </c>
      <c r="P246" s="34" t="s">
        <v>50</v>
      </c>
      <c r="Q246" s="33" t="n">
        <f>1804</f>
        <v>1804.0</v>
      </c>
      <c r="R246" s="34" t="s">
        <v>50</v>
      </c>
      <c r="S246" s="35" t="n">
        <f>1893.65</f>
        <v>1893.65</v>
      </c>
      <c r="T246" s="32" t="n">
        <f>64455</f>
        <v>64455.0</v>
      </c>
      <c r="U246" s="32" t="n">
        <f>2</f>
        <v>2.0</v>
      </c>
      <c r="V246" s="32" t="n">
        <f>120237023</f>
        <v>1.20237023E8</v>
      </c>
      <c r="W246" s="32" t="n">
        <f>3818</f>
        <v>3818.0</v>
      </c>
      <c r="X246" s="36" t="n">
        <f>20</f>
        <v>20.0</v>
      </c>
    </row>
    <row r="247">
      <c r="A247" s="27" t="s">
        <v>42</v>
      </c>
      <c r="B247" s="27" t="s">
        <v>791</v>
      </c>
      <c r="C247" s="27" t="s">
        <v>792</v>
      </c>
      <c r="D247" s="27" t="s">
        <v>793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1210</f>
        <v>1210.0</v>
      </c>
      <c r="L247" s="34" t="s">
        <v>48</v>
      </c>
      <c r="M247" s="33" t="n">
        <f>1236</f>
        <v>1236.0</v>
      </c>
      <c r="N247" s="34" t="s">
        <v>73</v>
      </c>
      <c r="O247" s="33" t="n">
        <f>1182</f>
        <v>1182.0</v>
      </c>
      <c r="P247" s="34" t="s">
        <v>50</v>
      </c>
      <c r="Q247" s="33" t="n">
        <f>1182</f>
        <v>1182.0</v>
      </c>
      <c r="R247" s="34" t="s">
        <v>50</v>
      </c>
      <c r="S247" s="35" t="n">
        <f>1194.95</f>
        <v>1194.95</v>
      </c>
      <c r="T247" s="32" t="n">
        <f>118665</f>
        <v>118665.0</v>
      </c>
      <c r="U247" s="32" t="n">
        <f>6</f>
        <v>6.0</v>
      </c>
      <c r="V247" s="32" t="n">
        <f>141940121</f>
        <v>1.41940121E8</v>
      </c>
      <c r="W247" s="32" t="n">
        <f>7120</f>
        <v>7120.0</v>
      </c>
      <c r="X247" s="36" t="n">
        <f>20</f>
        <v>20.0</v>
      </c>
    </row>
    <row r="248">
      <c r="A248" s="27" t="s">
        <v>42</v>
      </c>
      <c r="B248" s="27" t="s">
        <v>794</v>
      </c>
      <c r="C248" s="27" t="s">
        <v>795</v>
      </c>
      <c r="D248" s="27" t="s">
        <v>796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1181</f>
        <v>1181.0</v>
      </c>
      <c r="L248" s="34" t="s">
        <v>48</v>
      </c>
      <c r="M248" s="33" t="n">
        <f>1182</f>
        <v>1182.0</v>
      </c>
      <c r="N248" s="34" t="s">
        <v>68</v>
      </c>
      <c r="O248" s="33" t="n">
        <f>1136</f>
        <v>1136.0</v>
      </c>
      <c r="P248" s="34" t="s">
        <v>69</v>
      </c>
      <c r="Q248" s="33" t="n">
        <f>1138</f>
        <v>1138.0</v>
      </c>
      <c r="R248" s="34" t="s">
        <v>50</v>
      </c>
      <c r="S248" s="35" t="n">
        <f>1162.45</f>
        <v>1162.45</v>
      </c>
      <c r="T248" s="32" t="n">
        <f>98450</f>
        <v>98450.0</v>
      </c>
      <c r="U248" s="32" t="n">
        <f>52020</f>
        <v>52020.0</v>
      </c>
      <c r="V248" s="32" t="n">
        <f>114718500</f>
        <v>1.147185E8</v>
      </c>
      <c r="W248" s="32" t="n">
        <f>60574350</f>
        <v>6.057435E7</v>
      </c>
      <c r="X248" s="36" t="n">
        <f>20</f>
        <v>20.0</v>
      </c>
    </row>
    <row r="249">
      <c r="A249" s="27" t="s">
        <v>42</v>
      </c>
      <c r="B249" s="27" t="s">
        <v>797</v>
      </c>
      <c r="C249" s="27" t="s">
        <v>798</v>
      </c>
      <c r="D249" s="27" t="s">
        <v>799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256</f>
        <v>256.0</v>
      </c>
      <c r="L249" s="34" t="s">
        <v>48</v>
      </c>
      <c r="M249" s="33" t="n">
        <f>271</f>
        <v>271.0</v>
      </c>
      <c r="N249" s="34" t="s">
        <v>97</v>
      </c>
      <c r="O249" s="33" t="n">
        <f>252</f>
        <v>252.0</v>
      </c>
      <c r="P249" s="34" t="s">
        <v>50</v>
      </c>
      <c r="Q249" s="33" t="n">
        <f>253.1</f>
        <v>253.1</v>
      </c>
      <c r="R249" s="34" t="s">
        <v>50</v>
      </c>
      <c r="S249" s="35" t="n">
        <f>258.76</f>
        <v>258.76</v>
      </c>
      <c r="T249" s="32" t="n">
        <f>31070</f>
        <v>31070.0</v>
      </c>
      <c r="U249" s="32" t="n">
        <f>40</f>
        <v>40.0</v>
      </c>
      <c r="V249" s="32" t="n">
        <f>8090188</f>
        <v>8090188.0</v>
      </c>
      <c r="W249" s="32" t="n">
        <f>10270</f>
        <v>10270.0</v>
      </c>
      <c r="X249" s="36" t="n">
        <f>20</f>
        <v>20.0</v>
      </c>
    </row>
    <row r="250">
      <c r="A250" s="27" t="s">
        <v>42</v>
      </c>
      <c r="B250" s="27" t="s">
        <v>800</v>
      </c>
      <c r="C250" s="27" t="s">
        <v>801</v>
      </c>
      <c r="D250" s="27" t="s">
        <v>802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3130</f>
        <v>3130.0</v>
      </c>
      <c r="L250" s="34" t="s">
        <v>48</v>
      </c>
      <c r="M250" s="33" t="n">
        <f>3275</f>
        <v>3275.0</v>
      </c>
      <c r="N250" s="34" t="s">
        <v>191</v>
      </c>
      <c r="O250" s="33" t="n">
        <f>3105</f>
        <v>3105.0</v>
      </c>
      <c r="P250" s="34" t="s">
        <v>60</v>
      </c>
      <c r="Q250" s="33" t="n">
        <f>3178</f>
        <v>3178.0</v>
      </c>
      <c r="R250" s="34" t="s">
        <v>50</v>
      </c>
      <c r="S250" s="35" t="n">
        <f>3189.85</f>
        <v>3189.85</v>
      </c>
      <c r="T250" s="32" t="n">
        <f>1745460</f>
        <v>1745460.0</v>
      </c>
      <c r="U250" s="32" t="n">
        <f>64980</f>
        <v>64980.0</v>
      </c>
      <c r="V250" s="32" t="n">
        <f>5565759818</f>
        <v>5.565759818E9</v>
      </c>
      <c r="W250" s="32" t="n">
        <f>206221218</f>
        <v>2.06221218E8</v>
      </c>
      <c r="X250" s="36" t="n">
        <f>20</f>
        <v>20.0</v>
      </c>
    </row>
    <row r="251">
      <c r="A251" s="27" t="s">
        <v>42</v>
      </c>
      <c r="B251" s="27" t="s">
        <v>803</v>
      </c>
      <c r="C251" s="27" t="s">
        <v>804</v>
      </c>
      <c r="D251" s="27" t="s">
        <v>805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2856</f>
        <v>2856.0</v>
      </c>
      <c r="L251" s="34" t="s">
        <v>48</v>
      </c>
      <c r="M251" s="33" t="n">
        <f>2992</f>
        <v>2992.0</v>
      </c>
      <c r="N251" s="34" t="s">
        <v>191</v>
      </c>
      <c r="O251" s="33" t="n">
        <f>2853</f>
        <v>2853.0</v>
      </c>
      <c r="P251" s="34" t="s">
        <v>60</v>
      </c>
      <c r="Q251" s="33" t="n">
        <f>2935</f>
        <v>2935.0</v>
      </c>
      <c r="R251" s="34" t="s">
        <v>50</v>
      </c>
      <c r="S251" s="35" t="n">
        <f>2923.3</f>
        <v>2923.3</v>
      </c>
      <c r="T251" s="32" t="n">
        <f>4503260</f>
        <v>4503260.0</v>
      </c>
      <c r="U251" s="32" t="n">
        <f>1058150</f>
        <v>1058150.0</v>
      </c>
      <c r="V251" s="32" t="n">
        <f>13133232520</f>
        <v>1.313323252E10</v>
      </c>
      <c r="W251" s="32" t="n">
        <f>3074759850</f>
        <v>3.07475985E9</v>
      </c>
      <c r="X251" s="36" t="n">
        <f>20</f>
        <v>20.0</v>
      </c>
    </row>
    <row r="252">
      <c r="A252" s="27" t="s">
        <v>42</v>
      </c>
      <c r="B252" s="27" t="s">
        <v>806</v>
      </c>
      <c r="C252" s="27" t="s">
        <v>807</v>
      </c>
      <c r="D252" s="27" t="s">
        <v>808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2669</f>
        <v>2669.0</v>
      </c>
      <c r="L252" s="34" t="s">
        <v>48</v>
      </c>
      <c r="M252" s="33" t="n">
        <f>2693</f>
        <v>2693.0</v>
      </c>
      <c r="N252" s="34" t="s">
        <v>342</v>
      </c>
      <c r="O252" s="33" t="n">
        <f>2639</f>
        <v>2639.0</v>
      </c>
      <c r="P252" s="34" t="s">
        <v>242</v>
      </c>
      <c r="Q252" s="33" t="n">
        <f>2647</f>
        <v>2647.0</v>
      </c>
      <c r="R252" s="34" t="s">
        <v>50</v>
      </c>
      <c r="S252" s="35" t="n">
        <f>2664.3</f>
        <v>2664.3</v>
      </c>
      <c r="T252" s="32" t="n">
        <f>1978077</f>
        <v>1978077.0</v>
      </c>
      <c r="U252" s="32" t="n">
        <f>1125000</f>
        <v>1125000.0</v>
      </c>
      <c r="V252" s="32" t="n">
        <f>5251562165</f>
        <v>5.251562165E9</v>
      </c>
      <c r="W252" s="32" t="n">
        <f>2986307897</f>
        <v>2.986307897E9</v>
      </c>
      <c r="X252" s="36" t="n">
        <f>20</f>
        <v>20.0</v>
      </c>
    </row>
    <row r="253">
      <c r="A253" s="27" t="s">
        <v>42</v>
      </c>
      <c r="B253" s="27" t="s">
        <v>809</v>
      </c>
      <c r="C253" s="27" t="s">
        <v>810</v>
      </c>
      <c r="D253" s="27" t="s">
        <v>811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2250</f>
        <v>2250.0</v>
      </c>
      <c r="L253" s="34" t="s">
        <v>48</v>
      </c>
      <c r="M253" s="33" t="n">
        <f>2311</f>
        <v>2311.0</v>
      </c>
      <c r="N253" s="34" t="s">
        <v>61</v>
      </c>
      <c r="O253" s="33" t="n">
        <f>2211</f>
        <v>2211.0</v>
      </c>
      <c r="P253" s="34" t="s">
        <v>133</v>
      </c>
      <c r="Q253" s="33" t="n">
        <f>2302</f>
        <v>2302.0</v>
      </c>
      <c r="R253" s="34" t="s">
        <v>50</v>
      </c>
      <c r="S253" s="35" t="n">
        <f>2258.5</f>
        <v>2258.5</v>
      </c>
      <c r="T253" s="32" t="n">
        <f>1416340</f>
        <v>1416340.0</v>
      </c>
      <c r="U253" s="32" t="n">
        <f>6</f>
        <v>6.0</v>
      </c>
      <c r="V253" s="32" t="n">
        <f>3198955311</f>
        <v>3.198955311E9</v>
      </c>
      <c r="W253" s="32" t="n">
        <f>13564</f>
        <v>13564.0</v>
      </c>
      <c r="X253" s="36" t="n">
        <f>20</f>
        <v>20.0</v>
      </c>
    </row>
    <row r="254">
      <c r="A254" s="27" t="s">
        <v>42</v>
      </c>
      <c r="B254" s="27" t="s">
        <v>812</v>
      </c>
      <c r="C254" s="27" t="s">
        <v>813</v>
      </c>
      <c r="D254" s="27" t="s">
        <v>814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2476</f>
        <v>2476.0</v>
      </c>
      <c r="L254" s="34" t="s">
        <v>48</v>
      </c>
      <c r="M254" s="33" t="n">
        <f>2490</f>
        <v>2490.0</v>
      </c>
      <c r="N254" s="34" t="s">
        <v>73</v>
      </c>
      <c r="O254" s="33" t="n">
        <f>2395</f>
        <v>2395.0</v>
      </c>
      <c r="P254" s="34" t="s">
        <v>69</v>
      </c>
      <c r="Q254" s="33" t="n">
        <f>2411</f>
        <v>2411.0</v>
      </c>
      <c r="R254" s="34" t="s">
        <v>50</v>
      </c>
      <c r="S254" s="35" t="n">
        <f>2452.15</f>
        <v>2452.15</v>
      </c>
      <c r="T254" s="32" t="n">
        <f>60292</f>
        <v>60292.0</v>
      </c>
      <c r="U254" s="32" t="n">
        <f>20669</f>
        <v>20669.0</v>
      </c>
      <c r="V254" s="32" t="n">
        <f>145465202</f>
        <v>1.45465202E8</v>
      </c>
      <c r="W254" s="32" t="n">
        <f>49473776</f>
        <v>4.9473776E7</v>
      </c>
      <c r="X254" s="36" t="n">
        <f>20</f>
        <v>20.0</v>
      </c>
    </row>
    <row r="255">
      <c r="A255" s="27" t="s">
        <v>42</v>
      </c>
      <c r="B255" s="27" t="s">
        <v>815</v>
      </c>
      <c r="C255" s="27" t="s">
        <v>816</v>
      </c>
      <c r="D255" s="27" t="s">
        <v>817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2497</f>
        <v>2497.0</v>
      </c>
      <c r="L255" s="34" t="s">
        <v>48</v>
      </c>
      <c r="M255" s="33" t="n">
        <f>2518</f>
        <v>2518.0</v>
      </c>
      <c r="N255" s="34" t="s">
        <v>49</v>
      </c>
      <c r="O255" s="33" t="n">
        <f>2480</f>
        <v>2480.0</v>
      </c>
      <c r="P255" s="34" t="s">
        <v>80</v>
      </c>
      <c r="Q255" s="33" t="n">
        <f>2490</f>
        <v>2490.0</v>
      </c>
      <c r="R255" s="34" t="s">
        <v>69</v>
      </c>
      <c r="S255" s="35" t="n">
        <f>2498.2</f>
        <v>2498.2</v>
      </c>
      <c r="T255" s="32" t="n">
        <f>14134</f>
        <v>14134.0</v>
      </c>
      <c r="U255" s="32" t="n">
        <f>4</f>
        <v>4.0</v>
      </c>
      <c r="V255" s="32" t="n">
        <f>35372144</f>
        <v>3.5372144E7</v>
      </c>
      <c r="W255" s="32" t="n">
        <f>10016</f>
        <v>10016.0</v>
      </c>
      <c r="X255" s="36" t="n">
        <f>15</f>
        <v>15.0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2948</f>
        <v>2948.0</v>
      </c>
      <c r="L256" s="34" t="s">
        <v>48</v>
      </c>
      <c r="M256" s="33" t="n">
        <f>3000</f>
        <v>3000.0</v>
      </c>
      <c r="N256" s="34" t="s">
        <v>49</v>
      </c>
      <c r="O256" s="33" t="n">
        <f>2786</f>
        <v>2786.0</v>
      </c>
      <c r="P256" s="34" t="s">
        <v>50</v>
      </c>
      <c r="Q256" s="33" t="n">
        <f>2786</f>
        <v>2786.0</v>
      </c>
      <c r="R256" s="34" t="s">
        <v>50</v>
      </c>
      <c r="S256" s="35" t="n">
        <f>2941</f>
        <v>2941.0</v>
      </c>
      <c r="T256" s="32" t="n">
        <f>205539</f>
        <v>205539.0</v>
      </c>
      <c r="U256" s="32" t="n">
        <f>20000</f>
        <v>20000.0</v>
      </c>
      <c r="V256" s="32" t="n">
        <f>601419974</f>
        <v>6.01419974E8</v>
      </c>
      <c r="W256" s="32" t="n">
        <f>59120000</f>
        <v>5.912E7</v>
      </c>
      <c r="X256" s="36" t="n">
        <f>20</f>
        <v>20.0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2036</f>
        <v>2036.0</v>
      </c>
      <c r="L257" s="34" t="s">
        <v>48</v>
      </c>
      <c r="M257" s="33" t="n">
        <f>2068</f>
        <v>2068.0</v>
      </c>
      <c r="N257" s="34" t="s">
        <v>133</v>
      </c>
      <c r="O257" s="33" t="n">
        <f>1928</f>
        <v>1928.0</v>
      </c>
      <c r="P257" s="34" t="s">
        <v>50</v>
      </c>
      <c r="Q257" s="33" t="n">
        <f>1939</f>
        <v>1939.0</v>
      </c>
      <c r="R257" s="34" t="s">
        <v>50</v>
      </c>
      <c r="S257" s="35" t="n">
        <f>2025.5</f>
        <v>2025.5</v>
      </c>
      <c r="T257" s="32" t="n">
        <f>599335</f>
        <v>599335.0</v>
      </c>
      <c r="U257" s="32" t="n">
        <f>50004</f>
        <v>50004.0</v>
      </c>
      <c r="V257" s="32" t="n">
        <f>1215113662</f>
        <v>1.215113662E9</v>
      </c>
      <c r="W257" s="32" t="n">
        <f>102548130</f>
        <v>1.0254813E8</v>
      </c>
      <c r="X257" s="36" t="n">
        <f>20</f>
        <v>20.0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2116</f>
        <v>2116.0</v>
      </c>
      <c r="L258" s="34" t="s">
        <v>48</v>
      </c>
      <c r="M258" s="33" t="n">
        <f>2202</f>
        <v>2202.0</v>
      </c>
      <c r="N258" s="34" t="s">
        <v>133</v>
      </c>
      <c r="O258" s="33" t="n">
        <f>2062</f>
        <v>2062.0</v>
      </c>
      <c r="P258" s="34" t="s">
        <v>50</v>
      </c>
      <c r="Q258" s="33" t="n">
        <f>2062</f>
        <v>2062.0</v>
      </c>
      <c r="R258" s="34" t="s">
        <v>50</v>
      </c>
      <c r="S258" s="35" t="n">
        <f>2145.75</f>
        <v>2145.75</v>
      </c>
      <c r="T258" s="32" t="n">
        <f>151721</f>
        <v>151721.0</v>
      </c>
      <c r="U258" s="32" t="n">
        <f>6</f>
        <v>6.0</v>
      </c>
      <c r="V258" s="32" t="n">
        <f>325086201</f>
        <v>3.25086201E8</v>
      </c>
      <c r="W258" s="32" t="n">
        <f>12946</f>
        <v>12946.0</v>
      </c>
      <c r="X258" s="36" t="n">
        <f>20</f>
        <v>20.0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2274</f>
        <v>2274.0</v>
      </c>
      <c r="L259" s="34" t="s">
        <v>48</v>
      </c>
      <c r="M259" s="33" t="n">
        <f>2345</f>
        <v>2345.0</v>
      </c>
      <c r="N259" s="34" t="s">
        <v>73</v>
      </c>
      <c r="O259" s="33" t="n">
        <f>2170</f>
        <v>2170.0</v>
      </c>
      <c r="P259" s="34" t="s">
        <v>50</v>
      </c>
      <c r="Q259" s="33" t="n">
        <f>2170</f>
        <v>2170.0</v>
      </c>
      <c r="R259" s="34" t="s">
        <v>50</v>
      </c>
      <c r="S259" s="35" t="n">
        <f>2283.1</f>
        <v>2283.1</v>
      </c>
      <c r="T259" s="32" t="n">
        <f>155930</f>
        <v>155930.0</v>
      </c>
      <c r="U259" s="32" t="n">
        <f>2</f>
        <v>2.0</v>
      </c>
      <c r="V259" s="32" t="n">
        <f>356561987</f>
        <v>3.56561987E8</v>
      </c>
      <c r="W259" s="32" t="n">
        <f>4646</f>
        <v>4646.0</v>
      </c>
      <c r="X259" s="36" t="n">
        <f>20</f>
        <v>20.0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2520</f>
        <v>2520.0</v>
      </c>
      <c r="L260" s="34" t="s">
        <v>48</v>
      </c>
      <c r="M260" s="33" t="n">
        <f>2705</f>
        <v>2705.0</v>
      </c>
      <c r="N260" s="34" t="s">
        <v>195</v>
      </c>
      <c r="O260" s="33" t="n">
        <f>2490</f>
        <v>2490.0</v>
      </c>
      <c r="P260" s="34" t="s">
        <v>73</v>
      </c>
      <c r="Q260" s="33" t="n">
        <f>2636</f>
        <v>2636.0</v>
      </c>
      <c r="R260" s="34" t="s">
        <v>50</v>
      </c>
      <c r="S260" s="35" t="n">
        <f>2591.3</f>
        <v>2591.3</v>
      </c>
      <c r="T260" s="32" t="n">
        <f>19419</f>
        <v>19419.0</v>
      </c>
      <c r="U260" s="32" t="n">
        <f>6</f>
        <v>6.0</v>
      </c>
      <c r="V260" s="32" t="n">
        <f>50516700</f>
        <v>5.05167E7</v>
      </c>
      <c r="W260" s="32" t="n">
        <f>15763</f>
        <v>15763.0</v>
      </c>
      <c r="X260" s="36" t="n">
        <f>20</f>
        <v>20.0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2745</f>
        <v>2745.0</v>
      </c>
      <c r="L261" s="34" t="s">
        <v>48</v>
      </c>
      <c r="M261" s="33" t="n">
        <f>2830</f>
        <v>2830.0</v>
      </c>
      <c r="N261" s="34" t="s">
        <v>133</v>
      </c>
      <c r="O261" s="33" t="n">
        <f>2660</f>
        <v>2660.0</v>
      </c>
      <c r="P261" s="34" t="s">
        <v>61</v>
      </c>
      <c r="Q261" s="33" t="n">
        <f>2670</f>
        <v>2670.0</v>
      </c>
      <c r="R261" s="34" t="s">
        <v>50</v>
      </c>
      <c r="S261" s="35" t="n">
        <f>2748.55</f>
        <v>2748.55</v>
      </c>
      <c r="T261" s="32" t="n">
        <f>7738</f>
        <v>7738.0</v>
      </c>
      <c r="U261" s="32" t="n">
        <f>6</f>
        <v>6.0</v>
      </c>
      <c r="V261" s="32" t="n">
        <f>21244738</f>
        <v>2.1244738E7</v>
      </c>
      <c r="W261" s="32" t="n">
        <f>16533</f>
        <v>16533.0</v>
      </c>
      <c r="X261" s="36" t="n">
        <f>20</f>
        <v>20.0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11950</f>
        <v>11950.0</v>
      </c>
      <c r="L262" s="34" t="s">
        <v>48</v>
      </c>
      <c r="M262" s="33" t="n">
        <f>12260</f>
        <v>12260.0</v>
      </c>
      <c r="N262" s="34" t="s">
        <v>342</v>
      </c>
      <c r="O262" s="33" t="n">
        <f>11900</f>
        <v>11900.0</v>
      </c>
      <c r="P262" s="34" t="s">
        <v>60</v>
      </c>
      <c r="Q262" s="33" t="n">
        <f>11930</f>
        <v>11930.0</v>
      </c>
      <c r="R262" s="34" t="s">
        <v>50</v>
      </c>
      <c r="S262" s="35" t="n">
        <f>12088</f>
        <v>12088.0</v>
      </c>
      <c r="T262" s="32" t="n">
        <f>294353</f>
        <v>294353.0</v>
      </c>
      <c r="U262" s="32" t="n">
        <f>104400</f>
        <v>104400.0</v>
      </c>
      <c r="V262" s="32" t="n">
        <f>3551142557</f>
        <v>3.551142557E9</v>
      </c>
      <c r="W262" s="32" t="n">
        <f>1251366562</f>
        <v>1.251366562E9</v>
      </c>
      <c r="X262" s="36" t="n">
        <f>20</f>
        <v>20.0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13050</f>
        <v>13050.0</v>
      </c>
      <c r="L263" s="34" t="s">
        <v>48</v>
      </c>
      <c r="M263" s="33" t="n">
        <f>13660</f>
        <v>13660.0</v>
      </c>
      <c r="N263" s="34" t="s">
        <v>191</v>
      </c>
      <c r="O263" s="33" t="n">
        <f>12980</f>
        <v>12980.0</v>
      </c>
      <c r="P263" s="34" t="s">
        <v>60</v>
      </c>
      <c r="Q263" s="33" t="n">
        <f>13270</f>
        <v>13270.0</v>
      </c>
      <c r="R263" s="34" t="s">
        <v>50</v>
      </c>
      <c r="S263" s="35" t="n">
        <f>13331.75</f>
        <v>13331.75</v>
      </c>
      <c r="T263" s="32" t="n">
        <f>752552</f>
        <v>752552.0</v>
      </c>
      <c r="U263" s="32" t="n">
        <f>15205</f>
        <v>15205.0</v>
      </c>
      <c r="V263" s="32" t="n">
        <f>10043699417</f>
        <v>1.0043699417E10</v>
      </c>
      <c r="W263" s="32" t="n">
        <f>200643192</f>
        <v>2.00643192E8</v>
      </c>
      <c r="X263" s="36" t="n">
        <f>20</f>
        <v>20.0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12030</f>
        <v>12030.0</v>
      </c>
      <c r="L264" s="34" t="s">
        <v>48</v>
      </c>
      <c r="M264" s="33" t="n">
        <f>12590</f>
        <v>12590.0</v>
      </c>
      <c r="N264" s="34" t="s">
        <v>191</v>
      </c>
      <c r="O264" s="33" t="n">
        <f>12000</f>
        <v>12000.0</v>
      </c>
      <c r="P264" s="34" t="s">
        <v>60</v>
      </c>
      <c r="Q264" s="33" t="n">
        <f>12335</f>
        <v>12335.0</v>
      </c>
      <c r="R264" s="34" t="s">
        <v>50</v>
      </c>
      <c r="S264" s="35" t="n">
        <f>12298.5</f>
        <v>12298.5</v>
      </c>
      <c r="T264" s="32" t="n">
        <f>295997</f>
        <v>295997.0</v>
      </c>
      <c r="U264" s="32" t="n">
        <f>34052</f>
        <v>34052.0</v>
      </c>
      <c r="V264" s="32" t="n">
        <f>3641980144</f>
        <v>3.641980144E9</v>
      </c>
      <c r="W264" s="32" t="n">
        <f>418246944</f>
        <v>4.18246944E8</v>
      </c>
      <c r="X264" s="36" t="n">
        <f>20</f>
        <v>20.0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2441</f>
        <v>2441.0</v>
      </c>
      <c r="L265" s="34" t="s">
        <v>48</v>
      </c>
      <c r="M265" s="33" t="n">
        <f>2521</f>
        <v>2521.0</v>
      </c>
      <c r="N265" s="34" t="s">
        <v>342</v>
      </c>
      <c r="O265" s="33" t="n">
        <f>2415</f>
        <v>2415.0</v>
      </c>
      <c r="P265" s="34" t="s">
        <v>50</v>
      </c>
      <c r="Q265" s="33" t="n">
        <f>2415</f>
        <v>2415.0</v>
      </c>
      <c r="R265" s="34" t="s">
        <v>50</v>
      </c>
      <c r="S265" s="35" t="n">
        <f>2464.6</f>
        <v>2464.6</v>
      </c>
      <c r="T265" s="32" t="n">
        <f>790070</f>
        <v>790070.0</v>
      </c>
      <c r="U265" s="32" t="n">
        <f>82090</f>
        <v>82090.0</v>
      </c>
      <c r="V265" s="32" t="n">
        <f>1943713623</f>
        <v>1.943713623E9</v>
      </c>
      <c r="W265" s="32" t="n">
        <f>200386848</f>
        <v>2.00386848E8</v>
      </c>
      <c r="X265" s="36" t="n">
        <f>20</f>
        <v>20.0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2334</f>
        <v>2334.0</v>
      </c>
      <c r="L266" s="34" t="s">
        <v>48</v>
      </c>
      <c r="M266" s="33" t="n">
        <f>2398</f>
        <v>2398.0</v>
      </c>
      <c r="N266" s="34" t="s">
        <v>365</v>
      </c>
      <c r="O266" s="33" t="n">
        <f>2324</f>
        <v>2324.0</v>
      </c>
      <c r="P266" s="34" t="s">
        <v>60</v>
      </c>
      <c r="Q266" s="33" t="n">
        <f>2332</f>
        <v>2332.0</v>
      </c>
      <c r="R266" s="34" t="s">
        <v>50</v>
      </c>
      <c r="S266" s="35" t="n">
        <f>2361.23</f>
        <v>2361.23</v>
      </c>
      <c r="T266" s="32" t="n">
        <f>3436030</f>
        <v>3436030.0</v>
      </c>
      <c r="U266" s="32" t="n">
        <f>2241320</f>
        <v>2241320.0</v>
      </c>
      <c r="V266" s="32" t="n">
        <f>8118980769</f>
        <v>8.118980769E9</v>
      </c>
      <c r="W266" s="32" t="n">
        <f>5300190629</f>
        <v>5.300190629E9</v>
      </c>
      <c r="X266" s="36" t="n">
        <f>20</f>
        <v>20.0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2482</f>
        <v>2482.0</v>
      </c>
      <c r="L267" s="34" t="s">
        <v>48</v>
      </c>
      <c r="M267" s="33" t="n">
        <f>2581</f>
        <v>2581.0</v>
      </c>
      <c r="N267" s="34" t="s">
        <v>342</v>
      </c>
      <c r="O267" s="33" t="n">
        <f>2460</f>
        <v>2460.0</v>
      </c>
      <c r="P267" s="34" t="s">
        <v>60</v>
      </c>
      <c r="Q267" s="33" t="n">
        <f>2469</f>
        <v>2469.0</v>
      </c>
      <c r="R267" s="34" t="s">
        <v>50</v>
      </c>
      <c r="S267" s="35" t="n">
        <f>2515.48</f>
        <v>2515.48</v>
      </c>
      <c r="T267" s="32" t="n">
        <f>238760</f>
        <v>238760.0</v>
      </c>
      <c r="U267" s="32" t="n">
        <f>20000</f>
        <v>20000.0</v>
      </c>
      <c r="V267" s="32" t="n">
        <f>598394413</f>
        <v>5.98394413E8</v>
      </c>
      <c r="W267" s="32" t="n">
        <f>50559588</f>
        <v>5.0559588E7</v>
      </c>
      <c r="X267" s="36" t="n">
        <f>20</f>
        <v>20.0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2855</f>
        <v>2855.0</v>
      </c>
      <c r="L268" s="34" t="s">
        <v>48</v>
      </c>
      <c r="M268" s="33" t="n">
        <f>2918</f>
        <v>2918.0</v>
      </c>
      <c r="N268" s="34" t="s">
        <v>191</v>
      </c>
      <c r="O268" s="33" t="n">
        <f>2759</f>
        <v>2759.0</v>
      </c>
      <c r="P268" s="34" t="s">
        <v>50</v>
      </c>
      <c r="Q268" s="33" t="n">
        <f>2759</f>
        <v>2759.0</v>
      </c>
      <c r="R268" s="34" t="s">
        <v>50</v>
      </c>
      <c r="S268" s="35" t="n">
        <f>2861.5</f>
        <v>2861.5</v>
      </c>
      <c r="T268" s="32" t="n">
        <f>6725</f>
        <v>6725.0</v>
      </c>
      <c r="U268" s="32" t="str">
        <f>"－"</f>
        <v>－</v>
      </c>
      <c r="V268" s="32" t="n">
        <f>19134851</f>
        <v>1.9134851E7</v>
      </c>
      <c r="W268" s="32" t="str">
        <f>"－"</f>
        <v>－</v>
      </c>
      <c r="X268" s="36" t="n">
        <f>20</f>
        <v>20.0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1821</f>
        <v>1821.0</v>
      </c>
      <c r="L269" s="34" t="s">
        <v>48</v>
      </c>
      <c r="M269" s="33" t="n">
        <f>1863</f>
        <v>1863.0</v>
      </c>
      <c r="N269" s="34" t="s">
        <v>191</v>
      </c>
      <c r="O269" s="33" t="n">
        <f>1720</f>
        <v>1720.0</v>
      </c>
      <c r="P269" s="34" t="s">
        <v>69</v>
      </c>
      <c r="Q269" s="33" t="n">
        <f>1733</f>
        <v>1733.0</v>
      </c>
      <c r="R269" s="34" t="s">
        <v>50</v>
      </c>
      <c r="S269" s="35" t="n">
        <f>1821.15</f>
        <v>1821.15</v>
      </c>
      <c r="T269" s="32" t="n">
        <f>149275</f>
        <v>149275.0</v>
      </c>
      <c r="U269" s="32" t="n">
        <f>6</f>
        <v>6.0</v>
      </c>
      <c r="V269" s="32" t="n">
        <f>272188162</f>
        <v>2.72188162E8</v>
      </c>
      <c r="W269" s="32" t="n">
        <f>10908</f>
        <v>10908.0</v>
      </c>
      <c r="X269" s="36" t="n">
        <f>20</f>
        <v>20.0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2306</f>
        <v>2306.0</v>
      </c>
      <c r="L270" s="34" t="s">
        <v>48</v>
      </c>
      <c r="M270" s="33" t="n">
        <f>2405</f>
        <v>2405.0</v>
      </c>
      <c r="N270" s="34" t="s">
        <v>365</v>
      </c>
      <c r="O270" s="33" t="n">
        <f>2245</f>
        <v>2245.0</v>
      </c>
      <c r="P270" s="34" t="s">
        <v>69</v>
      </c>
      <c r="Q270" s="33" t="n">
        <f>2247</f>
        <v>2247.0</v>
      </c>
      <c r="R270" s="34" t="s">
        <v>50</v>
      </c>
      <c r="S270" s="35" t="n">
        <f>2329.7</f>
        <v>2329.7</v>
      </c>
      <c r="T270" s="32" t="n">
        <f>53558</f>
        <v>53558.0</v>
      </c>
      <c r="U270" s="32" t="n">
        <f>2</f>
        <v>2.0</v>
      </c>
      <c r="V270" s="32" t="n">
        <f>124313924</f>
        <v>1.24313924E8</v>
      </c>
      <c r="W270" s="32" t="n">
        <f>4780</f>
        <v>4780.0</v>
      </c>
      <c r="X270" s="36" t="n">
        <f>20</f>
        <v>20.0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1891</f>
        <v>1891.0</v>
      </c>
      <c r="L271" s="34" t="s">
        <v>48</v>
      </c>
      <c r="M271" s="33" t="n">
        <f>1891</f>
        <v>1891.0</v>
      </c>
      <c r="N271" s="34" t="s">
        <v>48</v>
      </c>
      <c r="O271" s="33" t="n">
        <f>1772</f>
        <v>1772.0</v>
      </c>
      <c r="P271" s="34" t="s">
        <v>50</v>
      </c>
      <c r="Q271" s="33" t="n">
        <f>1772</f>
        <v>1772.0</v>
      </c>
      <c r="R271" s="34" t="s">
        <v>50</v>
      </c>
      <c r="S271" s="35" t="n">
        <f>1846.45</f>
        <v>1846.45</v>
      </c>
      <c r="T271" s="32" t="n">
        <f>63820</f>
        <v>63820.0</v>
      </c>
      <c r="U271" s="32" t="n">
        <f>2</f>
        <v>2.0</v>
      </c>
      <c r="V271" s="32" t="n">
        <f>117566616</f>
        <v>1.17566616E8</v>
      </c>
      <c r="W271" s="32" t="n">
        <f>3738</f>
        <v>3738.0</v>
      </c>
      <c r="X271" s="36" t="n">
        <f>20</f>
        <v>20.0</v>
      </c>
    </row>
    <row r="272">
      <c r="A272" s="27" t="s">
        <v>42</v>
      </c>
      <c r="B272" s="27" t="s">
        <v>866</v>
      </c>
      <c r="C272" s="27" t="s">
        <v>867</v>
      </c>
      <c r="D272" s="27" t="s">
        <v>868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2592</f>
        <v>2592.0</v>
      </c>
      <c r="L272" s="34" t="s">
        <v>48</v>
      </c>
      <c r="M272" s="33" t="n">
        <f>2773</f>
        <v>2773.0</v>
      </c>
      <c r="N272" s="34" t="s">
        <v>49</v>
      </c>
      <c r="O272" s="33" t="n">
        <f>2568</f>
        <v>2568.0</v>
      </c>
      <c r="P272" s="34" t="s">
        <v>50</v>
      </c>
      <c r="Q272" s="33" t="n">
        <f>2571</f>
        <v>2571.0</v>
      </c>
      <c r="R272" s="34" t="s">
        <v>50</v>
      </c>
      <c r="S272" s="35" t="n">
        <f>2670.7</f>
        <v>2670.7</v>
      </c>
      <c r="T272" s="32" t="n">
        <f>59852</f>
        <v>59852.0</v>
      </c>
      <c r="U272" s="32" t="n">
        <f>19</f>
        <v>19.0</v>
      </c>
      <c r="V272" s="32" t="n">
        <f>159371120</f>
        <v>1.5937112E8</v>
      </c>
      <c r="W272" s="32" t="n">
        <f>50920</f>
        <v>50920.0</v>
      </c>
      <c r="X272" s="36" t="n">
        <f>20</f>
        <v>20.0</v>
      </c>
    </row>
    <row r="273">
      <c r="A273" s="27" t="s">
        <v>42</v>
      </c>
      <c r="B273" s="27" t="s">
        <v>869</v>
      </c>
      <c r="C273" s="27" t="s">
        <v>870</v>
      </c>
      <c r="D273" s="27" t="s">
        <v>871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2125</f>
        <v>2125.0</v>
      </c>
      <c r="L273" s="34" t="s">
        <v>48</v>
      </c>
      <c r="M273" s="33" t="n">
        <f>2198</f>
        <v>2198.0</v>
      </c>
      <c r="N273" s="34" t="s">
        <v>365</v>
      </c>
      <c r="O273" s="33" t="n">
        <f>2067</f>
        <v>2067.0</v>
      </c>
      <c r="P273" s="34" t="s">
        <v>50</v>
      </c>
      <c r="Q273" s="33" t="n">
        <f>2067</f>
        <v>2067.0</v>
      </c>
      <c r="R273" s="34" t="s">
        <v>50</v>
      </c>
      <c r="S273" s="35" t="n">
        <f>2143.25</f>
        <v>2143.25</v>
      </c>
      <c r="T273" s="32" t="n">
        <f>89556</f>
        <v>89556.0</v>
      </c>
      <c r="U273" s="32" t="n">
        <f>2</f>
        <v>2.0</v>
      </c>
      <c r="V273" s="32" t="n">
        <f>192095002</f>
        <v>1.92095002E8</v>
      </c>
      <c r="W273" s="32" t="n">
        <f>4263</f>
        <v>4263.0</v>
      </c>
      <c r="X273" s="36" t="n">
        <f>20</f>
        <v>20.0</v>
      </c>
    </row>
    <row r="274">
      <c r="A274" s="27" t="s">
        <v>42</v>
      </c>
      <c r="B274" s="27" t="s">
        <v>872</v>
      </c>
      <c r="C274" s="27" t="s">
        <v>873</v>
      </c>
      <c r="D274" s="27" t="s">
        <v>874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26500</f>
        <v>26500.0</v>
      </c>
      <c r="L274" s="34" t="s">
        <v>48</v>
      </c>
      <c r="M274" s="33" t="n">
        <f>27820</f>
        <v>27820.0</v>
      </c>
      <c r="N274" s="34" t="s">
        <v>229</v>
      </c>
      <c r="O274" s="33" t="n">
        <f>25810</f>
        <v>25810.0</v>
      </c>
      <c r="P274" s="34" t="s">
        <v>50</v>
      </c>
      <c r="Q274" s="33" t="n">
        <f>25810</f>
        <v>25810.0</v>
      </c>
      <c r="R274" s="34" t="s">
        <v>50</v>
      </c>
      <c r="S274" s="35" t="n">
        <f>26894.58</f>
        <v>26894.58</v>
      </c>
      <c r="T274" s="32" t="n">
        <f>65</f>
        <v>65.0</v>
      </c>
      <c r="U274" s="32" t="str">
        <f>"－"</f>
        <v>－</v>
      </c>
      <c r="V274" s="32" t="n">
        <f>1752990</f>
        <v>1752990.0</v>
      </c>
      <c r="W274" s="32" t="str">
        <f>"－"</f>
        <v>－</v>
      </c>
      <c r="X274" s="36" t="n">
        <f>12</f>
        <v>12.0</v>
      </c>
    </row>
    <row r="275">
      <c r="A275" s="27" t="s">
        <v>42</v>
      </c>
      <c r="B275" s="27" t="s">
        <v>875</v>
      </c>
      <c r="C275" s="27" t="s">
        <v>876</v>
      </c>
      <c r="D275" s="27" t="s">
        <v>877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2118</f>
        <v>2118.0</v>
      </c>
      <c r="L275" s="34" t="s">
        <v>48</v>
      </c>
      <c r="M275" s="33" t="n">
        <f>2170</f>
        <v>2170.0</v>
      </c>
      <c r="N275" s="34" t="s">
        <v>73</v>
      </c>
      <c r="O275" s="33" t="n">
        <f>2025</f>
        <v>2025.0</v>
      </c>
      <c r="P275" s="34" t="s">
        <v>50</v>
      </c>
      <c r="Q275" s="33" t="n">
        <f>2025</f>
        <v>2025.0</v>
      </c>
      <c r="R275" s="34" t="s">
        <v>50</v>
      </c>
      <c r="S275" s="35" t="n">
        <f>2111</f>
        <v>2111.0</v>
      </c>
      <c r="T275" s="32" t="n">
        <f>55765</f>
        <v>55765.0</v>
      </c>
      <c r="U275" s="32" t="n">
        <f>6</f>
        <v>6.0</v>
      </c>
      <c r="V275" s="32" t="n">
        <f>116987344</f>
        <v>1.16987344E8</v>
      </c>
      <c r="W275" s="32" t="n">
        <f>12797</f>
        <v>12797.0</v>
      </c>
      <c r="X275" s="36" t="n">
        <f>20</f>
        <v>20.0</v>
      </c>
    </row>
    <row r="276">
      <c r="A276" s="27" t="s">
        <v>42</v>
      </c>
      <c r="B276" s="27" t="s">
        <v>878</v>
      </c>
      <c r="C276" s="27" t="s">
        <v>879</v>
      </c>
      <c r="D276" s="27" t="s">
        <v>880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2374</f>
        <v>2374.0</v>
      </c>
      <c r="L276" s="34" t="s">
        <v>48</v>
      </c>
      <c r="M276" s="33" t="n">
        <f>2688</f>
        <v>2688.0</v>
      </c>
      <c r="N276" s="34" t="s">
        <v>191</v>
      </c>
      <c r="O276" s="33" t="n">
        <f>2354</f>
        <v>2354.0</v>
      </c>
      <c r="P276" s="34" t="s">
        <v>48</v>
      </c>
      <c r="Q276" s="33" t="n">
        <f>2494</f>
        <v>2494.0</v>
      </c>
      <c r="R276" s="34" t="s">
        <v>50</v>
      </c>
      <c r="S276" s="35" t="n">
        <f>2516.25</f>
        <v>2516.25</v>
      </c>
      <c r="T276" s="32" t="n">
        <f>781169</f>
        <v>781169.0</v>
      </c>
      <c r="U276" s="32" t="n">
        <f>37186</f>
        <v>37186.0</v>
      </c>
      <c r="V276" s="32" t="n">
        <f>1997219176</f>
        <v>1.997219176E9</v>
      </c>
      <c r="W276" s="32" t="n">
        <f>96806034</f>
        <v>9.6806034E7</v>
      </c>
      <c r="X276" s="36" t="n">
        <f>20</f>
        <v>20.0</v>
      </c>
    </row>
    <row r="277">
      <c r="A277" s="27" t="s">
        <v>42</v>
      </c>
      <c r="B277" s="27" t="s">
        <v>881</v>
      </c>
      <c r="C277" s="27" t="s">
        <v>882</v>
      </c>
      <c r="D277" s="27" t="s">
        <v>883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2101</f>
        <v>2101.0</v>
      </c>
      <c r="L277" s="34" t="s">
        <v>48</v>
      </c>
      <c r="M277" s="33" t="n">
        <f>2189</f>
        <v>2189.0</v>
      </c>
      <c r="N277" s="34" t="s">
        <v>229</v>
      </c>
      <c r="O277" s="33" t="n">
        <f>1958</f>
        <v>1958.0</v>
      </c>
      <c r="P277" s="34" t="s">
        <v>69</v>
      </c>
      <c r="Q277" s="33" t="n">
        <f>1972</f>
        <v>1972.0</v>
      </c>
      <c r="R277" s="34" t="s">
        <v>50</v>
      </c>
      <c r="S277" s="35" t="n">
        <f>2124.8</f>
        <v>2124.8</v>
      </c>
      <c r="T277" s="32" t="n">
        <f>156605</f>
        <v>156605.0</v>
      </c>
      <c r="U277" s="32" t="str">
        <f>"－"</f>
        <v>－</v>
      </c>
      <c r="V277" s="32" t="n">
        <f>335543321</f>
        <v>3.35543321E8</v>
      </c>
      <c r="W277" s="32" t="str">
        <f>"－"</f>
        <v>－</v>
      </c>
      <c r="X277" s="36" t="n">
        <f>20</f>
        <v>20.0</v>
      </c>
    </row>
    <row r="278">
      <c r="A278" s="27" t="s">
        <v>42</v>
      </c>
      <c r="B278" s="27" t="s">
        <v>884</v>
      </c>
      <c r="C278" s="27" t="s">
        <v>885</v>
      </c>
      <c r="D278" s="27" t="s">
        <v>886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1453</f>
        <v>1453.0</v>
      </c>
      <c r="L278" s="34" t="s">
        <v>48</v>
      </c>
      <c r="M278" s="33" t="n">
        <f>1462</f>
        <v>1462.0</v>
      </c>
      <c r="N278" s="34" t="s">
        <v>60</v>
      </c>
      <c r="O278" s="33" t="n">
        <f>1314</f>
        <v>1314.0</v>
      </c>
      <c r="P278" s="34" t="s">
        <v>50</v>
      </c>
      <c r="Q278" s="33" t="n">
        <f>1314</f>
        <v>1314.0</v>
      </c>
      <c r="R278" s="34" t="s">
        <v>50</v>
      </c>
      <c r="S278" s="35" t="n">
        <f>1393.2</f>
        <v>1393.2</v>
      </c>
      <c r="T278" s="32" t="n">
        <f>44879</f>
        <v>44879.0</v>
      </c>
      <c r="U278" s="32" t="str">
        <f>"－"</f>
        <v>－</v>
      </c>
      <c r="V278" s="32" t="n">
        <f>62245978</f>
        <v>6.2245978E7</v>
      </c>
      <c r="W278" s="32" t="str">
        <f>"－"</f>
        <v>－</v>
      </c>
      <c r="X278" s="36" t="n">
        <f>20</f>
        <v>20.0</v>
      </c>
    </row>
    <row r="279">
      <c r="A279" s="27" t="s">
        <v>42</v>
      </c>
      <c r="B279" s="27" t="s">
        <v>887</v>
      </c>
      <c r="C279" s="27" t="s">
        <v>888</v>
      </c>
      <c r="D279" s="27" t="s">
        <v>889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5020</f>
        <v>5020.0</v>
      </c>
      <c r="L279" s="34" t="s">
        <v>48</v>
      </c>
      <c r="M279" s="33" t="n">
        <f>5110</f>
        <v>5110.0</v>
      </c>
      <c r="N279" s="34" t="s">
        <v>229</v>
      </c>
      <c r="O279" s="33" t="n">
        <f>5019</f>
        <v>5019.0</v>
      </c>
      <c r="P279" s="34" t="s">
        <v>69</v>
      </c>
      <c r="Q279" s="33" t="n">
        <f>5042</f>
        <v>5042.0</v>
      </c>
      <c r="R279" s="34" t="s">
        <v>50</v>
      </c>
      <c r="S279" s="35" t="n">
        <f>5029.4</f>
        <v>5029.4</v>
      </c>
      <c r="T279" s="32" t="n">
        <f>164580</f>
        <v>164580.0</v>
      </c>
      <c r="U279" s="32" t="str">
        <f>"－"</f>
        <v>－</v>
      </c>
      <c r="V279" s="32" t="n">
        <f>826984160</f>
        <v>8.2698416E8</v>
      </c>
      <c r="W279" s="32" t="str">
        <f>"－"</f>
        <v>－</v>
      </c>
      <c r="X279" s="36" t="n">
        <f>15</f>
        <v>15.0</v>
      </c>
    </row>
    <row r="280">
      <c r="A280" s="27" t="s">
        <v>42</v>
      </c>
      <c r="B280" s="27" t="s">
        <v>890</v>
      </c>
      <c r="C280" s="27" t="s">
        <v>891</v>
      </c>
      <c r="D280" s="27" t="s">
        <v>892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5010</f>
        <v>5010.0</v>
      </c>
      <c r="L280" s="34" t="s">
        <v>48</v>
      </c>
      <c r="M280" s="33" t="n">
        <f>5050</f>
        <v>5050.0</v>
      </c>
      <c r="N280" s="34" t="s">
        <v>242</v>
      </c>
      <c r="O280" s="33" t="n">
        <f>4965</f>
        <v>4965.0</v>
      </c>
      <c r="P280" s="34" t="s">
        <v>195</v>
      </c>
      <c r="Q280" s="33" t="n">
        <f>5048</f>
        <v>5048.0</v>
      </c>
      <c r="R280" s="34" t="s">
        <v>50</v>
      </c>
      <c r="S280" s="35" t="n">
        <f>5012.64</f>
        <v>5012.64</v>
      </c>
      <c r="T280" s="32" t="n">
        <f>191120</f>
        <v>191120.0</v>
      </c>
      <c r="U280" s="32" t="n">
        <f>40000</f>
        <v>40000.0</v>
      </c>
      <c r="V280" s="32" t="n">
        <f>958232550</f>
        <v>9.5823255E8</v>
      </c>
      <c r="W280" s="32" t="n">
        <f>199088000</f>
        <v>1.99088E8</v>
      </c>
      <c r="X280" s="36" t="n">
        <f>14</f>
        <v>14.0</v>
      </c>
    </row>
    <row r="281">
      <c r="A281" s="27" t="s">
        <v>42</v>
      </c>
      <c r="B281" s="27" t="s">
        <v>893</v>
      </c>
      <c r="C281" s="27" t="s">
        <v>894</v>
      </c>
      <c r="D281" s="27" t="s">
        <v>895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140700</f>
        <v>140700.0</v>
      </c>
      <c r="L281" s="34" t="s">
        <v>48</v>
      </c>
      <c r="M281" s="33" t="n">
        <f>142700</f>
        <v>142700.0</v>
      </c>
      <c r="N281" s="34" t="s">
        <v>73</v>
      </c>
      <c r="O281" s="33" t="n">
        <f>135800</f>
        <v>135800.0</v>
      </c>
      <c r="P281" s="34" t="s">
        <v>69</v>
      </c>
      <c r="Q281" s="33" t="n">
        <f>135900</f>
        <v>135900.0</v>
      </c>
      <c r="R281" s="34" t="s">
        <v>50</v>
      </c>
      <c r="S281" s="35" t="n">
        <f>139610</f>
        <v>139610.0</v>
      </c>
      <c r="T281" s="32" t="n">
        <f>13638</f>
        <v>13638.0</v>
      </c>
      <c r="U281" s="32" t="n">
        <f>2099</f>
        <v>2099.0</v>
      </c>
      <c r="V281" s="32" t="n">
        <f>1899468948</f>
        <v>1.899468948E9</v>
      </c>
      <c r="W281" s="32" t="n">
        <f>291847748</f>
        <v>2.91847748E8</v>
      </c>
      <c r="X281" s="36" t="n">
        <f>20</f>
        <v>20.0</v>
      </c>
    </row>
    <row r="282">
      <c r="A282" s="27" t="s">
        <v>42</v>
      </c>
      <c r="B282" s="27" t="s">
        <v>896</v>
      </c>
      <c r="C282" s="27" t="s">
        <v>897</v>
      </c>
      <c r="D282" s="27" t="s">
        <v>898</v>
      </c>
      <c r="E282" s="28" t="s">
        <v>46</v>
      </c>
      <c r="F282" s="29" t="s">
        <v>46</v>
      </c>
      <c r="G282" s="30" t="s">
        <v>46</v>
      </c>
      <c r="H282" s="31"/>
      <c r="I282" s="31" t="s">
        <v>610</v>
      </c>
      <c r="J282" s="32" t="n">
        <v>1.0</v>
      </c>
      <c r="K282" s="33" t="n">
        <f>123900</f>
        <v>123900.0</v>
      </c>
      <c r="L282" s="34" t="s">
        <v>48</v>
      </c>
      <c r="M282" s="33" t="n">
        <f>130400</f>
        <v>130400.0</v>
      </c>
      <c r="N282" s="34" t="s">
        <v>342</v>
      </c>
      <c r="O282" s="33" t="n">
        <f>121400</f>
        <v>121400.0</v>
      </c>
      <c r="P282" s="34" t="s">
        <v>61</v>
      </c>
      <c r="Q282" s="33" t="n">
        <f>124100</f>
        <v>124100.0</v>
      </c>
      <c r="R282" s="34" t="s">
        <v>50</v>
      </c>
      <c r="S282" s="35" t="n">
        <f>123870</f>
        <v>123870.0</v>
      </c>
      <c r="T282" s="32" t="n">
        <f>36201</f>
        <v>36201.0</v>
      </c>
      <c r="U282" s="32" t="n">
        <f>5762</f>
        <v>5762.0</v>
      </c>
      <c r="V282" s="32" t="n">
        <f>4542462671</f>
        <v>4.542462671E9</v>
      </c>
      <c r="W282" s="32" t="n">
        <f>716113971</f>
        <v>7.16113971E8</v>
      </c>
      <c r="X282" s="36" t="n">
        <f>20</f>
        <v>20.0</v>
      </c>
    </row>
    <row r="283">
      <c r="A283" s="27" t="s">
        <v>42</v>
      </c>
      <c r="B283" s="27" t="s">
        <v>899</v>
      </c>
      <c r="C283" s="27" t="s">
        <v>900</v>
      </c>
      <c r="D283" s="27" t="s">
        <v>901</v>
      </c>
      <c r="E283" s="28" t="s">
        <v>46</v>
      </c>
      <c r="F283" s="29" t="s">
        <v>46</v>
      </c>
      <c r="G283" s="30" t="s">
        <v>46</v>
      </c>
      <c r="H283" s="31"/>
      <c r="I283" s="31" t="s">
        <v>610</v>
      </c>
      <c r="J283" s="32" t="n">
        <v>1.0</v>
      </c>
      <c r="K283" s="33" t="n">
        <f>171900</f>
        <v>171900.0</v>
      </c>
      <c r="L283" s="34" t="s">
        <v>48</v>
      </c>
      <c r="M283" s="33" t="n">
        <f>173400</f>
        <v>173400.0</v>
      </c>
      <c r="N283" s="34" t="s">
        <v>73</v>
      </c>
      <c r="O283" s="33" t="n">
        <f>159900</f>
        <v>159900.0</v>
      </c>
      <c r="P283" s="34" t="s">
        <v>365</v>
      </c>
      <c r="Q283" s="33" t="n">
        <f>160000</f>
        <v>160000.0</v>
      </c>
      <c r="R283" s="34" t="s">
        <v>50</v>
      </c>
      <c r="S283" s="35" t="n">
        <f>167675</f>
        <v>167675.0</v>
      </c>
      <c r="T283" s="32" t="n">
        <f>100710</f>
        <v>100710.0</v>
      </c>
      <c r="U283" s="32" t="n">
        <f>7166</f>
        <v>7166.0</v>
      </c>
      <c r="V283" s="32" t="n">
        <f>16692054185</f>
        <v>1.6692054185E10</v>
      </c>
      <c r="W283" s="32" t="n">
        <f>1190343285</f>
        <v>1.190343285E9</v>
      </c>
      <c r="X283" s="36" t="n">
        <f>20</f>
        <v>20.0</v>
      </c>
    </row>
    <row r="284">
      <c r="A284" s="27" t="s">
        <v>42</v>
      </c>
      <c r="B284" s="27" t="s">
        <v>902</v>
      </c>
      <c r="C284" s="27" t="s">
        <v>903</v>
      </c>
      <c r="D284" s="27" t="s">
        <v>904</v>
      </c>
      <c r="E284" s="28" t="s">
        <v>46</v>
      </c>
      <c r="F284" s="29" t="s">
        <v>46</v>
      </c>
      <c r="G284" s="30" t="s">
        <v>46</v>
      </c>
      <c r="H284" s="31"/>
      <c r="I284" s="31" t="s">
        <v>610</v>
      </c>
      <c r="J284" s="32" t="n">
        <v>1.0</v>
      </c>
      <c r="K284" s="33" t="n">
        <f>108600</f>
        <v>108600.0</v>
      </c>
      <c r="L284" s="34" t="s">
        <v>48</v>
      </c>
      <c r="M284" s="33" t="n">
        <f>109500</f>
        <v>109500.0</v>
      </c>
      <c r="N284" s="34" t="s">
        <v>73</v>
      </c>
      <c r="O284" s="33" t="n">
        <f>105700</f>
        <v>105700.0</v>
      </c>
      <c r="P284" s="34" t="s">
        <v>50</v>
      </c>
      <c r="Q284" s="33" t="n">
        <f>105700</f>
        <v>105700.0</v>
      </c>
      <c r="R284" s="34" t="s">
        <v>50</v>
      </c>
      <c r="S284" s="35" t="n">
        <f>107885</f>
        <v>107885.0</v>
      </c>
      <c r="T284" s="32" t="n">
        <f>14579</f>
        <v>14579.0</v>
      </c>
      <c r="U284" s="32" t="n">
        <f>499</f>
        <v>499.0</v>
      </c>
      <c r="V284" s="32" t="n">
        <f>1573062630</f>
        <v>1.57306263E9</v>
      </c>
      <c r="W284" s="32" t="n">
        <f>53734630</f>
        <v>5.373463E7</v>
      </c>
      <c r="X284" s="36" t="n">
        <f>20</f>
        <v>20.0</v>
      </c>
    </row>
    <row r="285">
      <c r="A285" s="27" t="s">
        <v>42</v>
      </c>
      <c r="B285" s="27" t="s">
        <v>905</v>
      </c>
      <c r="C285" s="27" t="s">
        <v>906</v>
      </c>
      <c r="D285" s="27" t="s">
        <v>907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637000</f>
        <v>637000.0</v>
      </c>
      <c r="L285" s="34" t="s">
        <v>48</v>
      </c>
      <c r="M285" s="33" t="n">
        <f>650000</f>
        <v>650000.0</v>
      </c>
      <c r="N285" s="34" t="s">
        <v>191</v>
      </c>
      <c r="O285" s="33" t="n">
        <f>620000</f>
        <v>620000.0</v>
      </c>
      <c r="P285" s="34" t="s">
        <v>50</v>
      </c>
      <c r="Q285" s="33" t="n">
        <f>620000</f>
        <v>620000.0</v>
      </c>
      <c r="R285" s="34" t="s">
        <v>50</v>
      </c>
      <c r="S285" s="35" t="n">
        <f>636700</f>
        <v>636700.0</v>
      </c>
      <c r="T285" s="32" t="n">
        <f>25180</f>
        <v>25180.0</v>
      </c>
      <c r="U285" s="32" t="n">
        <f>4548</f>
        <v>4548.0</v>
      </c>
      <c r="V285" s="32" t="n">
        <f>16019717117</f>
        <v>1.6019717117E10</v>
      </c>
      <c r="W285" s="32" t="n">
        <f>2890165117</f>
        <v>2.890165117E9</v>
      </c>
      <c r="X285" s="36" t="n">
        <f>20</f>
        <v>20.0</v>
      </c>
    </row>
    <row r="286">
      <c r="A286" s="27" t="s">
        <v>42</v>
      </c>
      <c r="B286" s="27" t="s">
        <v>908</v>
      </c>
      <c r="C286" s="27" t="s">
        <v>909</v>
      </c>
      <c r="D286" s="27" t="s">
        <v>910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154800</f>
        <v>154800.0</v>
      </c>
      <c r="L286" s="34" t="s">
        <v>48</v>
      </c>
      <c r="M286" s="33" t="n">
        <f>158800</f>
        <v>158800.0</v>
      </c>
      <c r="N286" s="34" t="s">
        <v>73</v>
      </c>
      <c r="O286" s="33" t="n">
        <f>150400</f>
        <v>150400.0</v>
      </c>
      <c r="P286" s="34" t="s">
        <v>50</v>
      </c>
      <c r="Q286" s="33" t="n">
        <f>150400</f>
        <v>150400.0</v>
      </c>
      <c r="R286" s="34" t="s">
        <v>50</v>
      </c>
      <c r="S286" s="35" t="n">
        <f>155320</f>
        <v>155320.0</v>
      </c>
      <c r="T286" s="32" t="n">
        <f>82437</f>
        <v>82437.0</v>
      </c>
      <c r="U286" s="32" t="n">
        <f>16108</f>
        <v>16108.0</v>
      </c>
      <c r="V286" s="32" t="n">
        <f>12788743582</f>
        <v>1.2788743582E10</v>
      </c>
      <c r="W286" s="32" t="n">
        <f>2493631582</f>
        <v>2.493631582E9</v>
      </c>
      <c r="X286" s="36" t="n">
        <f>20</f>
        <v>20.0</v>
      </c>
    </row>
    <row r="287">
      <c r="A287" s="27" t="s">
        <v>42</v>
      </c>
      <c r="B287" s="27" t="s">
        <v>911</v>
      </c>
      <c r="C287" s="27" t="s">
        <v>912</v>
      </c>
      <c r="D287" s="27" t="s">
        <v>913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209800</f>
        <v>209800.0</v>
      </c>
      <c r="L287" s="34" t="s">
        <v>48</v>
      </c>
      <c r="M287" s="33" t="n">
        <f>213800</f>
        <v>213800.0</v>
      </c>
      <c r="N287" s="34" t="s">
        <v>50</v>
      </c>
      <c r="O287" s="33" t="n">
        <f>202800</f>
        <v>202800.0</v>
      </c>
      <c r="P287" s="34" t="s">
        <v>50</v>
      </c>
      <c r="Q287" s="33" t="n">
        <f>202800</f>
        <v>202800.0</v>
      </c>
      <c r="R287" s="34" t="s">
        <v>50</v>
      </c>
      <c r="S287" s="35" t="n">
        <f>208520</f>
        <v>208520.0</v>
      </c>
      <c r="T287" s="32" t="n">
        <f>70789</f>
        <v>70789.0</v>
      </c>
      <c r="U287" s="32" t="n">
        <f>13021</f>
        <v>13021.0</v>
      </c>
      <c r="V287" s="32" t="n">
        <f>14745763428</f>
        <v>1.4745763428E10</v>
      </c>
      <c r="W287" s="32" t="n">
        <f>2701859228</f>
        <v>2.701859228E9</v>
      </c>
      <c r="X287" s="36" t="n">
        <f>20</f>
        <v>20.0</v>
      </c>
    </row>
    <row r="288">
      <c r="A288" s="27" t="s">
        <v>42</v>
      </c>
      <c r="B288" s="27" t="s">
        <v>914</v>
      </c>
      <c r="C288" s="27" t="s">
        <v>915</v>
      </c>
      <c r="D288" s="27" t="s">
        <v>916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373000</f>
        <v>373000.0</v>
      </c>
      <c r="L288" s="34" t="s">
        <v>48</v>
      </c>
      <c r="M288" s="33" t="n">
        <f>375000</f>
        <v>375000.0</v>
      </c>
      <c r="N288" s="34" t="s">
        <v>80</v>
      </c>
      <c r="O288" s="33" t="n">
        <f>346500</f>
        <v>346500.0</v>
      </c>
      <c r="P288" s="34" t="s">
        <v>69</v>
      </c>
      <c r="Q288" s="33" t="n">
        <f>348500</f>
        <v>348500.0</v>
      </c>
      <c r="R288" s="34" t="s">
        <v>50</v>
      </c>
      <c r="S288" s="35" t="n">
        <f>361350</f>
        <v>361350.0</v>
      </c>
      <c r="T288" s="32" t="n">
        <f>64643</f>
        <v>64643.0</v>
      </c>
      <c r="U288" s="32" t="n">
        <f>14673</f>
        <v>14673.0</v>
      </c>
      <c r="V288" s="32" t="n">
        <f>23250872163</f>
        <v>2.3250872163E10</v>
      </c>
      <c r="W288" s="32" t="n">
        <f>5265586663</f>
        <v>5.265586663E9</v>
      </c>
      <c r="X288" s="36" t="n">
        <f>20</f>
        <v>20.0</v>
      </c>
    </row>
    <row r="289">
      <c r="A289" s="27" t="s">
        <v>42</v>
      </c>
      <c r="B289" s="27" t="s">
        <v>917</v>
      </c>
      <c r="C289" s="27" t="s">
        <v>918</v>
      </c>
      <c r="D289" s="27" t="s">
        <v>919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221500</f>
        <v>221500.0</v>
      </c>
      <c r="L289" s="34" t="s">
        <v>48</v>
      </c>
      <c r="M289" s="33" t="n">
        <f>223000</f>
        <v>223000.0</v>
      </c>
      <c r="N289" s="34" t="s">
        <v>80</v>
      </c>
      <c r="O289" s="33" t="n">
        <f>206100</f>
        <v>206100.0</v>
      </c>
      <c r="P289" s="34" t="s">
        <v>50</v>
      </c>
      <c r="Q289" s="33" t="n">
        <f>206100</f>
        <v>206100.0</v>
      </c>
      <c r="R289" s="34" t="s">
        <v>50</v>
      </c>
      <c r="S289" s="35" t="n">
        <f>216425</f>
        <v>216425.0</v>
      </c>
      <c r="T289" s="32" t="n">
        <f>39395</f>
        <v>39395.0</v>
      </c>
      <c r="U289" s="32" t="n">
        <f>7964</f>
        <v>7964.0</v>
      </c>
      <c r="V289" s="32" t="n">
        <f>8521902588</f>
        <v>8.521902588E9</v>
      </c>
      <c r="W289" s="32" t="n">
        <f>1716989188</f>
        <v>1.716989188E9</v>
      </c>
      <c r="X289" s="36" t="n">
        <f>20</f>
        <v>20.0</v>
      </c>
    </row>
    <row r="290">
      <c r="A290" s="27" t="s">
        <v>42</v>
      </c>
      <c r="B290" s="27" t="s">
        <v>920</v>
      </c>
      <c r="C290" s="27" t="s">
        <v>921</v>
      </c>
      <c r="D290" s="27" t="s">
        <v>922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464000</f>
        <v>464000.0</v>
      </c>
      <c r="L290" s="34" t="s">
        <v>48</v>
      </c>
      <c r="M290" s="33" t="n">
        <f>468500</f>
        <v>468500.0</v>
      </c>
      <c r="N290" s="34" t="s">
        <v>80</v>
      </c>
      <c r="O290" s="33" t="n">
        <f>425500</f>
        <v>425500.0</v>
      </c>
      <c r="P290" s="34" t="s">
        <v>69</v>
      </c>
      <c r="Q290" s="33" t="n">
        <f>432000</f>
        <v>432000.0</v>
      </c>
      <c r="R290" s="34" t="s">
        <v>50</v>
      </c>
      <c r="S290" s="35" t="n">
        <f>454825</f>
        <v>454825.0</v>
      </c>
      <c r="T290" s="32" t="n">
        <f>48254</f>
        <v>48254.0</v>
      </c>
      <c r="U290" s="32" t="n">
        <f>9375</f>
        <v>9375.0</v>
      </c>
      <c r="V290" s="32" t="n">
        <f>21792664516</f>
        <v>2.1792664516E10</v>
      </c>
      <c r="W290" s="32" t="n">
        <f>4243634016</f>
        <v>4.243634016E9</v>
      </c>
      <c r="X290" s="36" t="n">
        <f>20</f>
        <v>20.0</v>
      </c>
    </row>
    <row r="291">
      <c r="A291" s="27" t="s">
        <v>42</v>
      </c>
      <c r="B291" s="27" t="s">
        <v>923</v>
      </c>
      <c r="C291" s="27" t="s">
        <v>924</v>
      </c>
      <c r="D291" s="27" t="s">
        <v>925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186200</f>
        <v>186200.0</v>
      </c>
      <c r="L291" s="34" t="s">
        <v>48</v>
      </c>
      <c r="M291" s="33" t="n">
        <f>190700</f>
        <v>190700.0</v>
      </c>
      <c r="N291" s="34" t="s">
        <v>342</v>
      </c>
      <c r="O291" s="33" t="n">
        <f>180300</f>
        <v>180300.0</v>
      </c>
      <c r="P291" s="34" t="s">
        <v>50</v>
      </c>
      <c r="Q291" s="33" t="n">
        <f>180300</f>
        <v>180300.0</v>
      </c>
      <c r="R291" s="34" t="s">
        <v>50</v>
      </c>
      <c r="S291" s="35" t="n">
        <f>185520</f>
        <v>185520.0</v>
      </c>
      <c r="T291" s="32" t="n">
        <f>252471</f>
        <v>252471.0</v>
      </c>
      <c r="U291" s="32" t="n">
        <f>74761</f>
        <v>74761.0</v>
      </c>
      <c r="V291" s="32" t="n">
        <f>46785713612</f>
        <v>4.6785713612E10</v>
      </c>
      <c r="W291" s="32" t="n">
        <f>13820792012</f>
        <v>1.3820792012E10</v>
      </c>
      <c r="X291" s="36" t="n">
        <f>20</f>
        <v>20.0</v>
      </c>
    </row>
    <row r="292">
      <c r="A292" s="27" t="s">
        <v>42</v>
      </c>
      <c r="B292" s="27" t="s">
        <v>926</v>
      </c>
      <c r="C292" s="27" t="s">
        <v>927</v>
      </c>
      <c r="D292" s="27" t="s">
        <v>928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329500</f>
        <v>329500.0</v>
      </c>
      <c r="L292" s="34" t="s">
        <v>48</v>
      </c>
      <c r="M292" s="33" t="n">
        <f>331500</f>
        <v>331500.0</v>
      </c>
      <c r="N292" s="34" t="s">
        <v>73</v>
      </c>
      <c r="O292" s="33" t="n">
        <f>316500</f>
        <v>316500.0</v>
      </c>
      <c r="P292" s="34" t="s">
        <v>195</v>
      </c>
      <c r="Q292" s="33" t="n">
        <f>319000</f>
        <v>319000.0</v>
      </c>
      <c r="R292" s="34" t="s">
        <v>50</v>
      </c>
      <c r="S292" s="35" t="n">
        <f>325250</f>
        <v>325250.0</v>
      </c>
      <c r="T292" s="32" t="n">
        <f>45698</f>
        <v>45698.0</v>
      </c>
      <c r="U292" s="32" t="n">
        <f>13314</f>
        <v>13314.0</v>
      </c>
      <c r="V292" s="32" t="n">
        <f>14854483907</f>
        <v>1.4854483907E10</v>
      </c>
      <c r="W292" s="32" t="n">
        <f>4322443907</f>
        <v>4.322443907E9</v>
      </c>
      <c r="X292" s="36" t="n">
        <f>20</f>
        <v>20.0</v>
      </c>
    </row>
    <row r="293">
      <c r="A293" s="27" t="s">
        <v>42</v>
      </c>
      <c r="B293" s="27" t="s">
        <v>929</v>
      </c>
      <c r="C293" s="27" t="s">
        <v>930</v>
      </c>
      <c r="D293" s="27" t="s">
        <v>931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384500</f>
        <v>384500.0</v>
      </c>
      <c r="L293" s="34" t="s">
        <v>48</v>
      </c>
      <c r="M293" s="33" t="n">
        <f>393500</f>
        <v>393500.0</v>
      </c>
      <c r="N293" s="34" t="s">
        <v>87</v>
      </c>
      <c r="O293" s="33" t="n">
        <f>368500</f>
        <v>368500.0</v>
      </c>
      <c r="P293" s="34" t="s">
        <v>61</v>
      </c>
      <c r="Q293" s="33" t="n">
        <f>369500</f>
        <v>369500.0</v>
      </c>
      <c r="R293" s="34" t="s">
        <v>50</v>
      </c>
      <c r="S293" s="35" t="n">
        <f>378700</f>
        <v>378700.0</v>
      </c>
      <c r="T293" s="32" t="n">
        <f>124046</f>
        <v>124046.0</v>
      </c>
      <c r="U293" s="32" t="n">
        <f>21930</f>
        <v>21930.0</v>
      </c>
      <c r="V293" s="32" t="n">
        <f>47026536507</f>
        <v>4.7026536507E10</v>
      </c>
      <c r="W293" s="32" t="n">
        <f>8277520507</f>
        <v>8.277520507E9</v>
      </c>
      <c r="X293" s="36" t="n">
        <f>20</f>
        <v>20.0</v>
      </c>
    </row>
    <row r="294">
      <c r="A294" s="27" t="s">
        <v>42</v>
      </c>
      <c r="B294" s="27" t="s">
        <v>932</v>
      </c>
      <c r="C294" s="27" t="s">
        <v>933</v>
      </c>
      <c r="D294" s="27" t="s">
        <v>934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744000</f>
        <v>744000.0</v>
      </c>
      <c r="L294" s="34" t="s">
        <v>48</v>
      </c>
      <c r="M294" s="33" t="n">
        <f>754000</f>
        <v>754000.0</v>
      </c>
      <c r="N294" s="34" t="s">
        <v>73</v>
      </c>
      <c r="O294" s="33" t="n">
        <f>630000</f>
        <v>630000.0</v>
      </c>
      <c r="P294" s="34" t="s">
        <v>69</v>
      </c>
      <c r="Q294" s="33" t="n">
        <f>637000</f>
        <v>637000.0</v>
      </c>
      <c r="R294" s="34" t="s">
        <v>50</v>
      </c>
      <c r="S294" s="35" t="n">
        <f>702350</f>
        <v>702350.0</v>
      </c>
      <c r="T294" s="32" t="n">
        <f>53322</f>
        <v>53322.0</v>
      </c>
      <c r="U294" s="32" t="n">
        <f>5706</f>
        <v>5706.0</v>
      </c>
      <c r="V294" s="32" t="n">
        <f>36352199026</f>
        <v>3.6352199026E10</v>
      </c>
      <c r="W294" s="32" t="n">
        <f>3889940026</f>
        <v>3.889940026E9</v>
      </c>
      <c r="X294" s="36" t="n">
        <f>20</f>
        <v>20.0</v>
      </c>
    </row>
    <row r="295">
      <c r="A295" s="27" t="s">
        <v>42</v>
      </c>
      <c r="B295" s="27" t="s">
        <v>935</v>
      </c>
      <c r="C295" s="27" t="s">
        <v>936</v>
      </c>
      <c r="D295" s="27" t="s">
        <v>937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306000</f>
        <v>306000.0</v>
      </c>
      <c r="L295" s="34" t="s">
        <v>48</v>
      </c>
      <c r="M295" s="33" t="n">
        <f>306000</f>
        <v>306000.0</v>
      </c>
      <c r="N295" s="34" t="s">
        <v>48</v>
      </c>
      <c r="O295" s="33" t="n">
        <f>291200</f>
        <v>291200.0</v>
      </c>
      <c r="P295" s="34" t="s">
        <v>69</v>
      </c>
      <c r="Q295" s="33" t="n">
        <f>294200</f>
        <v>294200.0</v>
      </c>
      <c r="R295" s="34" t="s">
        <v>50</v>
      </c>
      <c r="S295" s="35" t="n">
        <f>299565</f>
        <v>299565.0</v>
      </c>
      <c r="T295" s="32" t="n">
        <f>14086</f>
        <v>14086.0</v>
      </c>
      <c r="U295" s="32" t="n">
        <f>2457</f>
        <v>2457.0</v>
      </c>
      <c r="V295" s="32" t="n">
        <f>4218618700</f>
        <v>4.2186187E9</v>
      </c>
      <c r="W295" s="32" t="n">
        <f>735017400</f>
        <v>7.350174E8</v>
      </c>
      <c r="X295" s="36" t="n">
        <f>20</f>
        <v>20.0</v>
      </c>
    </row>
    <row r="296">
      <c r="A296" s="27" t="s">
        <v>42</v>
      </c>
      <c r="B296" s="27" t="s">
        <v>938</v>
      </c>
      <c r="C296" s="27" t="s">
        <v>939</v>
      </c>
      <c r="D296" s="27" t="s">
        <v>940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154500</f>
        <v>154500.0</v>
      </c>
      <c r="L296" s="34" t="s">
        <v>48</v>
      </c>
      <c r="M296" s="33" t="n">
        <f>157500</f>
        <v>157500.0</v>
      </c>
      <c r="N296" s="34" t="s">
        <v>73</v>
      </c>
      <c r="O296" s="33" t="n">
        <f>151700</f>
        <v>151700.0</v>
      </c>
      <c r="P296" s="34" t="s">
        <v>69</v>
      </c>
      <c r="Q296" s="33" t="n">
        <f>152000</f>
        <v>152000.0</v>
      </c>
      <c r="R296" s="34" t="s">
        <v>50</v>
      </c>
      <c r="S296" s="35" t="n">
        <f>154695</f>
        <v>154695.0</v>
      </c>
      <c r="T296" s="32" t="n">
        <f>90995</f>
        <v>90995.0</v>
      </c>
      <c r="U296" s="32" t="n">
        <f>17534</f>
        <v>17534.0</v>
      </c>
      <c r="V296" s="32" t="n">
        <f>14068684333</f>
        <v>1.4068684333E10</v>
      </c>
      <c r="W296" s="32" t="n">
        <f>2702276333</f>
        <v>2.702276333E9</v>
      </c>
      <c r="X296" s="36" t="n">
        <f>20</f>
        <v>20.0</v>
      </c>
    </row>
    <row r="297">
      <c r="A297" s="27" t="s">
        <v>42</v>
      </c>
      <c r="B297" s="27" t="s">
        <v>941</v>
      </c>
      <c r="C297" s="27" t="s">
        <v>942</v>
      </c>
      <c r="D297" s="27" t="s">
        <v>943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172700</f>
        <v>172700.0</v>
      </c>
      <c r="L297" s="34" t="s">
        <v>48</v>
      </c>
      <c r="M297" s="33" t="n">
        <f>176500</f>
        <v>176500.0</v>
      </c>
      <c r="N297" s="34" t="s">
        <v>80</v>
      </c>
      <c r="O297" s="33" t="n">
        <f>166700</f>
        <v>166700.0</v>
      </c>
      <c r="P297" s="34" t="s">
        <v>50</v>
      </c>
      <c r="Q297" s="33" t="n">
        <f>166700</f>
        <v>166700.0</v>
      </c>
      <c r="R297" s="34" t="s">
        <v>50</v>
      </c>
      <c r="S297" s="35" t="n">
        <f>171975</f>
        <v>171975.0</v>
      </c>
      <c r="T297" s="32" t="n">
        <f>69118</f>
        <v>69118.0</v>
      </c>
      <c r="U297" s="32" t="n">
        <f>9139</f>
        <v>9139.0</v>
      </c>
      <c r="V297" s="32" t="n">
        <f>11883032654</f>
        <v>1.1883032654E10</v>
      </c>
      <c r="W297" s="32" t="n">
        <f>1564579354</f>
        <v>1.564579354E9</v>
      </c>
      <c r="X297" s="36" t="n">
        <f>20</f>
        <v>20.0</v>
      </c>
    </row>
    <row r="298">
      <c r="A298" s="27" t="s">
        <v>42</v>
      </c>
      <c r="B298" s="27" t="s">
        <v>944</v>
      </c>
      <c r="C298" s="27" t="s">
        <v>945</v>
      </c>
      <c r="D298" s="27" t="s">
        <v>946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435000</f>
        <v>435000.0</v>
      </c>
      <c r="L298" s="34" t="s">
        <v>48</v>
      </c>
      <c r="M298" s="33" t="n">
        <f>441000</f>
        <v>441000.0</v>
      </c>
      <c r="N298" s="34" t="s">
        <v>68</v>
      </c>
      <c r="O298" s="33" t="n">
        <f>417500</f>
        <v>417500.0</v>
      </c>
      <c r="P298" s="34" t="s">
        <v>365</v>
      </c>
      <c r="Q298" s="33" t="n">
        <f>421500</f>
        <v>421500.0</v>
      </c>
      <c r="R298" s="34" t="s">
        <v>50</v>
      </c>
      <c r="S298" s="35" t="n">
        <f>427325</f>
        <v>427325.0</v>
      </c>
      <c r="T298" s="32" t="n">
        <f>24436</f>
        <v>24436.0</v>
      </c>
      <c r="U298" s="32" t="n">
        <f>5058</f>
        <v>5058.0</v>
      </c>
      <c r="V298" s="32" t="n">
        <f>10434124167</f>
        <v>1.0434124167E10</v>
      </c>
      <c r="W298" s="32" t="n">
        <f>2153811167</f>
        <v>2.153811167E9</v>
      </c>
      <c r="X298" s="36" t="n">
        <f>20</f>
        <v>20.0</v>
      </c>
    </row>
    <row r="299">
      <c r="A299" s="27" t="s">
        <v>42</v>
      </c>
      <c r="B299" s="27" t="s">
        <v>947</v>
      </c>
      <c r="C299" s="27" t="s">
        <v>948</v>
      </c>
      <c r="D299" s="27" t="s">
        <v>949</v>
      </c>
      <c r="E299" s="28" t="s">
        <v>105</v>
      </c>
      <c r="F299" s="29" t="s">
        <v>106</v>
      </c>
      <c r="G299" s="30" t="s">
        <v>950</v>
      </c>
      <c r="H299" s="31" t="s">
        <v>108</v>
      </c>
      <c r="I299" s="31"/>
      <c r="J299" s="32" t="n">
        <v>1.0</v>
      </c>
      <c r="K299" s="33" t="n">
        <f>22670</f>
        <v>22670.0</v>
      </c>
      <c r="L299" s="34" t="s">
        <v>48</v>
      </c>
      <c r="M299" s="33" t="n">
        <f>22710</f>
        <v>22710.0</v>
      </c>
      <c r="N299" s="34" t="s">
        <v>68</v>
      </c>
      <c r="O299" s="33" t="n">
        <f>22660</f>
        <v>22660.0</v>
      </c>
      <c r="P299" s="34" t="s">
        <v>60</v>
      </c>
      <c r="Q299" s="33" t="n">
        <f>22680</f>
        <v>22680.0</v>
      </c>
      <c r="R299" s="34" t="s">
        <v>73</v>
      </c>
      <c r="S299" s="35" t="n">
        <f>22676</f>
        <v>22676.0</v>
      </c>
      <c r="T299" s="32" t="n">
        <f>286400</f>
        <v>286400.0</v>
      </c>
      <c r="U299" s="32" t="n">
        <f>16242</f>
        <v>16242.0</v>
      </c>
      <c r="V299" s="32" t="n">
        <f>6495616588</f>
        <v>6.495616588E9</v>
      </c>
      <c r="W299" s="32" t="n">
        <f>368357788</f>
        <v>3.68357788E8</v>
      </c>
      <c r="X299" s="36" t="n">
        <f>5</f>
        <v>5.0</v>
      </c>
    </row>
    <row r="300">
      <c r="A300" s="27" t="s">
        <v>42</v>
      </c>
      <c r="B300" s="27" t="s">
        <v>951</v>
      </c>
      <c r="C300" s="27" t="s">
        <v>952</v>
      </c>
      <c r="D300" s="27" t="s">
        <v>953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85800</f>
        <v>85800.0</v>
      </c>
      <c r="L300" s="34" t="s">
        <v>48</v>
      </c>
      <c r="M300" s="33" t="n">
        <f>86400</f>
        <v>86400.0</v>
      </c>
      <c r="N300" s="34" t="s">
        <v>73</v>
      </c>
      <c r="O300" s="33" t="n">
        <f>82500</f>
        <v>82500.0</v>
      </c>
      <c r="P300" s="34" t="s">
        <v>50</v>
      </c>
      <c r="Q300" s="33" t="n">
        <f>82500</f>
        <v>82500.0</v>
      </c>
      <c r="R300" s="34" t="s">
        <v>50</v>
      </c>
      <c r="S300" s="35" t="n">
        <f>84990</f>
        <v>84990.0</v>
      </c>
      <c r="T300" s="32" t="n">
        <f>323538</f>
        <v>323538.0</v>
      </c>
      <c r="U300" s="32" t="n">
        <f>72338</f>
        <v>72338.0</v>
      </c>
      <c r="V300" s="32" t="n">
        <f>27447028982</f>
        <v>2.7447028982E10</v>
      </c>
      <c r="W300" s="32" t="n">
        <f>6127635882</f>
        <v>6.127635882E9</v>
      </c>
      <c r="X300" s="36" t="n">
        <f>20</f>
        <v>20.0</v>
      </c>
    </row>
    <row r="301">
      <c r="A301" s="27" t="s">
        <v>42</v>
      </c>
      <c r="B301" s="27" t="s">
        <v>954</v>
      </c>
      <c r="C301" s="27" t="s">
        <v>955</v>
      </c>
      <c r="D301" s="27" t="s">
        <v>956</v>
      </c>
      <c r="E301" s="28" t="s">
        <v>46</v>
      </c>
      <c r="F301" s="29" t="s">
        <v>46</v>
      </c>
      <c r="G301" s="30" t="s">
        <v>46</v>
      </c>
      <c r="H301" s="31"/>
      <c r="I301" s="31" t="s">
        <v>610</v>
      </c>
      <c r="J301" s="32" t="n">
        <v>1.0</v>
      </c>
      <c r="K301" s="33" t="n">
        <f>131200</f>
        <v>131200.0</v>
      </c>
      <c r="L301" s="34" t="s">
        <v>48</v>
      </c>
      <c r="M301" s="33" t="n">
        <f>133700</f>
        <v>133700.0</v>
      </c>
      <c r="N301" s="34" t="s">
        <v>242</v>
      </c>
      <c r="O301" s="33" t="n">
        <f>126300</f>
        <v>126300.0</v>
      </c>
      <c r="P301" s="34" t="s">
        <v>69</v>
      </c>
      <c r="Q301" s="33" t="n">
        <f>126500</f>
        <v>126500.0</v>
      </c>
      <c r="R301" s="34" t="s">
        <v>50</v>
      </c>
      <c r="S301" s="35" t="n">
        <f>130485</f>
        <v>130485.0</v>
      </c>
      <c r="T301" s="32" t="n">
        <f>28007</f>
        <v>28007.0</v>
      </c>
      <c r="U301" s="32" t="n">
        <f>2534</f>
        <v>2534.0</v>
      </c>
      <c r="V301" s="32" t="n">
        <f>3644763244</f>
        <v>3.644763244E9</v>
      </c>
      <c r="W301" s="32" t="n">
        <f>328979844</f>
        <v>3.28979844E8</v>
      </c>
      <c r="X301" s="36" t="n">
        <f>20</f>
        <v>20.0</v>
      </c>
    </row>
    <row r="302">
      <c r="A302" s="27" t="s">
        <v>42</v>
      </c>
      <c r="B302" s="27" t="s">
        <v>957</v>
      </c>
      <c r="C302" s="27" t="s">
        <v>958</v>
      </c>
      <c r="D302" s="27" t="s">
        <v>959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288900</f>
        <v>288900.0</v>
      </c>
      <c r="L302" s="34" t="s">
        <v>48</v>
      </c>
      <c r="M302" s="33" t="n">
        <f>293200</f>
        <v>293200.0</v>
      </c>
      <c r="N302" s="34" t="s">
        <v>68</v>
      </c>
      <c r="O302" s="33" t="n">
        <f>278800</f>
        <v>278800.0</v>
      </c>
      <c r="P302" s="34" t="s">
        <v>101</v>
      </c>
      <c r="Q302" s="33" t="n">
        <f>280100</f>
        <v>280100.0</v>
      </c>
      <c r="R302" s="34" t="s">
        <v>50</v>
      </c>
      <c r="S302" s="35" t="n">
        <f>286005</f>
        <v>286005.0</v>
      </c>
      <c r="T302" s="32" t="n">
        <f>35174</f>
        <v>35174.0</v>
      </c>
      <c r="U302" s="32" t="n">
        <f>4799</f>
        <v>4799.0</v>
      </c>
      <c r="V302" s="32" t="n">
        <f>10029536179</f>
        <v>1.0029536179E10</v>
      </c>
      <c r="W302" s="32" t="n">
        <f>1370989779</f>
        <v>1.370989779E9</v>
      </c>
      <c r="X302" s="36" t="n">
        <f>20</f>
        <v>20.0</v>
      </c>
    </row>
    <row r="303">
      <c r="A303" s="27" t="s">
        <v>42</v>
      </c>
      <c r="B303" s="27" t="s">
        <v>960</v>
      </c>
      <c r="C303" s="27" t="s">
        <v>961</v>
      </c>
      <c r="D303" s="27" t="s">
        <v>962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156500</f>
        <v>156500.0</v>
      </c>
      <c r="L303" s="34" t="s">
        <v>48</v>
      </c>
      <c r="M303" s="33" t="n">
        <f>163600</f>
        <v>163600.0</v>
      </c>
      <c r="N303" s="34" t="s">
        <v>50</v>
      </c>
      <c r="O303" s="33" t="n">
        <f>154500</f>
        <v>154500.0</v>
      </c>
      <c r="P303" s="34" t="s">
        <v>50</v>
      </c>
      <c r="Q303" s="33" t="n">
        <f>154500</f>
        <v>154500.0</v>
      </c>
      <c r="R303" s="34" t="s">
        <v>50</v>
      </c>
      <c r="S303" s="35" t="n">
        <f>160050</f>
        <v>160050.0</v>
      </c>
      <c r="T303" s="32" t="n">
        <f>13454</f>
        <v>13454.0</v>
      </c>
      <c r="U303" s="32" t="n">
        <f>2933</f>
        <v>2933.0</v>
      </c>
      <c r="V303" s="32" t="n">
        <f>2153595281</f>
        <v>2.153595281E9</v>
      </c>
      <c r="W303" s="32" t="n">
        <f>469235881</f>
        <v>4.69235881E8</v>
      </c>
      <c r="X303" s="36" t="n">
        <f>20</f>
        <v>20.0</v>
      </c>
    </row>
    <row r="304">
      <c r="A304" s="27" t="s">
        <v>42</v>
      </c>
      <c r="B304" s="27" t="s">
        <v>963</v>
      </c>
      <c r="C304" s="27" t="s">
        <v>964</v>
      </c>
      <c r="D304" s="27" t="s">
        <v>965</v>
      </c>
      <c r="E304" s="28" t="s">
        <v>46</v>
      </c>
      <c r="F304" s="29" t="s">
        <v>46</v>
      </c>
      <c r="G304" s="30" t="s">
        <v>46</v>
      </c>
      <c r="H304" s="31"/>
      <c r="I304" s="31" t="s">
        <v>610</v>
      </c>
      <c r="J304" s="32" t="n">
        <v>1.0</v>
      </c>
      <c r="K304" s="33" t="n">
        <f>120200</f>
        <v>120200.0</v>
      </c>
      <c r="L304" s="34" t="s">
        <v>48</v>
      </c>
      <c r="M304" s="33" t="n">
        <f>122900</f>
        <v>122900.0</v>
      </c>
      <c r="N304" s="34" t="s">
        <v>191</v>
      </c>
      <c r="O304" s="33" t="n">
        <f>118300</f>
        <v>118300.0</v>
      </c>
      <c r="P304" s="34" t="s">
        <v>540</v>
      </c>
      <c r="Q304" s="33" t="n">
        <f>118800</f>
        <v>118800.0</v>
      </c>
      <c r="R304" s="34" t="s">
        <v>50</v>
      </c>
      <c r="S304" s="35" t="n">
        <f>120180</f>
        <v>120180.0</v>
      </c>
      <c r="T304" s="32" t="n">
        <f>21836</f>
        <v>21836.0</v>
      </c>
      <c r="U304" s="32" t="n">
        <f>4657</f>
        <v>4657.0</v>
      </c>
      <c r="V304" s="32" t="n">
        <f>2627061058</f>
        <v>2.627061058E9</v>
      </c>
      <c r="W304" s="32" t="n">
        <f>558679658</f>
        <v>5.58679658E8</v>
      </c>
      <c r="X304" s="36" t="n">
        <f>20</f>
        <v>20.0</v>
      </c>
    </row>
    <row r="305">
      <c r="A305" s="27" t="s">
        <v>42</v>
      </c>
      <c r="B305" s="27" t="s">
        <v>966</v>
      </c>
      <c r="C305" s="27" t="s">
        <v>967</v>
      </c>
      <c r="D305" s="27" t="s">
        <v>968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170500</f>
        <v>170500.0</v>
      </c>
      <c r="L305" s="34" t="s">
        <v>48</v>
      </c>
      <c r="M305" s="33" t="n">
        <f>171000</f>
        <v>171000.0</v>
      </c>
      <c r="N305" s="34" t="s">
        <v>48</v>
      </c>
      <c r="O305" s="33" t="n">
        <f>160100</f>
        <v>160100.0</v>
      </c>
      <c r="P305" s="34" t="s">
        <v>69</v>
      </c>
      <c r="Q305" s="33" t="n">
        <f>161400</f>
        <v>161400.0</v>
      </c>
      <c r="R305" s="34" t="s">
        <v>50</v>
      </c>
      <c r="S305" s="35" t="n">
        <f>167325</f>
        <v>167325.0</v>
      </c>
      <c r="T305" s="32" t="n">
        <f>222635</f>
        <v>222635.0</v>
      </c>
      <c r="U305" s="32" t="n">
        <f>53422</f>
        <v>53422.0</v>
      </c>
      <c r="V305" s="32" t="n">
        <f>37117469555</f>
        <v>3.7117469555E10</v>
      </c>
      <c r="W305" s="32" t="n">
        <f>8905461655</f>
        <v>8.905461655E9</v>
      </c>
      <c r="X305" s="36" t="n">
        <f>20</f>
        <v>20.0</v>
      </c>
    </row>
    <row r="306">
      <c r="A306" s="27" t="s">
        <v>42</v>
      </c>
      <c r="B306" s="27" t="s">
        <v>969</v>
      </c>
      <c r="C306" s="27" t="s">
        <v>970</v>
      </c>
      <c r="D306" s="27" t="s">
        <v>971</v>
      </c>
      <c r="E306" s="28" t="s">
        <v>46</v>
      </c>
      <c r="F306" s="29" t="s">
        <v>46</v>
      </c>
      <c r="G306" s="30" t="s">
        <v>46</v>
      </c>
      <c r="H306" s="31"/>
      <c r="I306" s="31" t="s">
        <v>610</v>
      </c>
      <c r="J306" s="32" t="n">
        <v>1.0</v>
      </c>
      <c r="K306" s="33" t="n">
        <f>97500</f>
        <v>97500.0</v>
      </c>
      <c r="L306" s="34" t="s">
        <v>48</v>
      </c>
      <c r="M306" s="33" t="n">
        <f>98000</f>
        <v>98000.0</v>
      </c>
      <c r="N306" s="34" t="s">
        <v>60</v>
      </c>
      <c r="O306" s="33" t="n">
        <f>81700</f>
        <v>81700.0</v>
      </c>
      <c r="P306" s="34" t="s">
        <v>50</v>
      </c>
      <c r="Q306" s="33" t="n">
        <f>81900</f>
        <v>81900.0</v>
      </c>
      <c r="R306" s="34" t="s">
        <v>50</v>
      </c>
      <c r="S306" s="35" t="n">
        <f>91615</f>
        <v>91615.0</v>
      </c>
      <c r="T306" s="32" t="n">
        <f>27875</f>
        <v>27875.0</v>
      </c>
      <c r="U306" s="32" t="n">
        <f>2666</f>
        <v>2666.0</v>
      </c>
      <c r="V306" s="32" t="n">
        <f>2514787143</f>
        <v>2.514787143E9</v>
      </c>
      <c r="W306" s="32" t="n">
        <f>240693243</f>
        <v>2.40693243E8</v>
      </c>
      <c r="X306" s="36" t="n">
        <f>20</f>
        <v>20.0</v>
      </c>
    </row>
    <row r="307">
      <c r="A307" s="27" t="s">
        <v>42</v>
      </c>
      <c r="B307" s="27" t="s">
        <v>972</v>
      </c>
      <c r="C307" s="27" t="s">
        <v>973</v>
      </c>
      <c r="D307" s="27" t="s">
        <v>974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190300</f>
        <v>190300.0</v>
      </c>
      <c r="L307" s="34" t="s">
        <v>48</v>
      </c>
      <c r="M307" s="33" t="n">
        <f>195300</f>
        <v>195300.0</v>
      </c>
      <c r="N307" s="34" t="s">
        <v>50</v>
      </c>
      <c r="O307" s="33" t="n">
        <f>186700</f>
        <v>186700.0</v>
      </c>
      <c r="P307" s="34" t="s">
        <v>195</v>
      </c>
      <c r="Q307" s="33" t="n">
        <f>187200</f>
        <v>187200.0</v>
      </c>
      <c r="R307" s="34" t="s">
        <v>50</v>
      </c>
      <c r="S307" s="35" t="n">
        <f>190005</f>
        <v>190005.0</v>
      </c>
      <c r="T307" s="32" t="n">
        <f>79983</f>
        <v>79983.0</v>
      </c>
      <c r="U307" s="32" t="n">
        <f>14954</f>
        <v>14954.0</v>
      </c>
      <c r="V307" s="32" t="n">
        <f>15220732315</f>
        <v>1.5220732315E10</v>
      </c>
      <c r="W307" s="32" t="n">
        <f>2838326815</f>
        <v>2.838326815E9</v>
      </c>
      <c r="X307" s="36" t="n">
        <f>20</f>
        <v>20.0</v>
      </c>
    </row>
    <row r="308">
      <c r="A308" s="27" t="s">
        <v>42</v>
      </c>
      <c r="B308" s="27" t="s">
        <v>975</v>
      </c>
      <c r="C308" s="27" t="s">
        <v>976</v>
      </c>
      <c r="D308" s="27" t="s">
        <v>977</v>
      </c>
      <c r="E308" s="28" t="s">
        <v>46</v>
      </c>
      <c r="F308" s="29" t="s">
        <v>46</v>
      </c>
      <c r="G308" s="30" t="s">
        <v>46</v>
      </c>
      <c r="H308" s="31"/>
      <c r="I308" s="31" t="s">
        <v>610</v>
      </c>
      <c r="J308" s="32" t="n">
        <v>1.0</v>
      </c>
      <c r="K308" s="33" t="n">
        <f>59700</f>
        <v>59700.0</v>
      </c>
      <c r="L308" s="34" t="s">
        <v>48</v>
      </c>
      <c r="M308" s="33" t="n">
        <f>64000</f>
        <v>64000.0</v>
      </c>
      <c r="N308" s="34" t="s">
        <v>342</v>
      </c>
      <c r="O308" s="33" t="n">
        <f>59500</f>
        <v>59500.0</v>
      </c>
      <c r="P308" s="34" t="s">
        <v>48</v>
      </c>
      <c r="Q308" s="33" t="n">
        <f>61500</f>
        <v>61500.0</v>
      </c>
      <c r="R308" s="34" t="s">
        <v>50</v>
      </c>
      <c r="S308" s="35" t="n">
        <f>61555</f>
        <v>61555.0</v>
      </c>
      <c r="T308" s="32" t="n">
        <f>157152</f>
        <v>157152.0</v>
      </c>
      <c r="U308" s="32" t="n">
        <f>40394</f>
        <v>40394.0</v>
      </c>
      <c r="V308" s="32" t="n">
        <f>9717268930</f>
        <v>9.71726893E9</v>
      </c>
      <c r="W308" s="32" t="n">
        <f>2491682930</f>
        <v>2.49168293E9</v>
      </c>
      <c r="X308" s="36" t="n">
        <f>20</f>
        <v>20.0</v>
      </c>
    </row>
    <row r="309">
      <c r="A309" s="27" t="s">
        <v>42</v>
      </c>
      <c r="B309" s="27" t="s">
        <v>978</v>
      </c>
      <c r="C309" s="27" t="s">
        <v>979</v>
      </c>
      <c r="D309" s="27" t="s">
        <v>980</v>
      </c>
      <c r="E309" s="28" t="s">
        <v>46</v>
      </c>
      <c r="F309" s="29" t="s">
        <v>46</v>
      </c>
      <c r="G309" s="30" t="s">
        <v>46</v>
      </c>
      <c r="H309" s="31"/>
      <c r="I309" s="31" t="s">
        <v>610</v>
      </c>
      <c r="J309" s="32" t="n">
        <v>1.0</v>
      </c>
      <c r="K309" s="33" t="n">
        <f>132200</f>
        <v>132200.0</v>
      </c>
      <c r="L309" s="34" t="s">
        <v>48</v>
      </c>
      <c r="M309" s="33" t="n">
        <f>137300</f>
        <v>137300.0</v>
      </c>
      <c r="N309" s="34" t="s">
        <v>50</v>
      </c>
      <c r="O309" s="33" t="n">
        <f>131100</f>
        <v>131100.0</v>
      </c>
      <c r="P309" s="34" t="s">
        <v>48</v>
      </c>
      <c r="Q309" s="33" t="n">
        <f>134500</f>
        <v>134500.0</v>
      </c>
      <c r="R309" s="34" t="s">
        <v>50</v>
      </c>
      <c r="S309" s="35" t="n">
        <f>133815</f>
        <v>133815.0</v>
      </c>
      <c r="T309" s="32" t="n">
        <f>8106</f>
        <v>8106.0</v>
      </c>
      <c r="U309" s="32" t="n">
        <f>709</f>
        <v>709.0</v>
      </c>
      <c r="V309" s="32" t="n">
        <f>1087827752</f>
        <v>1.087827752E9</v>
      </c>
      <c r="W309" s="32" t="n">
        <f>95169852</f>
        <v>9.5169852E7</v>
      </c>
      <c r="X309" s="36" t="n">
        <f>20</f>
        <v>20.0</v>
      </c>
    </row>
    <row r="310">
      <c r="A310" s="27" t="s">
        <v>42</v>
      </c>
      <c r="B310" s="27" t="s">
        <v>981</v>
      </c>
      <c r="C310" s="27" t="s">
        <v>982</v>
      </c>
      <c r="D310" s="27" t="s">
        <v>983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602000</f>
        <v>602000.0</v>
      </c>
      <c r="L310" s="34" t="s">
        <v>48</v>
      </c>
      <c r="M310" s="33" t="n">
        <f>613000</f>
        <v>613000.0</v>
      </c>
      <c r="N310" s="34" t="s">
        <v>50</v>
      </c>
      <c r="O310" s="33" t="n">
        <f>583000</f>
        <v>583000.0</v>
      </c>
      <c r="P310" s="34" t="s">
        <v>73</v>
      </c>
      <c r="Q310" s="33" t="n">
        <f>583000</f>
        <v>583000.0</v>
      </c>
      <c r="R310" s="34" t="s">
        <v>50</v>
      </c>
      <c r="S310" s="35" t="n">
        <f>592800</f>
        <v>592800.0</v>
      </c>
      <c r="T310" s="32" t="n">
        <f>24861</f>
        <v>24861.0</v>
      </c>
      <c r="U310" s="32" t="n">
        <f>5160</f>
        <v>5160.0</v>
      </c>
      <c r="V310" s="32" t="n">
        <f>14768771669</f>
        <v>1.4768771669E10</v>
      </c>
      <c r="W310" s="32" t="n">
        <f>3060241669</f>
        <v>3.060241669E9</v>
      </c>
      <c r="X310" s="36" t="n">
        <f>20</f>
        <v>20.0</v>
      </c>
    </row>
    <row r="311">
      <c r="A311" s="27" t="s">
        <v>42</v>
      </c>
      <c r="B311" s="27" t="s">
        <v>984</v>
      </c>
      <c r="C311" s="27" t="s">
        <v>985</v>
      </c>
      <c r="D311" s="27" t="s">
        <v>986</v>
      </c>
      <c r="E311" s="28" t="s">
        <v>46</v>
      </c>
      <c r="F311" s="29" t="s">
        <v>46</v>
      </c>
      <c r="G311" s="30" t="s">
        <v>46</v>
      </c>
      <c r="H311" s="31"/>
      <c r="I311" s="31" t="s">
        <v>610</v>
      </c>
      <c r="J311" s="32" t="n">
        <v>1.0</v>
      </c>
      <c r="K311" s="33" t="n">
        <f>81600</f>
        <v>81600.0</v>
      </c>
      <c r="L311" s="34" t="s">
        <v>48</v>
      </c>
      <c r="M311" s="33" t="n">
        <f>83500</f>
        <v>83500.0</v>
      </c>
      <c r="N311" s="34" t="s">
        <v>540</v>
      </c>
      <c r="O311" s="33" t="n">
        <f>75000</f>
        <v>75000.0</v>
      </c>
      <c r="P311" s="34" t="s">
        <v>50</v>
      </c>
      <c r="Q311" s="33" t="n">
        <f>75000</f>
        <v>75000.0</v>
      </c>
      <c r="R311" s="34" t="s">
        <v>50</v>
      </c>
      <c r="S311" s="35" t="n">
        <f>81130</f>
        <v>81130.0</v>
      </c>
      <c r="T311" s="32" t="n">
        <f>17162</f>
        <v>17162.0</v>
      </c>
      <c r="U311" s="32" t="n">
        <f>2061</f>
        <v>2061.0</v>
      </c>
      <c r="V311" s="32" t="n">
        <f>1378026543</f>
        <v>1.378026543E9</v>
      </c>
      <c r="W311" s="32" t="n">
        <f>166523843</f>
        <v>1.66523843E8</v>
      </c>
      <c r="X311" s="36" t="n">
        <f>20</f>
        <v>20.0</v>
      </c>
    </row>
    <row r="312">
      <c r="A312" s="27" t="s">
        <v>42</v>
      </c>
      <c r="B312" s="27" t="s">
        <v>987</v>
      </c>
      <c r="C312" s="27" t="s">
        <v>988</v>
      </c>
      <c r="D312" s="27" t="s">
        <v>989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52500</f>
        <v>52500.0</v>
      </c>
      <c r="L312" s="34" t="s">
        <v>48</v>
      </c>
      <c r="M312" s="33" t="n">
        <f>56200</f>
        <v>56200.0</v>
      </c>
      <c r="N312" s="34" t="s">
        <v>342</v>
      </c>
      <c r="O312" s="33" t="n">
        <f>50900</f>
        <v>50900.0</v>
      </c>
      <c r="P312" s="34" t="s">
        <v>61</v>
      </c>
      <c r="Q312" s="33" t="n">
        <f>53200</f>
        <v>53200.0</v>
      </c>
      <c r="R312" s="34" t="s">
        <v>50</v>
      </c>
      <c r="S312" s="35" t="n">
        <f>52270</f>
        <v>52270.0</v>
      </c>
      <c r="T312" s="32" t="n">
        <f>158282</f>
        <v>158282.0</v>
      </c>
      <c r="U312" s="32" t="n">
        <f>23097</f>
        <v>23097.0</v>
      </c>
      <c r="V312" s="32" t="n">
        <f>8436635070</f>
        <v>8.43663507E9</v>
      </c>
      <c r="W312" s="32" t="n">
        <f>1229011670</f>
        <v>1.22901167E9</v>
      </c>
      <c r="X312" s="36" t="n">
        <f>20</f>
        <v>20.0</v>
      </c>
    </row>
    <row r="313">
      <c r="A313" s="27" t="s">
        <v>42</v>
      </c>
      <c r="B313" s="27" t="s">
        <v>990</v>
      </c>
      <c r="C313" s="27" t="s">
        <v>991</v>
      </c>
      <c r="D313" s="27" t="s">
        <v>992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142100</f>
        <v>142100.0</v>
      </c>
      <c r="L313" s="34" t="s">
        <v>48</v>
      </c>
      <c r="M313" s="33" t="n">
        <f>143000</f>
        <v>143000.0</v>
      </c>
      <c r="N313" s="34" t="s">
        <v>73</v>
      </c>
      <c r="O313" s="33" t="n">
        <f>124000</f>
        <v>124000.0</v>
      </c>
      <c r="P313" s="34" t="s">
        <v>69</v>
      </c>
      <c r="Q313" s="33" t="n">
        <f>126700</f>
        <v>126700.0</v>
      </c>
      <c r="R313" s="34" t="s">
        <v>50</v>
      </c>
      <c r="S313" s="35" t="n">
        <f>136690</f>
        <v>136690.0</v>
      </c>
      <c r="T313" s="32" t="n">
        <f>11465</f>
        <v>11465.0</v>
      </c>
      <c r="U313" s="32" t="n">
        <f>2211</f>
        <v>2211.0</v>
      </c>
      <c r="V313" s="32" t="n">
        <f>1546818609</f>
        <v>1.546818609E9</v>
      </c>
      <c r="W313" s="32" t="n">
        <f>297519909</f>
        <v>2.97519909E8</v>
      </c>
      <c r="X313" s="36" t="n">
        <f>20</f>
        <v>20.0</v>
      </c>
    </row>
    <row r="314">
      <c r="A314" s="27" t="s">
        <v>42</v>
      </c>
      <c r="B314" s="27" t="s">
        <v>993</v>
      </c>
      <c r="C314" s="27" t="s">
        <v>994</v>
      </c>
      <c r="D314" s="27" t="s">
        <v>995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495000</f>
        <v>495000.0</v>
      </c>
      <c r="L314" s="34" t="s">
        <v>48</v>
      </c>
      <c r="M314" s="33" t="n">
        <f>496000</f>
        <v>496000.0</v>
      </c>
      <c r="N314" s="34" t="s">
        <v>73</v>
      </c>
      <c r="O314" s="33" t="n">
        <f>470500</f>
        <v>470500.0</v>
      </c>
      <c r="P314" s="34" t="s">
        <v>195</v>
      </c>
      <c r="Q314" s="33" t="n">
        <f>473000</f>
        <v>473000.0</v>
      </c>
      <c r="R314" s="34" t="s">
        <v>50</v>
      </c>
      <c r="S314" s="35" t="n">
        <f>481900</f>
        <v>481900.0</v>
      </c>
      <c r="T314" s="32" t="n">
        <f>20762</f>
        <v>20762.0</v>
      </c>
      <c r="U314" s="32" t="n">
        <f>3629</f>
        <v>3629.0</v>
      </c>
      <c r="V314" s="32" t="n">
        <f>10005806207</f>
        <v>1.0005806207E10</v>
      </c>
      <c r="W314" s="32" t="n">
        <f>1742378707</f>
        <v>1.742378707E9</v>
      </c>
      <c r="X314" s="36" t="n">
        <f>20</f>
        <v>20.0</v>
      </c>
    </row>
    <row r="315">
      <c r="A315" s="27" t="s">
        <v>42</v>
      </c>
      <c r="B315" s="27" t="s">
        <v>996</v>
      </c>
      <c r="C315" s="27" t="s">
        <v>997</v>
      </c>
      <c r="D315" s="27" t="s">
        <v>998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220100</f>
        <v>220100.0</v>
      </c>
      <c r="L315" s="34" t="s">
        <v>48</v>
      </c>
      <c r="M315" s="33" t="n">
        <f>225100</f>
        <v>225100.0</v>
      </c>
      <c r="N315" s="34" t="s">
        <v>50</v>
      </c>
      <c r="O315" s="33" t="n">
        <f>214600</f>
        <v>214600.0</v>
      </c>
      <c r="P315" s="34" t="s">
        <v>195</v>
      </c>
      <c r="Q315" s="33" t="n">
        <f>219000</f>
        <v>219000.0</v>
      </c>
      <c r="R315" s="34" t="s">
        <v>50</v>
      </c>
      <c r="S315" s="35" t="n">
        <f>218195</f>
        <v>218195.0</v>
      </c>
      <c r="T315" s="32" t="n">
        <f>53993</f>
        <v>53993.0</v>
      </c>
      <c r="U315" s="32" t="n">
        <f>10542</f>
        <v>10542.0</v>
      </c>
      <c r="V315" s="32" t="n">
        <f>11839969718</f>
        <v>1.1839969718E10</v>
      </c>
      <c r="W315" s="32" t="n">
        <f>2308286218</f>
        <v>2.308286218E9</v>
      </c>
      <c r="X315" s="36" t="n">
        <f>20</f>
        <v>20.0</v>
      </c>
    </row>
    <row r="316">
      <c r="A316" s="27" t="s">
        <v>42</v>
      </c>
      <c r="B316" s="27" t="s">
        <v>999</v>
      </c>
      <c r="C316" s="27" t="s">
        <v>1000</v>
      </c>
      <c r="D316" s="27" t="s">
        <v>1001</v>
      </c>
      <c r="E316" s="28" t="s">
        <v>46</v>
      </c>
      <c r="F316" s="29" t="s">
        <v>46</v>
      </c>
      <c r="G316" s="30" t="s">
        <v>46</v>
      </c>
      <c r="H316" s="31"/>
      <c r="I316" s="31" t="s">
        <v>610</v>
      </c>
      <c r="J316" s="32" t="n">
        <v>1.0</v>
      </c>
      <c r="K316" s="33" t="n">
        <f>117200</f>
        <v>117200.0</v>
      </c>
      <c r="L316" s="34" t="s">
        <v>48</v>
      </c>
      <c r="M316" s="33" t="n">
        <f>118200</f>
        <v>118200.0</v>
      </c>
      <c r="N316" s="34" t="s">
        <v>61</v>
      </c>
      <c r="O316" s="33" t="n">
        <f>111000</f>
        <v>111000.0</v>
      </c>
      <c r="P316" s="34" t="s">
        <v>50</v>
      </c>
      <c r="Q316" s="33" t="n">
        <f>111000</f>
        <v>111000.0</v>
      </c>
      <c r="R316" s="34" t="s">
        <v>50</v>
      </c>
      <c r="S316" s="35" t="n">
        <f>115545</f>
        <v>115545.0</v>
      </c>
      <c r="T316" s="32" t="n">
        <f>11495</f>
        <v>11495.0</v>
      </c>
      <c r="U316" s="32" t="n">
        <f>1031</f>
        <v>1031.0</v>
      </c>
      <c r="V316" s="32" t="n">
        <f>1322399287</f>
        <v>1.322399287E9</v>
      </c>
      <c r="W316" s="32" t="n">
        <f>118323287</f>
        <v>1.18323287E8</v>
      </c>
      <c r="X316" s="36" t="n">
        <f>20</f>
        <v>20.0</v>
      </c>
    </row>
    <row r="317">
      <c r="A317" s="27" t="s">
        <v>42</v>
      </c>
      <c r="B317" s="27" t="s">
        <v>1002</v>
      </c>
      <c r="C317" s="27" t="s">
        <v>1003</v>
      </c>
      <c r="D317" s="27" t="s">
        <v>1004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111000</f>
        <v>111000.0</v>
      </c>
      <c r="L317" s="34" t="s">
        <v>48</v>
      </c>
      <c r="M317" s="33" t="n">
        <f>114200</f>
        <v>114200.0</v>
      </c>
      <c r="N317" s="34" t="s">
        <v>50</v>
      </c>
      <c r="O317" s="33" t="n">
        <f>109900</f>
        <v>109900.0</v>
      </c>
      <c r="P317" s="34" t="s">
        <v>48</v>
      </c>
      <c r="Q317" s="33" t="n">
        <f>111300</f>
        <v>111300.0</v>
      </c>
      <c r="R317" s="34" t="s">
        <v>50</v>
      </c>
      <c r="S317" s="35" t="n">
        <f>111760</f>
        <v>111760.0</v>
      </c>
      <c r="T317" s="32" t="n">
        <f>73365</f>
        <v>73365.0</v>
      </c>
      <c r="U317" s="32" t="n">
        <f>10674</f>
        <v>10674.0</v>
      </c>
      <c r="V317" s="32" t="n">
        <f>8221869250</f>
        <v>8.22186925E9</v>
      </c>
      <c r="W317" s="32" t="n">
        <f>1195024450</f>
        <v>1.19502445E9</v>
      </c>
      <c r="X317" s="36" t="n">
        <f>20</f>
        <v>20.0</v>
      </c>
    </row>
    <row r="318">
      <c r="A318" s="27" t="s">
        <v>42</v>
      </c>
      <c r="B318" s="27" t="s">
        <v>1005</v>
      </c>
      <c r="C318" s="27" t="s">
        <v>1006</v>
      </c>
      <c r="D318" s="27" t="s">
        <v>1007</v>
      </c>
      <c r="E318" s="28" t="s">
        <v>46</v>
      </c>
      <c r="F318" s="29" t="s">
        <v>46</v>
      </c>
      <c r="G318" s="30" t="s">
        <v>46</v>
      </c>
      <c r="H318" s="31"/>
      <c r="I318" s="31" t="s">
        <v>610</v>
      </c>
      <c r="J318" s="32" t="n">
        <v>1.0</v>
      </c>
      <c r="K318" s="33" t="n">
        <f>163900</f>
        <v>163900.0</v>
      </c>
      <c r="L318" s="34" t="s">
        <v>48</v>
      </c>
      <c r="M318" s="33" t="n">
        <f>175800</f>
        <v>175800.0</v>
      </c>
      <c r="N318" s="34" t="s">
        <v>50</v>
      </c>
      <c r="O318" s="33" t="n">
        <f>160500</f>
        <v>160500.0</v>
      </c>
      <c r="P318" s="34" t="s">
        <v>60</v>
      </c>
      <c r="Q318" s="33" t="n">
        <f>171800</f>
        <v>171800.0</v>
      </c>
      <c r="R318" s="34" t="s">
        <v>50</v>
      </c>
      <c r="S318" s="35" t="n">
        <f>166210</f>
        <v>166210.0</v>
      </c>
      <c r="T318" s="32" t="n">
        <f>55013</f>
        <v>55013.0</v>
      </c>
      <c r="U318" s="32" t="n">
        <f>8400</f>
        <v>8400.0</v>
      </c>
      <c r="V318" s="32" t="n">
        <f>9266994992</f>
        <v>9.266994992E9</v>
      </c>
      <c r="W318" s="32" t="n">
        <f>1405234592</f>
        <v>1.405234592E9</v>
      </c>
      <c r="X318" s="36" t="n">
        <f>20</f>
        <v>20.0</v>
      </c>
    </row>
    <row r="319">
      <c r="A319" s="27" t="s">
        <v>42</v>
      </c>
      <c r="B319" s="27" t="s">
        <v>1008</v>
      </c>
      <c r="C319" s="27" t="s">
        <v>1009</v>
      </c>
      <c r="D319" s="27" t="s">
        <v>1010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742000</f>
        <v>742000.0</v>
      </c>
      <c r="L319" s="34" t="s">
        <v>48</v>
      </c>
      <c r="M319" s="33" t="n">
        <f>744000</f>
        <v>744000.0</v>
      </c>
      <c r="N319" s="34" t="s">
        <v>60</v>
      </c>
      <c r="O319" s="33" t="n">
        <f>700000</f>
        <v>700000.0</v>
      </c>
      <c r="P319" s="34" t="s">
        <v>50</v>
      </c>
      <c r="Q319" s="33" t="n">
        <f>700000</f>
        <v>700000.0</v>
      </c>
      <c r="R319" s="34" t="s">
        <v>50</v>
      </c>
      <c r="S319" s="35" t="n">
        <f>722800</f>
        <v>722800.0</v>
      </c>
      <c r="T319" s="32" t="n">
        <f>93595</f>
        <v>93595.0</v>
      </c>
      <c r="U319" s="32" t="n">
        <f>17119</f>
        <v>17119.0</v>
      </c>
      <c r="V319" s="32" t="n">
        <f>67471935881</f>
        <v>6.7471935881E10</v>
      </c>
      <c r="W319" s="32" t="n">
        <f>12329081881</f>
        <v>1.2329081881E10</v>
      </c>
      <c r="X319" s="36" t="n">
        <f>20</f>
        <v>20.0</v>
      </c>
    </row>
    <row r="320">
      <c r="A320" s="27" t="s">
        <v>42</v>
      </c>
      <c r="B320" s="27" t="s">
        <v>1011</v>
      </c>
      <c r="C320" s="27" t="s">
        <v>1012</v>
      </c>
      <c r="D320" s="27" t="s">
        <v>1013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699000</f>
        <v>699000.0</v>
      </c>
      <c r="L320" s="34" t="s">
        <v>48</v>
      </c>
      <c r="M320" s="33" t="n">
        <f>709000</f>
        <v>709000.0</v>
      </c>
      <c r="N320" s="34" t="s">
        <v>68</v>
      </c>
      <c r="O320" s="33" t="n">
        <f>655000</f>
        <v>655000.0</v>
      </c>
      <c r="P320" s="34" t="s">
        <v>50</v>
      </c>
      <c r="Q320" s="33" t="n">
        <f>655000</f>
        <v>655000.0</v>
      </c>
      <c r="R320" s="34" t="s">
        <v>50</v>
      </c>
      <c r="S320" s="35" t="n">
        <f>680800</f>
        <v>680800.0</v>
      </c>
      <c r="T320" s="32" t="n">
        <f>68336</f>
        <v>68336.0</v>
      </c>
      <c r="U320" s="32" t="n">
        <f>12350</f>
        <v>12350.0</v>
      </c>
      <c r="V320" s="32" t="n">
        <f>46296541427</f>
        <v>4.6296541427E10</v>
      </c>
      <c r="W320" s="32" t="n">
        <f>8337556427</f>
        <v>8.337556427E9</v>
      </c>
      <c r="X320" s="36" t="n">
        <f>20</f>
        <v>20.0</v>
      </c>
    </row>
    <row r="321">
      <c r="A321" s="27" t="s">
        <v>42</v>
      </c>
      <c r="B321" s="27" t="s">
        <v>1014</v>
      </c>
      <c r="C321" s="27" t="s">
        <v>1015</v>
      </c>
      <c r="D321" s="27" t="s">
        <v>1016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105200</f>
        <v>105200.0</v>
      </c>
      <c r="L321" s="34" t="s">
        <v>48</v>
      </c>
      <c r="M321" s="33" t="n">
        <f>105800</f>
        <v>105800.0</v>
      </c>
      <c r="N321" s="34" t="s">
        <v>60</v>
      </c>
      <c r="O321" s="33" t="n">
        <f>97400</f>
        <v>97400.0</v>
      </c>
      <c r="P321" s="34" t="s">
        <v>69</v>
      </c>
      <c r="Q321" s="33" t="n">
        <f>97800</f>
        <v>97800.0</v>
      </c>
      <c r="R321" s="34" t="s">
        <v>50</v>
      </c>
      <c r="S321" s="35" t="n">
        <f>101610</f>
        <v>101610.0</v>
      </c>
      <c r="T321" s="32" t="n">
        <f>417119</f>
        <v>417119.0</v>
      </c>
      <c r="U321" s="32" t="n">
        <f>113019</f>
        <v>113019.0</v>
      </c>
      <c r="V321" s="32" t="n">
        <f>42170087526</f>
        <v>4.2170087526E10</v>
      </c>
      <c r="W321" s="32" t="n">
        <f>11418212726</f>
        <v>1.1418212726E10</v>
      </c>
      <c r="X321" s="36" t="n">
        <f>20</f>
        <v>20.0</v>
      </c>
    </row>
    <row r="322">
      <c r="A322" s="27" t="s">
        <v>42</v>
      </c>
      <c r="B322" s="27" t="s">
        <v>1017</v>
      </c>
      <c r="C322" s="27" t="s">
        <v>1018</v>
      </c>
      <c r="D322" s="27" t="s">
        <v>1019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189400</f>
        <v>189400.0</v>
      </c>
      <c r="L322" s="34" t="s">
        <v>48</v>
      </c>
      <c r="M322" s="33" t="n">
        <f>190100</f>
        <v>190100.0</v>
      </c>
      <c r="N322" s="34" t="s">
        <v>48</v>
      </c>
      <c r="O322" s="33" t="n">
        <f>180100</f>
        <v>180100.0</v>
      </c>
      <c r="P322" s="34" t="s">
        <v>540</v>
      </c>
      <c r="Q322" s="33" t="n">
        <f>180500</f>
        <v>180500.0</v>
      </c>
      <c r="R322" s="34" t="s">
        <v>50</v>
      </c>
      <c r="S322" s="35" t="n">
        <f>185095</f>
        <v>185095.0</v>
      </c>
      <c r="T322" s="32" t="n">
        <f>204858</f>
        <v>204858.0</v>
      </c>
      <c r="U322" s="32" t="n">
        <f>34033</f>
        <v>34033.0</v>
      </c>
      <c r="V322" s="32" t="n">
        <f>37883671350</f>
        <v>3.788367135E10</v>
      </c>
      <c r="W322" s="32" t="n">
        <f>6295377150</f>
        <v>6.29537715E9</v>
      </c>
      <c r="X322" s="36" t="n">
        <f>20</f>
        <v>20.0</v>
      </c>
    </row>
    <row r="323">
      <c r="A323" s="27" t="s">
        <v>42</v>
      </c>
      <c r="B323" s="27" t="s">
        <v>1020</v>
      </c>
      <c r="C323" s="27" t="s">
        <v>1021</v>
      </c>
      <c r="D323" s="27" t="s">
        <v>1022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420500</f>
        <v>420500.0</v>
      </c>
      <c r="L323" s="34" t="s">
        <v>48</v>
      </c>
      <c r="M323" s="33" t="n">
        <f>425000</f>
        <v>425000.0</v>
      </c>
      <c r="N323" s="34" t="s">
        <v>101</v>
      </c>
      <c r="O323" s="33" t="n">
        <f>404500</f>
        <v>404500.0</v>
      </c>
      <c r="P323" s="34" t="s">
        <v>69</v>
      </c>
      <c r="Q323" s="33" t="n">
        <f>404500</f>
        <v>404500.0</v>
      </c>
      <c r="R323" s="34" t="s">
        <v>50</v>
      </c>
      <c r="S323" s="35" t="n">
        <f>417225</f>
        <v>417225.0</v>
      </c>
      <c r="T323" s="32" t="n">
        <f>36982</f>
        <v>36982.0</v>
      </c>
      <c r="U323" s="32" t="n">
        <f>7266</f>
        <v>7266.0</v>
      </c>
      <c r="V323" s="32" t="n">
        <f>15381588484</f>
        <v>1.5381588484E10</v>
      </c>
      <c r="W323" s="32" t="n">
        <f>3015687984</f>
        <v>3.015687984E9</v>
      </c>
      <c r="X323" s="36" t="n">
        <f>20</f>
        <v>20.0</v>
      </c>
    </row>
    <row r="324">
      <c r="A324" s="27" t="s">
        <v>42</v>
      </c>
      <c r="B324" s="27" t="s">
        <v>1023</v>
      </c>
      <c r="C324" s="27" t="s">
        <v>1024</v>
      </c>
      <c r="D324" s="27" t="s">
        <v>1025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151000</f>
        <v>151000.0</v>
      </c>
      <c r="L324" s="34" t="s">
        <v>48</v>
      </c>
      <c r="M324" s="33" t="n">
        <f>155500</f>
        <v>155500.0</v>
      </c>
      <c r="N324" s="34" t="s">
        <v>342</v>
      </c>
      <c r="O324" s="33" t="n">
        <f>149300</f>
        <v>149300.0</v>
      </c>
      <c r="P324" s="34" t="s">
        <v>48</v>
      </c>
      <c r="Q324" s="33" t="n">
        <f>150200</f>
        <v>150200.0</v>
      </c>
      <c r="R324" s="34" t="s">
        <v>50</v>
      </c>
      <c r="S324" s="35" t="n">
        <f>152745</f>
        <v>152745.0</v>
      </c>
      <c r="T324" s="32" t="n">
        <f>147784</f>
        <v>147784.0</v>
      </c>
      <c r="U324" s="32" t="n">
        <f>32873</f>
        <v>32873.0</v>
      </c>
      <c r="V324" s="32" t="n">
        <f>22431216943</f>
        <v>2.2431216943E10</v>
      </c>
      <c r="W324" s="32" t="n">
        <f>4984080843</f>
        <v>4.984080843E9</v>
      </c>
      <c r="X324" s="36" t="n">
        <f>20</f>
        <v>20.0</v>
      </c>
    </row>
    <row r="325">
      <c r="A325" s="27" t="s">
        <v>42</v>
      </c>
      <c r="B325" s="27" t="s">
        <v>1026</v>
      </c>
      <c r="C325" s="27" t="s">
        <v>1027</v>
      </c>
      <c r="D325" s="27" t="s">
        <v>1028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191200</f>
        <v>191200.0</v>
      </c>
      <c r="L325" s="34" t="s">
        <v>48</v>
      </c>
      <c r="M325" s="33" t="n">
        <f>195800</f>
        <v>195800.0</v>
      </c>
      <c r="N325" s="34" t="s">
        <v>87</v>
      </c>
      <c r="O325" s="33" t="n">
        <f>186400</f>
        <v>186400.0</v>
      </c>
      <c r="P325" s="34" t="s">
        <v>50</v>
      </c>
      <c r="Q325" s="33" t="n">
        <f>186400</f>
        <v>186400.0</v>
      </c>
      <c r="R325" s="34" t="s">
        <v>50</v>
      </c>
      <c r="S325" s="35" t="n">
        <f>191055</f>
        <v>191055.0</v>
      </c>
      <c r="T325" s="32" t="n">
        <f>39396</f>
        <v>39396.0</v>
      </c>
      <c r="U325" s="32" t="n">
        <f>8591</f>
        <v>8591.0</v>
      </c>
      <c r="V325" s="32" t="n">
        <f>7513315441</f>
        <v>7.513315441E9</v>
      </c>
      <c r="W325" s="32" t="n">
        <f>1636686741</f>
        <v>1.636686741E9</v>
      </c>
      <c r="X325" s="36" t="n">
        <f>20</f>
        <v>20.0</v>
      </c>
    </row>
    <row r="326">
      <c r="A326" s="27" t="s">
        <v>42</v>
      </c>
      <c r="B326" s="27" t="s">
        <v>1029</v>
      </c>
      <c r="C326" s="27" t="s">
        <v>1030</v>
      </c>
      <c r="D326" s="27" t="s">
        <v>1031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117900</f>
        <v>117900.0</v>
      </c>
      <c r="L326" s="34" t="s">
        <v>48</v>
      </c>
      <c r="M326" s="33" t="n">
        <f>124200</f>
        <v>124200.0</v>
      </c>
      <c r="N326" s="34" t="s">
        <v>133</v>
      </c>
      <c r="O326" s="33" t="n">
        <f>116500</f>
        <v>116500.0</v>
      </c>
      <c r="P326" s="34" t="s">
        <v>48</v>
      </c>
      <c r="Q326" s="33" t="n">
        <f>119200</f>
        <v>119200.0</v>
      </c>
      <c r="R326" s="34" t="s">
        <v>50</v>
      </c>
      <c r="S326" s="35" t="n">
        <f>120200</f>
        <v>120200.0</v>
      </c>
      <c r="T326" s="32" t="n">
        <f>72711</f>
        <v>72711.0</v>
      </c>
      <c r="U326" s="32" t="n">
        <f>16246</f>
        <v>16246.0</v>
      </c>
      <c r="V326" s="32" t="n">
        <f>8775342337</f>
        <v>8.775342337E9</v>
      </c>
      <c r="W326" s="32" t="n">
        <f>1964553437</f>
        <v>1.964553437E9</v>
      </c>
      <c r="X326" s="36" t="n">
        <f>20</f>
        <v>20.0</v>
      </c>
    </row>
    <row r="327">
      <c r="A327" s="27" t="s">
        <v>42</v>
      </c>
      <c r="B327" s="27" t="s">
        <v>1032</v>
      </c>
      <c r="C327" s="27" t="s">
        <v>1033</v>
      </c>
      <c r="D327" s="27" t="s">
        <v>1034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142000</f>
        <v>142000.0</v>
      </c>
      <c r="L327" s="34" t="s">
        <v>48</v>
      </c>
      <c r="M327" s="33" t="n">
        <f>145300</f>
        <v>145300.0</v>
      </c>
      <c r="N327" s="34" t="s">
        <v>97</v>
      </c>
      <c r="O327" s="33" t="n">
        <f>133700</f>
        <v>133700.0</v>
      </c>
      <c r="P327" s="34" t="s">
        <v>69</v>
      </c>
      <c r="Q327" s="33" t="n">
        <f>144600</f>
        <v>144600.0</v>
      </c>
      <c r="R327" s="34" t="s">
        <v>50</v>
      </c>
      <c r="S327" s="35" t="n">
        <f>141460</f>
        <v>141460.0</v>
      </c>
      <c r="T327" s="32" t="n">
        <f>844550</f>
        <v>844550.0</v>
      </c>
      <c r="U327" s="32" t="n">
        <f>225106</f>
        <v>225106.0</v>
      </c>
      <c r="V327" s="32" t="n">
        <f>120336837914</f>
        <v>1.20336837914E11</v>
      </c>
      <c r="W327" s="32" t="n">
        <f>32237413214</f>
        <v>3.2237413214E10</v>
      </c>
      <c r="X327" s="36" t="n">
        <f>20</f>
        <v>20.0</v>
      </c>
    </row>
    <row r="328">
      <c r="A328" s="27" t="s">
        <v>42</v>
      </c>
      <c r="B328" s="27" t="s">
        <v>1035</v>
      </c>
      <c r="C328" s="27" t="s">
        <v>1036</v>
      </c>
      <c r="D328" s="27" t="s">
        <v>1037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147300</f>
        <v>147300.0</v>
      </c>
      <c r="L328" s="34" t="s">
        <v>48</v>
      </c>
      <c r="M328" s="33" t="n">
        <f>148700</f>
        <v>148700.0</v>
      </c>
      <c r="N328" s="34" t="s">
        <v>242</v>
      </c>
      <c r="O328" s="33" t="n">
        <f>140900</f>
        <v>140900.0</v>
      </c>
      <c r="P328" s="34" t="s">
        <v>69</v>
      </c>
      <c r="Q328" s="33" t="n">
        <f>141600</f>
        <v>141600.0</v>
      </c>
      <c r="R328" s="34" t="s">
        <v>50</v>
      </c>
      <c r="S328" s="35" t="n">
        <f>145440</f>
        <v>145440.0</v>
      </c>
      <c r="T328" s="32" t="n">
        <f>46965</f>
        <v>46965.0</v>
      </c>
      <c r="U328" s="32" t="n">
        <f>8703</f>
        <v>8703.0</v>
      </c>
      <c r="V328" s="32" t="n">
        <f>6801794542</f>
        <v>6.801794542E9</v>
      </c>
      <c r="W328" s="32" t="n">
        <f>1260950642</f>
        <v>1.260950642E9</v>
      </c>
      <c r="X328" s="36" t="n">
        <f>20</f>
        <v>20.0</v>
      </c>
    </row>
    <row r="329">
      <c r="A329" s="27" t="s">
        <v>42</v>
      </c>
      <c r="B329" s="27" t="s">
        <v>1038</v>
      </c>
      <c r="C329" s="27" t="s">
        <v>1039</v>
      </c>
      <c r="D329" s="27" t="s">
        <v>1040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44900</f>
        <v>44900.0</v>
      </c>
      <c r="L329" s="34" t="s">
        <v>48</v>
      </c>
      <c r="M329" s="33" t="n">
        <f>45000</f>
        <v>45000.0</v>
      </c>
      <c r="N329" s="34" t="s">
        <v>80</v>
      </c>
      <c r="O329" s="33" t="n">
        <f>37850</f>
        <v>37850.0</v>
      </c>
      <c r="P329" s="34" t="s">
        <v>69</v>
      </c>
      <c r="Q329" s="33" t="n">
        <f>38050</f>
        <v>38050.0</v>
      </c>
      <c r="R329" s="34" t="s">
        <v>50</v>
      </c>
      <c r="S329" s="35" t="n">
        <f>42950</f>
        <v>42950.0</v>
      </c>
      <c r="T329" s="32" t="n">
        <f>558208</f>
        <v>558208.0</v>
      </c>
      <c r="U329" s="32" t="n">
        <f>115748</f>
        <v>115748.0</v>
      </c>
      <c r="V329" s="32" t="n">
        <f>23409931435</f>
        <v>2.3409931435E10</v>
      </c>
      <c r="W329" s="32" t="n">
        <f>4895381085</f>
        <v>4.895381085E9</v>
      </c>
      <c r="X329" s="36" t="n">
        <f>20</f>
        <v>20.0</v>
      </c>
    </row>
    <row r="330">
      <c r="A330" s="27" t="s">
        <v>42</v>
      </c>
      <c r="B330" s="27" t="s">
        <v>1041</v>
      </c>
      <c r="C330" s="27" t="s">
        <v>1042</v>
      </c>
      <c r="D330" s="27" t="s">
        <v>1043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503000</f>
        <v>503000.0</v>
      </c>
      <c r="L330" s="34" t="s">
        <v>48</v>
      </c>
      <c r="M330" s="33" t="n">
        <f>522000</f>
        <v>522000.0</v>
      </c>
      <c r="N330" s="34" t="s">
        <v>342</v>
      </c>
      <c r="O330" s="33" t="n">
        <f>497000</f>
        <v>497000.0</v>
      </c>
      <c r="P330" s="34" t="s">
        <v>50</v>
      </c>
      <c r="Q330" s="33" t="n">
        <f>497000</f>
        <v>497000.0</v>
      </c>
      <c r="R330" s="34" t="s">
        <v>50</v>
      </c>
      <c r="S330" s="35" t="n">
        <f>512350</f>
        <v>512350.0</v>
      </c>
      <c r="T330" s="32" t="n">
        <f>28662</f>
        <v>28662.0</v>
      </c>
      <c r="U330" s="32" t="n">
        <f>6634</f>
        <v>6634.0</v>
      </c>
      <c r="V330" s="32" t="n">
        <f>14638837271</f>
        <v>1.4638837271E10</v>
      </c>
      <c r="W330" s="32" t="n">
        <f>3371677271</f>
        <v>3.371677271E9</v>
      </c>
      <c r="X330" s="36" t="n">
        <f>20</f>
        <v>20.0</v>
      </c>
    </row>
    <row r="331">
      <c r="A331" s="27" t="s">
        <v>42</v>
      </c>
      <c r="B331" s="27" t="s">
        <v>1044</v>
      </c>
      <c r="C331" s="27" t="s">
        <v>1045</v>
      </c>
      <c r="D331" s="27" t="s">
        <v>1046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159600</f>
        <v>159600.0</v>
      </c>
      <c r="L331" s="34" t="s">
        <v>48</v>
      </c>
      <c r="M331" s="33" t="n">
        <f>162200</f>
        <v>162200.0</v>
      </c>
      <c r="N331" s="34" t="s">
        <v>73</v>
      </c>
      <c r="O331" s="33" t="n">
        <f>150500</f>
        <v>150500.0</v>
      </c>
      <c r="P331" s="34" t="s">
        <v>69</v>
      </c>
      <c r="Q331" s="33" t="n">
        <f>150700</f>
        <v>150700.0</v>
      </c>
      <c r="R331" s="34" t="s">
        <v>50</v>
      </c>
      <c r="S331" s="35" t="n">
        <f>158055</f>
        <v>158055.0</v>
      </c>
      <c r="T331" s="32" t="n">
        <f>48690</f>
        <v>48690.0</v>
      </c>
      <c r="U331" s="32" t="n">
        <f>8700</f>
        <v>8700.0</v>
      </c>
      <c r="V331" s="32" t="n">
        <f>7667002363</f>
        <v>7.667002363E9</v>
      </c>
      <c r="W331" s="32" t="n">
        <f>1359563663</f>
        <v>1.359563663E9</v>
      </c>
      <c r="X331" s="36" t="n">
        <f>20</f>
        <v>20.0</v>
      </c>
    </row>
    <row r="332">
      <c r="A332" s="27" t="s">
        <v>42</v>
      </c>
      <c r="B332" s="27" t="s">
        <v>1047</v>
      </c>
      <c r="C332" s="27" t="s">
        <v>1048</v>
      </c>
      <c r="D332" s="27" t="s">
        <v>1049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341500</f>
        <v>341500.0</v>
      </c>
      <c r="L332" s="34" t="s">
        <v>48</v>
      </c>
      <c r="M332" s="33" t="n">
        <f>343000</f>
        <v>343000.0</v>
      </c>
      <c r="N332" s="34" t="s">
        <v>48</v>
      </c>
      <c r="O332" s="33" t="n">
        <f>314000</f>
        <v>314000.0</v>
      </c>
      <c r="P332" s="34" t="s">
        <v>50</v>
      </c>
      <c r="Q332" s="33" t="n">
        <f>314000</f>
        <v>314000.0</v>
      </c>
      <c r="R332" s="34" t="s">
        <v>50</v>
      </c>
      <c r="S332" s="35" t="n">
        <f>331825</f>
        <v>331825.0</v>
      </c>
      <c r="T332" s="32" t="n">
        <f>33870</f>
        <v>33870.0</v>
      </c>
      <c r="U332" s="32" t="n">
        <f>6809</f>
        <v>6809.0</v>
      </c>
      <c r="V332" s="32" t="n">
        <f>11230569864</f>
        <v>1.1230569864E10</v>
      </c>
      <c r="W332" s="32" t="n">
        <f>2245715364</f>
        <v>2.245715364E9</v>
      </c>
      <c r="X332" s="36" t="n">
        <f>20</f>
        <v>20.0</v>
      </c>
    </row>
    <row r="333">
      <c r="A333" s="27" t="s">
        <v>42</v>
      </c>
      <c r="B333" s="27" t="s">
        <v>1050</v>
      </c>
      <c r="C333" s="27" t="s">
        <v>1051</v>
      </c>
      <c r="D333" s="27" t="s">
        <v>1052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169500</f>
        <v>169500.0</v>
      </c>
      <c r="L333" s="34" t="s">
        <v>48</v>
      </c>
      <c r="M333" s="33" t="n">
        <f>171400</f>
        <v>171400.0</v>
      </c>
      <c r="N333" s="34" t="s">
        <v>73</v>
      </c>
      <c r="O333" s="33" t="n">
        <f>163100</f>
        <v>163100.0</v>
      </c>
      <c r="P333" s="34" t="s">
        <v>69</v>
      </c>
      <c r="Q333" s="33" t="n">
        <f>163200</f>
        <v>163200.0</v>
      </c>
      <c r="R333" s="34" t="s">
        <v>50</v>
      </c>
      <c r="S333" s="35" t="n">
        <f>168185</f>
        <v>168185.0</v>
      </c>
      <c r="T333" s="32" t="n">
        <f>25884</f>
        <v>25884.0</v>
      </c>
      <c r="U333" s="32" t="n">
        <f>7181</f>
        <v>7181.0</v>
      </c>
      <c r="V333" s="32" t="n">
        <f>4337958376</f>
        <v>4.337958376E9</v>
      </c>
      <c r="W333" s="32" t="n">
        <f>1205131276</f>
        <v>1.205131276E9</v>
      </c>
      <c r="X333" s="36" t="n">
        <f>20</f>
        <v>20.0</v>
      </c>
    </row>
    <row r="334">
      <c r="A334" s="27" t="s">
        <v>42</v>
      </c>
      <c r="B334" s="27" t="s">
        <v>1053</v>
      </c>
      <c r="C334" s="27" t="s">
        <v>1054</v>
      </c>
      <c r="D334" s="27" t="s">
        <v>1055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718000</f>
        <v>718000.0</v>
      </c>
      <c r="L334" s="34" t="s">
        <v>48</v>
      </c>
      <c r="M334" s="33" t="n">
        <f>725000</f>
        <v>725000.0</v>
      </c>
      <c r="N334" s="34" t="s">
        <v>342</v>
      </c>
      <c r="O334" s="33" t="n">
        <f>689000</f>
        <v>689000.0</v>
      </c>
      <c r="P334" s="34" t="s">
        <v>50</v>
      </c>
      <c r="Q334" s="33" t="n">
        <f>689000</f>
        <v>689000.0</v>
      </c>
      <c r="R334" s="34" t="s">
        <v>50</v>
      </c>
      <c r="S334" s="35" t="n">
        <f>710850</f>
        <v>710850.0</v>
      </c>
      <c r="T334" s="32" t="n">
        <f>31802</f>
        <v>31802.0</v>
      </c>
      <c r="U334" s="32" t="n">
        <f>6481</f>
        <v>6481.0</v>
      </c>
      <c r="V334" s="32" t="n">
        <f>22576010271</f>
        <v>2.2576010271E10</v>
      </c>
      <c r="W334" s="32" t="n">
        <f>4599316271</f>
        <v>4.599316271E9</v>
      </c>
      <c r="X334" s="36" t="n">
        <f>20</f>
        <v>20.0</v>
      </c>
    </row>
    <row r="335">
      <c r="A335" s="27" t="s">
        <v>42</v>
      </c>
      <c r="B335" s="27" t="s">
        <v>1056</v>
      </c>
      <c r="C335" s="27" t="s">
        <v>1057</v>
      </c>
      <c r="D335" s="27" t="s">
        <v>1058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86200</f>
        <v>86200.0</v>
      </c>
      <c r="L335" s="34" t="s">
        <v>48</v>
      </c>
      <c r="M335" s="33" t="n">
        <f>88800</f>
        <v>88800.0</v>
      </c>
      <c r="N335" s="34" t="s">
        <v>50</v>
      </c>
      <c r="O335" s="33" t="n">
        <f>85200</f>
        <v>85200.0</v>
      </c>
      <c r="P335" s="34" t="s">
        <v>68</v>
      </c>
      <c r="Q335" s="33" t="n">
        <f>85600</f>
        <v>85600.0</v>
      </c>
      <c r="R335" s="34" t="s">
        <v>50</v>
      </c>
      <c r="S335" s="35" t="n">
        <f>86740</f>
        <v>86740.0</v>
      </c>
      <c r="T335" s="32" t="n">
        <f>79881</f>
        <v>79881.0</v>
      </c>
      <c r="U335" s="32" t="n">
        <f>14966</f>
        <v>14966.0</v>
      </c>
      <c r="V335" s="32" t="n">
        <f>6921632288</f>
        <v>6.921632288E9</v>
      </c>
      <c r="W335" s="32" t="n">
        <f>1296176388</f>
        <v>1.296176388E9</v>
      </c>
      <c r="X335" s="36" t="n">
        <f>20</f>
        <v>20.0</v>
      </c>
    </row>
    <row r="336">
      <c r="A336" s="27" t="s">
        <v>42</v>
      </c>
      <c r="B336" s="27" t="s">
        <v>1059</v>
      </c>
      <c r="C336" s="27" t="s">
        <v>1060</v>
      </c>
      <c r="D336" s="27" t="s">
        <v>1061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730000</f>
        <v>730000.0</v>
      </c>
      <c r="L336" s="34" t="s">
        <v>48</v>
      </c>
      <c r="M336" s="33" t="n">
        <f>768000</f>
        <v>768000.0</v>
      </c>
      <c r="N336" s="34" t="s">
        <v>342</v>
      </c>
      <c r="O336" s="33" t="n">
        <f>714000</f>
        <v>714000.0</v>
      </c>
      <c r="P336" s="34" t="s">
        <v>50</v>
      </c>
      <c r="Q336" s="33" t="n">
        <f>714000</f>
        <v>714000.0</v>
      </c>
      <c r="R336" s="34" t="s">
        <v>50</v>
      </c>
      <c r="S336" s="35" t="n">
        <f>736150</f>
        <v>736150.0</v>
      </c>
      <c r="T336" s="32" t="n">
        <f>31431</f>
        <v>31431.0</v>
      </c>
      <c r="U336" s="32" t="n">
        <f>4058</f>
        <v>4058.0</v>
      </c>
      <c r="V336" s="32" t="n">
        <f>23218931459</f>
        <v>2.3218931459E10</v>
      </c>
      <c r="W336" s="32" t="n">
        <f>2991957459</f>
        <v>2.991957459E9</v>
      </c>
      <c r="X336" s="36" t="n">
        <f>20</f>
        <v>20.0</v>
      </c>
    </row>
    <row r="337">
      <c r="A337" s="27" t="s">
        <v>42</v>
      </c>
      <c r="B337" s="27" t="s">
        <v>1062</v>
      </c>
      <c r="C337" s="27" t="s">
        <v>1063</v>
      </c>
      <c r="D337" s="27" t="s">
        <v>1064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169400</f>
        <v>169400.0</v>
      </c>
      <c r="L337" s="34" t="s">
        <v>48</v>
      </c>
      <c r="M337" s="33" t="n">
        <f>172300</f>
        <v>172300.0</v>
      </c>
      <c r="N337" s="34" t="s">
        <v>242</v>
      </c>
      <c r="O337" s="33" t="n">
        <f>157100</f>
        <v>157100.0</v>
      </c>
      <c r="P337" s="34" t="s">
        <v>69</v>
      </c>
      <c r="Q337" s="33" t="n">
        <f>158200</f>
        <v>158200.0</v>
      </c>
      <c r="R337" s="34" t="s">
        <v>50</v>
      </c>
      <c r="S337" s="35" t="n">
        <f>167480</f>
        <v>167480.0</v>
      </c>
      <c r="T337" s="32" t="n">
        <f>35691</f>
        <v>35691.0</v>
      </c>
      <c r="U337" s="32" t="n">
        <f>4421</f>
        <v>4421.0</v>
      </c>
      <c r="V337" s="32" t="n">
        <f>5937761847</f>
        <v>5.937761847E9</v>
      </c>
      <c r="W337" s="32" t="n">
        <f>732021747</f>
        <v>7.32021747E8</v>
      </c>
      <c r="X337" s="36" t="n">
        <f>20</f>
        <v>20.0</v>
      </c>
    </row>
    <row r="338">
      <c r="A338" s="27" t="s">
        <v>42</v>
      </c>
      <c r="B338" s="27" t="s">
        <v>1065</v>
      </c>
      <c r="C338" s="27" t="s">
        <v>1066</v>
      </c>
      <c r="D338" s="27" t="s">
        <v>1067</v>
      </c>
      <c r="E338" s="28" t="s">
        <v>46</v>
      </c>
      <c r="F338" s="29" t="s">
        <v>46</v>
      </c>
      <c r="G338" s="30" t="s">
        <v>46</v>
      </c>
      <c r="H338" s="31"/>
      <c r="I338" s="31" t="s">
        <v>610</v>
      </c>
      <c r="J338" s="32" t="n">
        <v>1.0</v>
      </c>
      <c r="K338" s="33" t="n">
        <f>240800</f>
        <v>240800.0</v>
      </c>
      <c r="L338" s="34" t="s">
        <v>48</v>
      </c>
      <c r="M338" s="33" t="n">
        <f>243300</f>
        <v>243300.0</v>
      </c>
      <c r="N338" s="34" t="s">
        <v>80</v>
      </c>
      <c r="O338" s="33" t="n">
        <f>225400</f>
        <v>225400.0</v>
      </c>
      <c r="P338" s="34" t="s">
        <v>50</v>
      </c>
      <c r="Q338" s="33" t="n">
        <f>225400</f>
        <v>225400.0</v>
      </c>
      <c r="R338" s="34" t="s">
        <v>50</v>
      </c>
      <c r="S338" s="35" t="n">
        <f>234390</f>
        <v>234390.0</v>
      </c>
      <c r="T338" s="32" t="n">
        <f>10733</f>
        <v>10733.0</v>
      </c>
      <c r="U338" s="32" t="n">
        <f>1308</f>
        <v>1308.0</v>
      </c>
      <c r="V338" s="32" t="n">
        <f>2509765199</f>
        <v>2.509765199E9</v>
      </c>
      <c r="W338" s="32" t="n">
        <f>305023299</f>
        <v>3.05023299E8</v>
      </c>
      <c r="X338" s="36" t="n">
        <f>20</f>
        <v>20.0</v>
      </c>
    </row>
    <row r="339">
      <c r="A339" s="27" t="s">
        <v>42</v>
      </c>
      <c r="B339" s="27" t="s">
        <v>1068</v>
      </c>
      <c r="C339" s="27" t="s">
        <v>1069</v>
      </c>
      <c r="D339" s="27" t="s">
        <v>1070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328500</f>
        <v>328500.0</v>
      </c>
      <c r="L339" s="34" t="s">
        <v>48</v>
      </c>
      <c r="M339" s="33" t="n">
        <f>330500</f>
        <v>330500.0</v>
      </c>
      <c r="N339" s="34" t="s">
        <v>50</v>
      </c>
      <c r="O339" s="33" t="n">
        <f>315500</f>
        <v>315500.0</v>
      </c>
      <c r="P339" s="34" t="s">
        <v>195</v>
      </c>
      <c r="Q339" s="33" t="n">
        <f>323500</f>
        <v>323500.0</v>
      </c>
      <c r="R339" s="34" t="s">
        <v>50</v>
      </c>
      <c r="S339" s="35" t="n">
        <f>324425</f>
        <v>324425.0</v>
      </c>
      <c r="T339" s="32" t="n">
        <f>150196</f>
        <v>150196.0</v>
      </c>
      <c r="U339" s="32" t="n">
        <f>28928</f>
        <v>28928.0</v>
      </c>
      <c r="V339" s="32" t="n">
        <f>48696567462</f>
        <v>4.8696567462E10</v>
      </c>
      <c r="W339" s="32" t="n">
        <f>9382090462</f>
        <v>9.382090462E9</v>
      </c>
      <c r="X339" s="36" t="n">
        <f>20</f>
        <v>20.0</v>
      </c>
    </row>
    <row r="340">
      <c r="A340" s="27" t="s">
        <v>42</v>
      </c>
      <c r="B340" s="27" t="s">
        <v>1071</v>
      </c>
      <c r="C340" s="27" t="s">
        <v>1072</v>
      </c>
      <c r="D340" s="27" t="s">
        <v>1073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68800</f>
        <v>68800.0</v>
      </c>
      <c r="L340" s="34" t="s">
        <v>48</v>
      </c>
      <c r="M340" s="33" t="n">
        <f>69200</f>
        <v>69200.0</v>
      </c>
      <c r="N340" s="34" t="s">
        <v>60</v>
      </c>
      <c r="O340" s="33" t="n">
        <f>57700</f>
        <v>57700.0</v>
      </c>
      <c r="P340" s="34" t="s">
        <v>69</v>
      </c>
      <c r="Q340" s="33" t="n">
        <f>58600</f>
        <v>58600.0</v>
      </c>
      <c r="R340" s="34" t="s">
        <v>50</v>
      </c>
      <c r="S340" s="35" t="n">
        <f>65955</f>
        <v>65955.0</v>
      </c>
      <c r="T340" s="32" t="n">
        <f>437440</f>
        <v>437440.0</v>
      </c>
      <c r="U340" s="32" t="n">
        <f>107035</f>
        <v>107035.0</v>
      </c>
      <c r="V340" s="32" t="n">
        <f>28083724739</f>
        <v>2.8083724739E10</v>
      </c>
      <c r="W340" s="32" t="n">
        <f>6886795639</f>
        <v>6.886795639E9</v>
      </c>
      <c r="X340" s="36" t="n">
        <f>20</f>
        <v>20.0</v>
      </c>
    </row>
    <row r="341">
      <c r="A341" s="27" t="s">
        <v>42</v>
      </c>
      <c r="B341" s="27" t="s">
        <v>1074</v>
      </c>
      <c r="C341" s="27" t="s">
        <v>1075</v>
      </c>
      <c r="D341" s="27" t="s">
        <v>1076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114000</f>
        <v>114000.0</v>
      </c>
      <c r="L341" s="34" t="s">
        <v>48</v>
      </c>
      <c r="M341" s="33" t="n">
        <f>116300</f>
        <v>116300.0</v>
      </c>
      <c r="N341" s="34" t="s">
        <v>68</v>
      </c>
      <c r="O341" s="33" t="n">
        <f>109400</f>
        <v>109400.0</v>
      </c>
      <c r="P341" s="34" t="s">
        <v>50</v>
      </c>
      <c r="Q341" s="33" t="n">
        <f>109400</f>
        <v>109400.0</v>
      </c>
      <c r="R341" s="34" t="s">
        <v>50</v>
      </c>
      <c r="S341" s="35" t="n">
        <f>113145</f>
        <v>113145.0</v>
      </c>
      <c r="T341" s="32" t="n">
        <f>91724</f>
        <v>91724.0</v>
      </c>
      <c r="U341" s="32" t="n">
        <f>21161</f>
        <v>21161.0</v>
      </c>
      <c r="V341" s="32" t="n">
        <f>10340435966</f>
        <v>1.0340435966E10</v>
      </c>
      <c r="W341" s="32" t="n">
        <f>2382793666</f>
        <v>2.382793666E9</v>
      </c>
      <c r="X341" s="36" t="n">
        <f>20</f>
        <v>20.0</v>
      </c>
    </row>
    <row r="342">
      <c r="A342" s="27" t="s">
        <v>42</v>
      </c>
      <c r="B342" s="27" t="s">
        <v>1077</v>
      </c>
      <c r="C342" s="27" t="s">
        <v>1078</v>
      </c>
      <c r="D342" s="27" t="s">
        <v>1079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138000</f>
        <v>138000.0</v>
      </c>
      <c r="L342" s="34" t="s">
        <v>48</v>
      </c>
      <c r="M342" s="33" t="n">
        <f>141000</f>
        <v>141000.0</v>
      </c>
      <c r="N342" s="34" t="s">
        <v>540</v>
      </c>
      <c r="O342" s="33" t="n">
        <f>132800</f>
        <v>132800.0</v>
      </c>
      <c r="P342" s="34" t="s">
        <v>50</v>
      </c>
      <c r="Q342" s="33" t="n">
        <f>132800</f>
        <v>132800.0</v>
      </c>
      <c r="R342" s="34" t="s">
        <v>50</v>
      </c>
      <c r="S342" s="35" t="n">
        <f>138040</f>
        <v>138040.0</v>
      </c>
      <c r="T342" s="32" t="n">
        <f>79970</f>
        <v>79970.0</v>
      </c>
      <c r="U342" s="32" t="n">
        <f>15002</f>
        <v>15002.0</v>
      </c>
      <c r="V342" s="32" t="n">
        <f>11009312450</f>
        <v>1.100931245E10</v>
      </c>
      <c r="W342" s="32" t="n">
        <f>2062786750</f>
        <v>2.06278675E9</v>
      </c>
      <c r="X342" s="36" t="n">
        <f>20</f>
        <v>20.0</v>
      </c>
    </row>
    <row r="343">
      <c r="A343" s="27" t="s">
        <v>42</v>
      </c>
      <c r="B343" s="27" t="s">
        <v>1080</v>
      </c>
      <c r="C343" s="27" t="s">
        <v>1081</v>
      </c>
      <c r="D343" s="27" t="s">
        <v>1082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122400</f>
        <v>122400.0</v>
      </c>
      <c r="L343" s="34" t="s">
        <v>48</v>
      </c>
      <c r="M343" s="33" t="n">
        <f>122800</f>
        <v>122800.0</v>
      </c>
      <c r="N343" s="34" t="s">
        <v>80</v>
      </c>
      <c r="O343" s="33" t="n">
        <f>108800</f>
        <v>108800.0</v>
      </c>
      <c r="P343" s="34" t="s">
        <v>50</v>
      </c>
      <c r="Q343" s="33" t="n">
        <f>108800</f>
        <v>108800.0</v>
      </c>
      <c r="R343" s="34" t="s">
        <v>50</v>
      </c>
      <c r="S343" s="35" t="n">
        <f>117125</f>
        <v>117125.0</v>
      </c>
      <c r="T343" s="32" t="n">
        <f>45327</f>
        <v>45327.0</v>
      </c>
      <c r="U343" s="32" t="n">
        <f>3005</f>
        <v>3005.0</v>
      </c>
      <c r="V343" s="32" t="n">
        <f>5221472122</f>
        <v>5.221472122E9</v>
      </c>
      <c r="W343" s="32" t="n">
        <f>354548322</f>
        <v>3.54548322E8</v>
      </c>
      <c r="X343" s="36" t="n">
        <f>20</f>
        <v>20.0</v>
      </c>
    </row>
    <row r="344">
      <c r="A344" s="27" t="s">
        <v>42</v>
      </c>
      <c r="B344" s="27" t="s">
        <v>1083</v>
      </c>
      <c r="C344" s="27" t="s">
        <v>1084</v>
      </c>
      <c r="D344" s="27" t="s">
        <v>1085</v>
      </c>
      <c r="E344" s="28" t="s">
        <v>46</v>
      </c>
      <c r="F344" s="29" t="s">
        <v>46</v>
      </c>
      <c r="G344" s="30" t="s">
        <v>46</v>
      </c>
      <c r="H344" s="31"/>
      <c r="I344" s="31" t="s">
        <v>610</v>
      </c>
      <c r="J344" s="32" t="n">
        <v>1.0</v>
      </c>
      <c r="K344" s="33" t="n">
        <f>67000</f>
        <v>67000.0</v>
      </c>
      <c r="L344" s="34" t="s">
        <v>48</v>
      </c>
      <c r="M344" s="33" t="n">
        <f>68700</f>
        <v>68700.0</v>
      </c>
      <c r="N344" s="34" t="s">
        <v>97</v>
      </c>
      <c r="O344" s="33" t="n">
        <f>66600</f>
        <v>66600.0</v>
      </c>
      <c r="P344" s="34" t="s">
        <v>48</v>
      </c>
      <c r="Q344" s="33" t="n">
        <f>67100</f>
        <v>67100.0</v>
      </c>
      <c r="R344" s="34" t="s">
        <v>50</v>
      </c>
      <c r="S344" s="35" t="n">
        <f>67365</f>
        <v>67365.0</v>
      </c>
      <c r="T344" s="32" t="n">
        <f>2555</f>
        <v>2555.0</v>
      </c>
      <c r="U344" s="32" t="n">
        <f>4</f>
        <v>4.0</v>
      </c>
      <c r="V344" s="32" t="n">
        <f>172295400</f>
        <v>1.722954E8</v>
      </c>
      <c r="W344" s="32" t="n">
        <f>270200</f>
        <v>270200.0</v>
      </c>
      <c r="X344" s="36" t="n">
        <f>20</f>
        <v>20.0</v>
      </c>
    </row>
    <row r="345">
      <c r="A345" s="27" t="s">
        <v>42</v>
      </c>
      <c r="B345" s="27" t="s">
        <v>1086</v>
      </c>
      <c r="C345" s="27" t="s">
        <v>1087</v>
      </c>
      <c r="D345" s="27" t="s">
        <v>1088</v>
      </c>
      <c r="E345" s="28" t="s">
        <v>46</v>
      </c>
      <c r="F345" s="29" t="s">
        <v>46</v>
      </c>
      <c r="G345" s="30" t="s">
        <v>46</v>
      </c>
      <c r="H345" s="31"/>
      <c r="I345" s="31" t="s">
        <v>610</v>
      </c>
      <c r="J345" s="32" t="n">
        <v>1.0</v>
      </c>
      <c r="K345" s="33" t="n">
        <f>108700</f>
        <v>108700.0</v>
      </c>
      <c r="L345" s="34" t="s">
        <v>48</v>
      </c>
      <c r="M345" s="33" t="n">
        <f>109000</f>
        <v>109000.0</v>
      </c>
      <c r="N345" s="34" t="s">
        <v>68</v>
      </c>
      <c r="O345" s="33" t="n">
        <f>104300</f>
        <v>104300.0</v>
      </c>
      <c r="P345" s="34" t="s">
        <v>365</v>
      </c>
      <c r="Q345" s="33" t="n">
        <f>105100</f>
        <v>105100.0</v>
      </c>
      <c r="R345" s="34" t="s">
        <v>50</v>
      </c>
      <c r="S345" s="35" t="n">
        <f>107070</f>
        <v>107070.0</v>
      </c>
      <c r="T345" s="32" t="n">
        <f>4525</f>
        <v>4525.0</v>
      </c>
      <c r="U345" s="32" t="n">
        <f>18</f>
        <v>18.0</v>
      </c>
      <c r="V345" s="32" t="n">
        <f>483443506</f>
        <v>4.83443506E8</v>
      </c>
      <c r="W345" s="32" t="n">
        <f>1926406</f>
        <v>1926406.0</v>
      </c>
      <c r="X345" s="36" t="n">
        <f>20</f>
        <v>20.0</v>
      </c>
    </row>
    <row r="346">
      <c r="A346" s="27" t="s">
        <v>42</v>
      </c>
      <c r="B346" s="27" t="s">
        <v>1089</v>
      </c>
      <c r="C346" s="27" t="s">
        <v>1090</v>
      </c>
      <c r="D346" s="27" t="s">
        <v>1091</v>
      </c>
      <c r="E346" s="28" t="s">
        <v>46</v>
      </c>
      <c r="F346" s="29" t="s">
        <v>46</v>
      </c>
      <c r="G346" s="30" t="s">
        <v>46</v>
      </c>
      <c r="H346" s="31"/>
      <c r="I346" s="31" t="s">
        <v>610</v>
      </c>
      <c r="J346" s="32" t="n">
        <v>1.0</v>
      </c>
      <c r="K346" s="33" t="n">
        <f>124800</f>
        <v>124800.0</v>
      </c>
      <c r="L346" s="34" t="s">
        <v>48</v>
      </c>
      <c r="M346" s="33" t="n">
        <f>125900</f>
        <v>125900.0</v>
      </c>
      <c r="N346" s="34" t="s">
        <v>73</v>
      </c>
      <c r="O346" s="33" t="n">
        <f>119900</f>
        <v>119900.0</v>
      </c>
      <c r="P346" s="34" t="s">
        <v>365</v>
      </c>
      <c r="Q346" s="33" t="n">
        <f>123800</f>
        <v>123800.0</v>
      </c>
      <c r="R346" s="34" t="s">
        <v>50</v>
      </c>
      <c r="S346" s="35" t="n">
        <f>123775</f>
        <v>123775.0</v>
      </c>
      <c r="T346" s="32" t="n">
        <f>19972</f>
        <v>19972.0</v>
      </c>
      <c r="U346" s="32" t="n">
        <f>151</f>
        <v>151.0</v>
      </c>
      <c r="V346" s="32" t="n">
        <f>2461997813</f>
        <v>2.461997813E9</v>
      </c>
      <c r="W346" s="32" t="n">
        <f>18748013</f>
        <v>1.8748013E7</v>
      </c>
      <c r="X346" s="36" t="n">
        <f>20</f>
        <v>20.0</v>
      </c>
    </row>
    <row r="347">
      <c r="A347" s="27" t="s">
        <v>42</v>
      </c>
      <c r="B347" s="27" t="s">
        <v>1092</v>
      </c>
      <c r="C347" s="27" t="s">
        <v>1093</v>
      </c>
      <c r="D347" s="27" t="s">
        <v>1094</v>
      </c>
      <c r="E347" s="28" t="s">
        <v>46</v>
      </c>
      <c r="F347" s="29" t="s">
        <v>46</v>
      </c>
      <c r="G347" s="30" t="s">
        <v>46</v>
      </c>
      <c r="H347" s="31"/>
      <c r="I347" s="31" t="s">
        <v>610</v>
      </c>
      <c r="J347" s="32" t="n">
        <v>1.0</v>
      </c>
      <c r="K347" s="33" t="n">
        <f>102300</f>
        <v>102300.0</v>
      </c>
      <c r="L347" s="34" t="s">
        <v>48</v>
      </c>
      <c r="M347" s="33" t="n">
        <f>103300</f>
        <v>103300.0</v>
      </c>
      <c r="N347" s="34" t="s">
        <v>73</v>
      </c>
      <c r="O347" s="33" t="n">
        <f>97000</f>
        <v>97000.0</v>
      </c>
      <c r="P347" s="34" t="s">
        <v>69</v>
      </c>
      <c r="Q347" s="33" t="n">
        <f>97200</f>
        <v>97200.0</v>
      </c>
      <c r="R347" s="34" t="s">
        <v>50</v>
      </c>
      <c r="S347" s="35" t="n">
        <f>100345</f>
        <v>100345.0</v>
      </c>
      <c r="T347" s="32" t="n">
        <f>6668</f>
        <v>6668.0</v>
      </c>
      <c r="U347" s="32" t="n">
        <f>453</f>
        <v>453.0</v>
      </c>
      <c r="V347" s="32" t="n">
        <f>660475800</f>
        <v>6.604758E8</v>
      </c>
      <c r="W347" s="32" t="n">
        <f>42532400</f>
        <v>4.25324E7</v>
      </c>
      <c r="X347" s="36" t="n">
        <f>20</f>
        <v>20.0</v>
      </c>
    </row>
    <row r="348">
      <c r="A348" s="27" t="s">
        <v>42</v>
      </c>
      <c r="B348" s="27" t="s">
        <v>1095</v>
      </c>
      <c r="C348" s="27" t="s">
        <v>1096</v>
      </c>
      <c r="D348" s="27" t="s">
        <v>1097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97600</f>
        <v>97600.0</v>
      </c>
      <c r="L348" s="34" t="s">
        <v>48</v>
      </c>
      <c r="M348" s="33" t="n">
        <f>97800</f>
        <v>97800.0</v>
      </c>
      <c r="N348" s="34" t="s">
        <v>80</v>
      </c>
      <c r="O348" s="33" t="n">
        <f>87700</f>
        <v>87700.0</v>
      </c>
      <c r="P348" s="34" t="s">
        <v>69</v>
      </c>
      <c r="Q348" s="33" t="n">
        <f>88000</f>
        <v>88000.0</v>
      </c>
      <c r="R348" s="34" t="s">
        <v>50</v>
      </c>
      <c r="S348" s="35" t="n">
        <f>95040</f>
        <v>95040.0</v>
      </c>
      <c r="T348" s="32" t="n">
        <f>68223</f>
        <v>68223.0</v>
      </c>
      <c r="U348" s="32" t="n">
        <f>358</f>
        <v>358.0</v>
      </c>
      <c r="V348" s="32" t="n">
        <f>6346846250</f>
        <v>6.34684625E9</v>
      </c>
      <c r="W348" s="32" t="n">
        <f>31710050</f>
        <v>3.171005E7</v>
      </c>
      <c r="X348" s="36" t="n">
        <f>20</f>
        <v>20.0</v>
      </c>
    </row>
    <row r="349">
      <c r="A349" s="27" t="s">
        <v>42</v>
      </c>
      <c r="B349" s="27" t="s">
        <v>1098</v>
      </c>
      <c r="C349" s="27" t="s">
        <v>1099</v>
      </c>
      <c r="D349" s="27" t="s">
        <v>1100</v>
      </c>
      <c r="E349" s="28" t="s">
        <v>46</v>
      </c>
      <c r="F349" s="29" t="s">
        <v>46</v>
      </c>
      <c r="G349" s="30" t="s">
        <v>46</v>
      </c>
      <c r="H349" s="31"/>
      <c r="I349" s="31" t="s">
        <v>610</v>
      </c>
      <c r="J349" s="32" t="n">
        <v>1.0</v>
      </c>
      <c r="K349" s="33" t="n">
        <f>99600</f>
        <v>99600.0</v>
      </c>
      <c r="L349" s="34" t="s">
        <v>48</v>
      </c>
      <c r="M349" s="33" t="n">
        <f>100400</f>
        <v>100400.0</v>
      </c>
      <c r="N349" s="34" t="s">
        <v>80</v>
      </c>
      <c r="O349" s="33" t="n">
        <f>91500</f>
        <v>91500.0</v>
      </c>
      <c r="P349" s="34" t="s">
        <v>50</v>
      </c>
      <c r="Q349" s="33" t="n">
        <f>91500</f>
        <v>91500.0</v>
      </c>
      <c r="R349" s="34" t="s">
        <v>50</v>
      </c>
      <c r="S349" s="35" t="n">
        <f>97210</f>
        <v>97210.0</v>
      </c>
      <c r="T349" s="32" t="n">
        <f>14296</f>
        <v>14296.0</v>
      </c>
      <c r="U349" s="32" t="n">
        <f>1359</f>
        <v>1359.0</v>
      </c>
      <c r="V349" s="32" t="n">
        <f>1360619100</f>
        <v>1.3606191E9</v>
      </c>
      <c r="W349" s="32" t="n">
        <f>123222900</f>
        <v>1.232229E8</v>
      </c>
      <c r="X349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