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<sst xmlns="http://schemas.openxmlformats.org/spreadsheetml/2006/main" count="4199" uniqueCount="1108">
  <si>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</si>
  <si>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</si>
  <si>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</si>
  <si>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</si>
  <si>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</si>
  <si>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</si>
  <si>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</si>
  <si>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</si>
  <si>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</si>
  <si>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</si>
  <si>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</si>
  <si>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</si>
  <si>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</si>
  <si>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</si>
  <si>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</si>
  <si>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</si>
  <si>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</si>
  <si>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</si>
  <si>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</si>
  <si>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</si>
  <si>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</si>
  <si>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</si>
  <si>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</si>
  <si>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</si>
  <si>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</si>
  <si>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</si>
  <si>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</si>
  <si>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</si>
  <si>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</si>
  <si>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</si>
  <si>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</si>
  <si>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</si>
  <si>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</si>
  <si>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</si>
  <si>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</si>
  <si>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</si>
  <si>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</si>
  <si>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</si>
  <si>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</si>
  <si>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</si>
  <si>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</si>
  <si>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</si>
  <si>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2021/12</t>
  </si>
  <si>
    <t>1305</t>
  </si>
  <si>
    <t>ダイワ上場投信－トピックス　受益証券</t>
  </si>
  <si>
    <t>Daiwa ETF-TOPIX</t>
  </si>
  <si>
    <t/>
  </si>
  <si>
    <t>貸借</t>
  </si>
  <si>
    <t>1</t>
  </si>
  <si>
    <t>16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</si>
  <si>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</si>
  <si>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</si>
  <si>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</si>
  <si>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</si>
  <si>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</si>
  <si>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</si>
  <si>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</si>
  <si>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</si>
  <si>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</si>
  <si>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</si>
  <si>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</si>
  <si>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</si>
  <si>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</si>
  <si>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</si>
  <si>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</si>
  <si>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</si>
  <si>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</si>
  <si>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2</t>
  </si>
  <si>
    <t>1313</t>
  </si>
  <si>
    <t>サムスンＫＯＤＥＸ２００証券上場指数投資信託[株式]　受益証券</t>
  </si>
  <si>
    <t>SAMSUNG KODEX200 SECURITIES EXCHANGE TRADED FUND [STOCK]</t>
  </si>
  <si>
    <t>21</t>
  </si>
  <si>
    <t>1319</t>
  </si>
  <si>
    <t>ＮＥＸＴ　ＦＵＮＤＳ　日経３００株価指数連動型上場投信　受益証券</t>
  </si>
  <si>
    <t>NEXT FUNDS Nikkei 300 Index Exchange Traded Fund</t>
  </si>
  <si>
    <t>8</t>
  </si>
  <si>
    <t>7</t>
  </si>
  <si>
    <t>1320</t>
  </si>
  <si>
    <t>ダイワ上場投信－日経２２５　受益証券</t>
  </si>
  <si>
    <t>Daiwa ETF-Nikkei 225</t>
  </si>
  <si>
    <t>29</t>
  </si>
  <si>
    <t>3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</si>
  <si>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</si>
  <si>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</si>
  <si>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</si>
  <si>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</si>
  <si>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</si>
  <si>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</si>
  <si>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6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</si>
  <si>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</si>
  <si>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</si>
  <si>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</si>
  <si>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9</t>
  </si>
  <si>
    <t>22</t>
  </si>
  <si>
    <t>1324</t>
  </si>
  <si>
    <t>ＮＥＸＴ　ＦＵＮＤＳ　ロシア株式指数・ＲＴＳ連動型上場投信　受益証券</t>
  </si>
  <si>
    <t>NEXT FUNDS Russia RTS Linked Exchange Traded Fund</t>
  </si>
  <si>
    <t>20</t>
  </si>
  <si>
    <t>1325</t>
  </si>
  <si>
    <t>ＮＥＸＴ　ＦＵＮＤＳ　ブラジル株式指数・ボベスパ連動型上場投信　受益証券</t>
  </si>
  <si>
    <t>NEXT FUNDS Ibovespa Linked Exchange Traded Fund</t>
  </si>
  <si>
    <t>24</t>
  </si>
  <si>
    <t>1326</t>
  </si>
  <si>
    <t>ＳＰＤＲゴールド・シェア　受益証券</t>
  </si>
  <si>
    <t>SPDR Gold Shares</t>
  </si>
  <si>
    <t>28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</si>
  <si>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</si>
  <si>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</si>
  <si>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</si>
  <si>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</si>
  <si>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</si>
  <si>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</si>
  <si>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</si>
  <si>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</si>
  <si>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</si>
  <si>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</si>
  <si>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</si>
  <si>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</si>
  <si>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</si>
  <si>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</si>
  <si>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</si>
  <si>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</si>
  <si>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</si>
  <si>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</si>
  <si>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</si>
  <si>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</si>
  <si>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</si>
  <si>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</si>
  <si>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</si>
  <si>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</si>
  <si>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10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</si>
  <si>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</si>
  <si>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</si>
  <si>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</si>
  <si>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</si>
  <si>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</si>
  <si>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</si>
  <si>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</si>
  <si>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</si>
  <si>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</si>
  <si>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</si>
  <si>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</si>
  <si>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</si>
  <si>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</si>
  <si>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</si>
  <si>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</si>
  <si>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</si>
  <si>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</si>
  <si>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</si>
  <si>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</si>
  <si>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</si>
  <si>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</si>
  <si>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</si>
  <si>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</si>
  <si>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</si>
  <si>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</si>
  <si>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</si>
  <si>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</si>
  <si>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</si>
  <si>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</si>
  <si>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</si>
  <si>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</si>
  <si>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</si>
  <si>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</si>
  <si>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</si>
  <si>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</si>
  <si>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</si>
  <si>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</si>
  <si>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</si>
  <si>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</si>
  <si>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</si>
  <si>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</si>
  <si>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</si>
  <si>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</si>
  <si>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</si>
  <si>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</si>
  <si>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</si>
  <si>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</si>
  <si>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</si>
  <si>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</si>
  <si>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</si>
  <si>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</si>
  <si>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</si>
  <si>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</si>
  <si>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</si>
  <si>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</si>
  <si>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</si>
  <si>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</si>
  <si>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</si>
  <si>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</si>
  <si>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</si>
  <si>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</si>
  <si>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</si>
  <si>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</si>
  <si>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</si>
  <si>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</si>
  <si>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</si>
  <si>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</si>
  <si>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</si>
  <si>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</si>
  <si>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</si>
  <si>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</si>
  <si>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</si>
  <si>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</si>
  <si>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</si>
  <si>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</si>
  <si>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</si>
  <si>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</si>
  <si>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</si>
  <si>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</si>
  <si>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</si>
  <si>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</si>
  <si>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</si>
  <si>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</si>
  <si>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</si>
  <si>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</si>
  <si>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</si>
  <si>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</si>
  <si>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</si>
  <si>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</si>
  <si>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</si>
  <si>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</si>
  <si>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</si>
  <si>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</si>
  <si>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</si>
  <si>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</si>
  <si>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</si>
  <si>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</si>
  <si>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</si>
  <si>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</si>
  <si>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</si>
  <si>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</si>
  <si>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</si>
  <si>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</si>
  <si>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</si>
  <si>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</si>
  <si>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</si>
  <si>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</si>
  <si>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</si>
  <si>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</si>
  <si>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</si>
  <si>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</si>
  <si>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</si>
  <si>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</si>
  <si>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</si>
  <si>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</si>
  <si>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</si>
  <si>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</si>
  <si>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</si>
  <si>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</si>
  <si>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</si>
  <si>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</si>
  <si>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</si>
  <si>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</si>
  <si>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17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</si>
  <si>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</si>
  <si>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</si>
  <si>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</si>
  <si>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</si>
  <si>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</si>
  <si>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</si>
  <si>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</si>
  <si>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</si>
  <si>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</si>
  <si>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</si>
  <si>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</si>
  <si>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</si>
  <si>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</si>
  <si>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</si>
  <si>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</si>
  <si>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</si>
  <si>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</si>
  <si>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</si>
  <si>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</si>
  <si>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</si>
  <si>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</si>
  <si>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</si>
  <si>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</si>
  <si>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</si>
  <si>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27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</si>
  <si>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</si>
  <si>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</si>
  <si>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</si>
  <si>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</si>
  <si>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</si>
  <si>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</si>
  <si>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</si>
  <si>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</si>
  <si>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</si>
  <si>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</si>
  <si>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</si>
  <si>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</si>
  <si>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</si>
  <si>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</si>
  <si>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</si>
  <si>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</si>
  <si>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</si>
  <si>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</si>
  <si>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</si>
  <si>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</si>
  <si>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</si>
  <si>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</si>
  <si>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</si>
  <si>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</si>
  <si>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</si>
  <si>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</si>
  <si>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</si>
  <si>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</si>
  <si>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</si>
  <si>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</si>
  <si>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</si>
  <si>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</si>
  <si>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</si>
  <si>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</si>
  <si>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</si>
  <si>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</si>
  <si>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</si>
  <si>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</si>
  <si>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</si>
  <si>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</si>
  <si>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</si>
  <si>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</si>
  <si>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</si>
  <si>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</si>
  <si>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</si>
  <si>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</si>
  <si>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</si>
  <si>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</si>
  <si>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</si>
  <si>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</si>
  <si>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</si>
  <si>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</si>
  <si>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</si>
  <si>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</si>
  <si>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</si>
  <si>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</si>
  <si>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</si>
  <si>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</si>
  <si>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</si>
  <si>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</si>
  <si>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</si>
  <si>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</si>
  <si>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</si>
  <si>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</si>
  <si>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</si>
  <si>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</si>
  <si>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</si>
  <si>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</si>
  <si>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</si>
  <si>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</si>
  <si>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</si>
  <si>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</si>
  <si>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</si>
  <si>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</si>
  <si>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</si>
  <si>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</si>
  <si>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</si>
  <si>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</si>
  <si>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</si>
  <si>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</si>
  <si>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</si>
  <si>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</si>
  <si>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</si>
  <si>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</si>
  <si>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</si>
  <si>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</si>
  <si>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</si>
  <si>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</si>
  <si>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</si>
  <si>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</si>
  <si>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</si>
  <si>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</si>
  <si>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</si>
  <si>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</si>
  <si>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</si>
  <si>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</si>
  <si>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</si>
  <si>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</si>
  <si>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</si>
  <si>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</si>
  <si>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</si>
  <si>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</si>
  <si>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</si>
  <si>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</si>
  <si>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</si>
  <si>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</si>
  <si>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</si>
  <si>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</si>
  <si>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</si>
  <si>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</si>
  <si>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</si>
  <si>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</si>
  <si>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</si>
  <si>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</si>
  <si>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</si>
  <si>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</si>
  <si>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</si>
  <si>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</si>
  <si>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</si>
  <si>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</si>
  <si>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</si>
  <si>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</si>
  <si>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</si>
  <si>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</si>
  <si>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</si>
  <si>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</si>
  <si>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</si>
  <si>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</si>
  <si>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</si>
  <si>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</si>
  <si>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</si>
  <si>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</si>
  <si>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</si>
  <si>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</si>
  <si>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</si>
  <si>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</si>
  <si>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</si>
  <si>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</si>
  <si>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</si>
  <si>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</si>
  <si>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</si>
  <si>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</si>
  <si>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</si>
  <si>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</si>
  <si>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</si>
  <si>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</si>
  <si>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</si>
  <si>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</si>
  <si>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</si>
  <si>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</si>
  <si>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</si>
  <si>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</si>
  <si>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</si>
  <si>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</si>
  <si>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</si>
  <si>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</si>
  <si>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</si>
  <si>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</si>
  <si>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</si>
  <si>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</si>
  <si>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</si>
  <si>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</si>
  <si>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</si>
  <si>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</si>
  <si>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</si>
  <si>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</si>
  <si>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</si>
  <si>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</si>
  <si>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</si>
  <si>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</si>
  <si>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</si>
  <si>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</si>
  <si>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</si>
  <si>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</si>
  <si>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</si>
  <si>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</si>
  <si>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</si>
  <si>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</si>
  <si>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</si>
  <si>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</si>
  <si>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</si>
  <si>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</si>
  <si>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</si>
  <si>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</si>
  <si>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</si>
  <si>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</si>
  <si>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</si>
  <si>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</si>
  <si>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</si>
  <si>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</si>
  <si>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</si>
  <si>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</si>
  <si>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</si>
  <si>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</si>
  <si>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</si>
  <si>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</si>
  <si>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</si>
  <si>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</si>
  <si>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</si>
  <si>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</si>
  <si>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</si>
  <si>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</si>
  <si>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</si>
  <si>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</si>
  <si>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</si>
  <si>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</si>
  <si>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</si>
  <si>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</si>
  <si>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</si>
  <si>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</si>
  <si>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</si>
  <si>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</si>
  <si>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</si>
  <si>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</si>
  <si>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</si>
  <si>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</si>
  <si>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</si>
  <si>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</si>
  <si>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</si>
  <si>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</si>
  <si>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</si>
  <si>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</si>
  <si>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</si>
  <si>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</si>
  <si>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</si>
  <si>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</si>
  <si>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</si>
  <si>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</si>
  <si>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</si>
  <si>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</si>
  <si>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</si>
  <si>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</si>
  <si>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</si>
  <si>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</si>
  <si>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</si>
  <si>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</si>
  <si>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</si>
  <si>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</si>
  <si>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</si>
  <si>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</si>
  <si>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</si>
  <si>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</si>
  <si>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</si>
  <si>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</si>
  <si>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</si>
  <si>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</si>
  <si>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</si>
  <si>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</si>
  <si>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</si>
  <si>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</si>
  <si>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</si>
  <si>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</si>
  <si>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</si>
  <si>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</si>
  <si>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</si>
  <si>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</si>
  <si>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</si>
  <si>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</si>
  <si>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</si>
  <si>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</si>
  <si>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</si>
  <si>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</si>
  <si>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</si>
  <si>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</si>
  <si>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</si>
  <si>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</si>
  <si>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</si>
  <si>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</si>
  <si>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</si>
  <si>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</si>
  <si>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</si>
  <si>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</si>
  <si>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</si>
  <si>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</si>
  <si>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</si>
  <si>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</si>
  <si>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</si>
  <si>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</si>
  <si>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</si>
  <si>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</si>
  <si>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</si>
  <si>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</si>
  <si>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</si>
  <si>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</si>
  <si>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</si>
  <si>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</si>
  <si>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</si>
  <si>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</si>
  <si>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</si>
  <si>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</si>
  <si>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</si>
  <si>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</si>
  <si>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</si>
  <si>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</si>
  <si>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</si>
  <si>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</si>
  <si>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</si>
  <si>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</si>
  <si>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</si>
  <si>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</si>
  <si>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</si>
  <si>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</si>
  <si>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</si>
  <si>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</si>
  <si>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</si>
  <si>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</si>
  <si>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</si>
  <si>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</si>
  <si>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</si>
  <si>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</si>
  <si>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</si>
  <si>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</si>
  <si>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</si>
  <si>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</si>
  <si>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</si>
  <si>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</si>
  <si>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</si>
  <si>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</si>
  <si>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</si>
  <si>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</si>
  <si>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</si>
  <si>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</si>
  <si>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</si>
  <si>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</si>
  <si>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</si>
  <si>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</si>
  <si>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</si>
  <si>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</si>
  <si>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</si>
  <si>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</si>
  <si>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</si>
  <si>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</si>
  <si>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</si>
  <si>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</si>
  <si>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</si>
  <si>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</si>
  <si>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</si>
  <si>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</si>
  <si>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</si>
  <si>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</si>
  <si>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</si>
  <si>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</si>
  <si>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</si>
  <si>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</si>
  <si>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</si>
  <si>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</si>
  <si>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</si>
  <si>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</si>
  <si>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</si>
  <si>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</si>
  <si>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</si>
  <si>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</si>
  <si>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</si>
  <si>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</si>
  <si>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</si>
  <si>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</si>
  <si>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</si>
  <si>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</si>
  <si>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</si>
  <si>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</si>
  <si>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</si>
  <si>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</si>
  <si>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</si>
  <si>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</si>
  <si>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</si>
  <si>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</si>
  <si>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</si>
  <si>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</si>
  <si>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</si>
  <si>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</si>
  <si>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</si>
  <si>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</si>
  <si>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</si>
  <si>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</si>
  <si>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</si>
  <si>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</si>
  <si>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</si>
  <si>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</si>
  <si>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</si>
  <si>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</si>
  <si>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</si>
  <si>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</si>
  <si>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</si>
  <si>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</si>
  <si>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23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</si>
  <si>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</si>
  <si>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</si>
  <si>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</si>
  <si>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</si>
  <si>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</si>
  <si>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</si>
  <si>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</si>
  <si>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</si>
  <si>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</si>
  <si>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</si>
  <si>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</si>
  <si>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</si>
  <si>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</si>
  <si>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</si>
  <si>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</si>
  <si>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</si>
  <si>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</si>
  <si>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</si>
  <si>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</si>
  <si>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</si>
  <si>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</si>
  <si>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</si>
  <si>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</si>
  <si>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</si>
  <si>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</si>
  <si>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</si>
  <si>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</si>
  <si>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</si>
  <si>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</si>
  <si>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</si>
  <si>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</si>
  <si>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</si>
  <si>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</si>
  <si>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</si>
  <si>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</si>
  <si>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</si>
  <si>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</si>
  <si>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</si>
  <si>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</si>
  <si>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</si>
  <si>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</si>
  <si>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</si>
  <si>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</si>
  <si>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</si>
  <si>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</si>
  <si>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14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</si>
  <si>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</si>
  <si>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</si>
  <si>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</si>
  <si>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</si>
  <si>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</si>
  <si>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</si>
  <si>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</si>
  <si>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</si>
  <si>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</si>
  <si>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</si>
  <si>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</si>
  <si>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</si>
  <si>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</si>
  <si>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</si>
  <si>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</si>
  <si>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</si>
  <si>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</si>
  <si>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</si>
  <si>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</si>
  <si>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</si>
  <si>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</si>
  <si>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</si>
  <si>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</si>
  <si>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</si>
  <si>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</si>
  <si>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</si>
  <si>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</si>
  <si>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</si>
  <si>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</si>
  <si>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</si>
  <si>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</si>
  <si>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</si>
  <si>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</si>
  <si>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</si>
  <si>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</si>
  <si>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</si>
  <si>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</si>
  <si>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</si>
  <si>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</si>
  <si>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</si>
  <si>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</si>
  <si>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</si>
  <si>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</si>
  <si>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</si>
  <si>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</si>
  <si>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</si>
  <si>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</si>
  <si>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</si>
  <si>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</si>
  <si>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</si>
  <si>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</si>
  <si>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</si>
  <si>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</si>
  <si>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</si>
  <si>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</si>
  <si>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</si>
  <si>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</si>
  <si>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</si>
  <si>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</si>
  <si>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</si>
  <si>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</si>
  <si>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</si>
  <si>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</si>
  <si>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</si>
  <si>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</si>
  <si>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</si>
  <si>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</si>
  <si>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</si>
  <si>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</si>
  <si>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</si>
  <si>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</si>
  <si>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</si>
  <si>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</si>
  <si>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</si>
  <si>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</si>
  <si>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</si>
  <si>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</si>
  <si>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</si>
  <si>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</si>
  <si>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</si>
  <si>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</si>
  <si>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</si>
  <si>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</si>
  <si>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</si>
  <si>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</si>
  <si>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</si>
  <si>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</si>
  <si>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</si>
  <si>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</si>
  <si>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</si>
  <si>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</si>
  <si>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</si>
  <si>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</si>
  <si>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</si>
  <si>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</si>
  <si>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</si>
  <si>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</si>
  <si>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</si>
  <si>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</si>
  <si>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</si>
  <si>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</si>
  <si>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</si>
  <si>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</si>
  <si>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</si>
  <si>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</si>
  <si>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</si>
  <si>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</si>
  <si>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</si>
  <si>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</si>
  <si>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</si>
  <si>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</si>
  <si>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</si>
  <si>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</si>
  <si>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</si>
  <si>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</si>
  <si>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</si>
  <si>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</si>
  <si>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</si>
  <si>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</si>
  <si>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</si>
  <si>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</si>
  <si>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</si>
  <si>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</si>
  <si>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</si>
  <si>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</si>
  <si>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</si>
  <si>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</si>
  <si>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</si>
  <si>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</si>
  <si>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</si>
  <si>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</si>
  <si>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</si>
  <si>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</si>
  <si>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</si>
  <si>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</si>
  <si>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</si>
  <si>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</si>
  <si>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</si>
  <si>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</si>
  <si>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</si>
  <si>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</si>
  <si>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</si>
  <si>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</si>
  <si>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</si>
  <si>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</si>
  <si>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</si>
  <si>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</si>
  <si>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</si>
  <si>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</si>
  <si>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</si>
  <si>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</si>
  <si>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</si>
  <si>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</si>
  <si>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</si>
  <si>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</si>
  <si>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</si>
  <si>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</si>
  <si>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</si>
  <si>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</si>
  <si>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</si>
  <si>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</si>
  <si>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</si>
  <si>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</si>
  <si>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</si>
  <si>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</si>
  <si>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</si>
  <si>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</si>
  <si>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</si>
  <si>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</si>
  <si>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</si>
  <si>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</si>
  <si>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</si>
  <si>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</si>
  <si>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</si>
  <si>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</si>
  <si>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</si>
  <si>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</si>
  <si>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2836</t>
  </si>
  <si>
    <t>グローバルＸ　フィンテック－日本株式　ＥＴＦ　受益証券</t>
  </si>
  <si>
    <t>Global X Japan Fintech ETF</t>
  </si>
  <si>
    <t xml:space="preserve">新規上場  </t>
  </si>
  <si>
    <t xml:space="preserve">New Listing  </t>
  </si>
  <si>
    <t xml:space="preserve">2021/12/08  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</si>
  <si>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</si>
  <si>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</si>
  <si>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</si>
  <si>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</si>
  <si>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</si>
  <si>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</si>
  <si>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 xml:space="preserve">2021/12/10  </t>
  </si>
  <si>
    <t>2839</t>
  </si>
  <si>
    <t>ＭＡＸＩＳ米国国債７－１０年上場投信（為替ヘッジあり）　受益証券</t>
  </si>
  <si>
    <t>MAXIS US Treasury Bond 7-10 Year ETF (JPY Hedged)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</si>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</sst>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5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2027</f>
        <v>2027.0</v>
      </c>
      <c r="L7" s="34" t="s">
        <v>48</v>
      </c>
      <c r="M7" s="33" t="n">
        <f>2119</f>
        <v>2119.0</v>
      </c>
      <c r="N7" s="34" t="s">
        <v>49</v>
      </c>
      <c r="O7" s="33" t="n">
        <f>2015</f>
        <v>2015.0</v>
      </c>
      <c r="P7" s="34" t="s">
        <v>48</v>
      </c>
      <c r="Q7" s="33" t="n">
        <f>2097</f>
        <v>2097.0</v>
      </c>
      <c r="R7" s="34" t="s">
        <v>50</v>
      </c>
      <c r="S7" s="35" t="n">
        <f>2079.32</f>
        <v>2079.32</v>
      </c>
      <c r="T7" s="32" t="n">
        <f>4059250</f>
        <v>4059250.0</v>
      </c>
      <c r="U7" s="32" t="n">
        <f>819490</f>
        <v>819490.0</v>
      </c>
      <c r="V7" s="32" t="n">
        <f>8421703960</f>
        <v>8.42170396E9</v>
      </c>
      <c r="W7" s="32" t="n">
        <f>1703033785</f>
        <v>1.703033785E9</v>
      </c>
      <c r="X7" s="36" t="n">
        <f>22</f>
        <v>22.0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2003.5</f>
        <v>2003.5</v>
      </c>
      <c r="L8" s="34" t="s">
        <v>48</v>
      </c>
      <c r="M8" s="33" t="n">
        <f>2096.5</f>
        <v>2096.5</v>
      </c>
      <c r="N8" s="34" t="s">
        <v>49</v>
      </c>
      <c r="O8" s="33" t="n">
        <f>1990</f>
        <v>1990.0</v>
      </c>
      <c r="P8" s="34" t="s">
        <v>48</v>
      </c>
      <c r="Q8" s="33" t="n">
        <f>2073.5</f>
        <v>2073.5</v>
      </c>
      <c r="R8" s="34" t="s">
        <v>50</v>
      </c>
      <c r="S8" s="35" t="n">
        <f>2056.14</f>
        <v>2056.14</v>
      </c>
      <c r="T8" s="32" t="n">
        <f>43501900</f>
        <v>4.35019E7</v>
      </c>
      <c r="U8" s="32" t="n">
        <f>4724080</f>
        <v>4724080.0</v>
      </c>
      <c r="V8" s="32" t="n">
        <f>89259108980</f>
        <v>8.925910898E10</v>
      </c>
      <c r="W8" s="32" t="n">
        <f>9731067210</f>
        <v>9.73106721E9</v>
      </c>
      <c r="X8" s="36" t="n">
        <f>22</f>
        <v>22.0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1982.5</f>
        <v>1982.5</v>
      </c>
      <c r="L9" s="34" t="s">
        <v>48</v>
      </c>
      <c r="M9" s="33" t="n">
        <f>2073</f>
        <v>2073.0</v>
      </c>
      <c r="N9" s="34" t="s">
        <v>49</v>
      </c>
      <c r="O9" s="33" t="n">
        <f>1969.5</f>
        <v>1969.5</v>
      </c>
      <c r="P9" s="34" t="s">
        <v>48</v>
      </c>
      <c r="Q9" s="33" t="n">
        <f>2053</f>
        <v>2053.0</v>
      </c>
      <c r="R9" s="34" t="s">
        <v>50</v>
      </c>
      <c r="S9" s="35" t="n">
        <f>2034.2</f>
        <v>2034.2</v>
      </c>
      <c r="T9" s="32" t="n">
        <f>5278300</f>
        <v>5278300.0</v>
      </c>
      <c r="U9" s="32" t="n">
        <f>908600</f>
        <v>908600.0</v>
      </c>
      <c r="V9" s="32" t="n">
        <f>10732117085</f>
        <v>1.0732117085E10</v>
      </c>
      <c r="W9" s="32" t="n">
        <f>1860803135</f>
        <v>1.860803135E9</v>
      </c>
      <c r="X9" s="36" t="n">
        <f>22</f>
        <v>22.0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41900</f>
        <v>41900.0</v>
      </c>
      <c r="L10" s="34" t="s">
        <v>48</v>
      </c>
      <c r="M10" s="33" t="n">
        <f>46350</f>
        <v>46350.0</v>
      </c>
      <c r="N10" s="34" t="s">
        <v>60</v>
      </c>
      <c r="O10" s="33" t="n">
        <f>41870</f>
        <v>41870.0</v>
      </c>
      <c r="P10" s="34" t="s">
        <v>48</v>
      </c>
      <c r="Q10" s="33" t="n">
        <f>44280</f>
        <v>44280.0</v>
      </c>
      <c r="R10" s="34" t="s">
        <v>50</v>
      </c>
      <c r="S10" s="35" t="n">
        <f>44222.27</f>
        <v>44222.27</v>
      </c>
      <c r="T10" s="32" t="n">
        <f>9219</f>
        <v>9219.0</v>
      </c>
      <c r="U10" s="32" t="str">
        <f>"－"</f>
        <v>－</v>
      </c>
      <c r="V10" s="32" t="n">
        <f>408725400</f>
        <v>4.087254E8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927.1</f>
        <v>927.1</v>
      </c>
      <c r="L11" s="34" t="s">
        <v>48</v>
      </c>
      <c r="M11" s="33" t="n">
        <f>1046.5</f>
        <v>1046.5</v>
      </c>
      <c r="N11" s="34" t="s">
        <v>50</v>
      </c>
      <c r="O11" s="33" t="n">
        <f>927.1</f>
        <v>927.1</v>
      </c>
      <c r="P11" s="34" t="s">
        <v>48</v>
      </c>
      <c r="Q11" s="33" t="n">
        <f>1025</f>
        <v>1025.0</v>
      </c>
      <c r="R11" s="34" t="s">
        <v>50</v>
      </c>
      <c r="S11" s="35" t="n">
        <f>973.35</f>
        <v>973.35</v>
      </c>
      <c r="T11" s="32" t="n">
        <f>124150</f>
        <v>124150.0</v>
      </c>
      <c r="U11" s="32" t="n">
        <f>30</f>
        <v>30.0</v>
      </c>
      <c r="V11" s="32" t="n">
        <f>123366190</f>
        <v>1.2336619E8</v>
      </c>
      <c r="W11" s="32" t="n">
        <f>28629</f>
        <v>28629.0</v>
      </c>
      <c r="X11" s="36" t="n">
        <f>22</f>
        <v>22.0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19620</f>
        <v>19620.0</v>
      </c>
      <c r="L12" s="34" t="s">
        <v>48</v>
      </c>
      <c r="M12" s="33" t="n">
        <f>20955</f>
        <v>20955.0</v>
      </c>
      <c r="N12" s="34" t="s">
        <v>49</v>
      </c>
      <c r="O12" s="33" t="n">
        <f>19565</f>
        <v>19565.0</v>
      </c>
      <c r="P12" s="34" t="s">
        <v>67</v>
      </c>
      <c r="Q12" s="33" t="n">
        <f>20510</f>
        <v>20510.0</v>
      </c>
      <c r="R12" s="34" t="s">
        <v>50</v>
      </c>
      <c r="S12" s="35" t="n">
        <f>20384.09</f>
        <v>20384.09</v>
      </c>
      <c r="T12" s="32" t="n">
        <f>562</f>
        <v>562.0</v>
      </c>
      <c r="U12" s="32" t="n">
        <f>2</f>
        <v>2.0</v>
      </c>
      <c r="V12" s="32" t="n">
        <f>11483090</f>
        <v>1.148309E7</v>
      </c>
      <c r="W12" s="32" t="n">
        <f>41390</f>
        <v>41390.0</v>
      </c>
      <c r="X12" s="36" t="n">
        <f>22</f>
        <v>22.0</v>
      </c>
    </row>
    <row r="13">
      <c r="A13" s="27" t="s">
        <v>42</v>
      </c>
      <c r="B13" s="27" t="s">
        <v>68</v>
      </c>
      <c r="C13" s="27" t="s">
        <v>69</v>
      </c>
      <c r="D13" s="27" t="s">
        <v>70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3810</f>
        <v>3810.0</v>
      </c>
      <c r="L13" s="34" t="s">
        <v>48</v>
      </c>
      <c r="M13" s="33" t="n">
        <f>4120</f>
        <v>4120.0</v>
      </c>
      <c r="N13" s="34" t="s">
        <v>71</v>
      </c>
      <c r="O13" s="33" t="n">
        <f>3710</f>
        <v>3710.0</v>
      </c>
      <c r="P13" s="34" t="s">
        <v>71</v>
      </c>
      <c r="Q13" s="33" t="n">
        <f>3999</f>
        <v>3999.0</v>
      </c>
      <c r="R13" s="34" t="s">
        <v>50</v>
      </c>
      <c r="S13" s="35" t="n">
        <f>3891.4</f>
        <v>3891.4</v>
      </c>
      <c r="T13" s="32" t="n">
        <f>1330</f>
        <v>1330.0</v>
      </c>
      <c r="U13" s="32" t="str">
        <f>"－"</f>
        <v>－</v>
      </c>
      <c r="V13" s="32" t="n">
        <f>5173670</f>
        <v>5173670.0</v>
      </c>
      <c r="W13" s="32" t="str">
        <f>"－"</f>
        <v>－</v>
      </c>
      <c r="X13" s="36" t="n">
        <f>15</f>
        <v>15.0</v>
      </c>
    </row>
    <row r="14">
      <c r="A14" s="27" t="s">
        <v>42</v>
      </c>
      <c r="B14" s="27" t="s">
        <v>72</v>
      </c>
      <c r="C14" s="27" t="s">
        <v>73</v>
      </c>
      <c r="D14" s="27" t="s">
        <v>74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364.8</f>
        <v>364.8</v>
      </c>
      <c r="L14" s="34" t="s">
        <v>48</v>
      </c>
      <c r="M14" s="33" t="n">
        <f>378.9</f>
        <v>378.9</v>
      </c>
      <c r="N14" s="34" t="s">
        <v>75</v>
      </c>
      <c r="O14" s="33" t="n">
        <f>352.5</f>
        <v>352.5</v>
      </c>
      <c r="P14" s="34" t="s">
        <v>76</v>
      </c>
      <c r="Q14" s="33" t="n">
        <f>365.6</f>
        <v>365.6</v>
      </c>
      <c r="R14" s="34" t="s">
        <v>50</v>
      </c>
      <c r="S14" s="35" t="n">
        <f>365.81</f>
        <v>365.81</v>
      </c>
      <c r="T14" s="32" t="n">
        <f>119000</f>
        <v>119000.0</v>
      </c>
      <c r="U14" s="32" t="n">
        <f>3000</f>
        <v>3000.0</v>
      </c>
      <c r="V14" s="32" t="n">
        <f>43255500</f>
        <v>4.32555E7</v>
      </c>
      <c r="W14" s="32" t="n">
        <f>1100100</f>
        <v>1100100.0</v>
      </c>
      <c r="X14" s="36" t="n">
        <f>22</f>
        <v>22.0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28700</f>
        <v>28700.0</v>
      </c>
      <c r="L15" s="34" t="s">
        <v>48</v>
      </c>
      <c r="M15" s="33" t="n">
        <f>29990</f>
        <v>29990.0</v>
      </c>
      <c r="N15" s="34" t="s">
        <v>80</v>
      </c>
      <c r="O15" s="33" t="n">
        <f>28395</f>
        <v>28395.0</v>
      </c>
      <c r="P15" s="34" t="s">
        <v>81</v>
      </c>
      <c r="Q15" s="33" t="n">
        <f>29725</f>
        <v>29725.0</v>
      </c>
      <c r="R15" s="34" t="s">
        <v>50</v>
      </c>
      <c r="S15" s="35" t="n">
        <f>29366.59</f>
        <v>29366.59</v>
      </c>
      <c r="T15" s="32" t="n">
        <f>1028833</f>
        <v>1028833.0</v>
      </c>
      <c r="U15" s="32" t="n">
        <f>25724</f>
        <v>25724.0</v>
      </c>
      <c r="V15" s="32" t="n">
        <f>30112861230</f>
        <v>3.011286123E10</v>
      </c>
      <c r="W15" s="32" t="n">
        <f>755690105</f>
        <v>7.55690105E8</v>
      </c>
      <c r="X15" s="36" t="n">
        <f>22</f>
        <v>22.0</v>
      </c>
    </row>
    <row r="16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28800</f>
        <v>28800.0</v>
      </c>
      <c r="L16" s="34" t="s">
        <v>48</v>
      </c>
      <c r="M16" s="33" t="n">
        <f>30040</f>
        <v>30040.0</v>
      </c>
      <c r="N16" s="34" t="s">
        <v>80</v>
      </c>
      <c r="O16" s="33" t="n">
        <f>28455</f>
        <v>28455.0</v>
      </c>
      <c r="P16" s="34" t="s">
        <v>81</v>
      </c>
      <c r="Q16" s="33" t="n">
        <f>29770</f>
        <v>29770.0</v>
      </c>
      <c r="R16" s="34" t="s">
        <v>50</v>
      </c>
      <c r="S16" s="35" t="n">
        <f>29422.95</f>
        <v>29422.95</v>
      </c>
      <c r="T16" s="32" t="n">
        <f>4328073</f>
        <v>4328073.0</v>
      </c>
      <c r="U16" s="32" t="n">
        <f>598164</f>
        <v>598164.0</v>
      </c>
      <c r="V16" s="32" t="n">
        <f>127038502339</f>
        <v>1.27038502339E11</v>
      </c>
      <c r="W16" s="32" t="n">
        <f>17693607429</f>
        <v>1.7693607429E10</v>
      </c>
      <c r="X16" s="36" t="n">
        <f>22</f>
        <v>22.0</v>
      </c>
    </row>
    <row r="17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8200</f>
        <v>8200.0</v>
      </c>
      <c r="L17" s="34" t="s">
        <v>48</v>
      </c>
      <c r="M17" s="33" t="n">
        <f>8680</f>
        <v>8680.0</v>
      </c>
      <c r="N17" s="34" t="s">
        <v>60</v>
      </c>
      <c r="O17" s="33" t="n">
        <f>8095</f>
        <v>8095.0</v>
      </c>
      <c r="P17" s="34" t="s">
        <v>88</v>
      </c>
      <c r="Q17" s="33" t="n">
        <f>8350</f>
        <v>8350.0</v>
      </c>
      <c r="R17" s="34" t="s">
        <v>50</v>
      </c>
      <c r="S17" s="35" t="n">
        <f>8429.5</f>
        <v>8429.5</v>
      </c>
      <c r="T17" s="32" t="n">
        <f>7290</f>
        <v>7290.0</v>
      </c>
      <c r="U17" s="32" t="n">
        <f>10</f>
        <v>10.0</v>
      </c>
      <c r="V17" s="32" t="n">
        <f>61546850</f>
        <v>6.154685E7</v>
      </c>
      <c r="W17" s="32" t="n">
        <f>84000</f>
        <v>84000.0</v>
      </c>
      <c r="X17" s="36" t="n">
        <f>22</f>
        <v>22.0</v>
      </c>
    </row>
    <row r="18">
      <c r="A18" s="27" t="s">
        <v>42</v>
      </c>
      <c r="B18" s="27" t="s">
        <v>89</v>
      </c>
      <c r="C18" s="27" t="s">
        <v>90</v>
      </c>
      <c r="D18" s="27" t="s">
        <v>91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458.1</f>
        <v>458.1</v>
      </c>
      <c r="L18" s="34" t="s">
        <v>48</v>
      </c>
      <c r="M18" s="33" t="n">
        <f>482.3</f>
        <v>482.3</v>
      </c>
      <c r="N18" s="34" t="s">
        <v>92</v>
      </c>
      <c r="O18" s="33" t="n">
        <f>443.3</f>
        <v>443.3</v>
      </c>
      <c r="P18" s="34" t="s">
        <v>93</v>
      </c>
      <c r="Q18" s="33" t="n">
        <f>473</f>
        <v>473.0</v>
      </c>
      <c r="R18" s="34" t="s">
        <v>50</v>
      </c>
      <c r="S18" s="35" t="n">
        <f>470.13</f>
        <v>470.13</v>
      </c>
      <c r="T18" s="32" t="n">
        <f>69400</f>
        <v>69400.0</v>
      </c>
      <c r="U18" s="32" t="str">
        <f>"－"</f>
        <v>－</v>
      </c>
      <c r="V18" s="32" t="n">
        <f>32409350</f>
        <v>3.240935E7</v>
      </c>
      <c r="W18" s="32" t="str">
        <f>"－"</f>
        <v>－</v>
      </c>
      <c r="X18" s="36" t="n">
        <f>22</f>
        <v>22.0</v>
      </c>
    </row>
    <row r="19">
      <c r="A19" s="27" t="s">
        <v>42</v>
      </c>
      <c r="B19" s="27" t="s">
        <v>94</v>
      </c>
      <c r="C19" s="27" t="s">
        <v>95</v>
      </c>
      <c r="D19" s="27" t="s">
        <v>96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160.4</f>
        <v>160.4</v>
      </c>
      <c r="L19" s="34" t="s">
        <v>48</v>
      </c>
      <c r="M19" s="33" t="n">
        <f>171.7</f>
        <v>171.7</v>
      </c>
      <c r="N19" s="34" t="s">
        <v>48</v>
      </c>
      <c r="O19" s="33" t="n">
        <f>151</f>
        <v>151.0</v>
      </c>
      <c r="P19" s="34" t="s">
        <v>97</v>
      </c>
      <c r="Q19" s="33" t="n">
        <f>158.9</f>
        <v>158.9</v>
      </c>
      <c r="R19" s="34" t="s">
        <v>50</v>
      </c>
      <c r="S19" s="35" t="n">
        <f>160.12</f>
        <v>160.12</v>
      </c>
      <c r="T19" s="32" t="n">
        <f>535100</f>
        <v>535100.0</v>
      </c>
      <c r="U19" s="32" t="str">
        <f>"－"</f>
        <v>－</v>
      </c>
      <c r="V19" s="32" t="n">
        <f>85154800</f>
        <v>8.51548E7</v>
      </c>
      <c r="W19" s="32" t="str">
        <f>"－"</f>
        <v>－</v>
      </c>
      <c r="X19" s="36" t="n">
        <f>22</f>
        <v>22.0</v>
      </c>
    </row>
    <row r="20">
      <c r="A20" s="27" t="s">
        <v>42</v>
      </c>
      <c r="B20" s="27" t="s">
        <v>98</v>
      </c>
      <c r="C20" s="27" t="s">
        <v>99</v>
      </c>
      <c r="D20" s="27" t="s">
        <v>100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163</f>
        <v>163.0</v>
      </c>
      <c r="L20" s="34" t="s">
        <v>48</v>
      </c>
      <c r="M20" s="33" t="n">
        <f>169.4</f>
        <v>169.4</v>
      </c>
      <c r="N20" s="34" t="s">
        <v>92</v>
      </c>
      <c r="O20" s="33" t="n">
        <f>154</f>
        <v>154.0</v>
      </c>
      <c r="P20" s="34" t="s">
        <v>101</v>
      </c>
      <c r="Q20" s="33" t="n">
        <f>157.5</f>
        <v>157.5</v>
      </c>
      <c r="R20" s="34" t="s">
        <v>50</v>
      </c>
      <c r="S20" s="35" t="n">
        <f>161.03</f>
        <v>161.03</v>
      </c>
      <c r="T20" s="32" t="n">
        <f>675200</f>
        <v>675200.0</v>
      </c>
      <c r="U20" s="32" t="n">
        <f>13700</f>
        <v>13700.0</v>
      </c>
      <c r="V20" s="32" t="n">
        <f>106707570</f>
        <v>1.0670757E8</v>
      </c>
      <c r="W20" s="32" t="n">
        <f>1965950</f>
        <v>1965950.0</v>
      </c>
      <c r="X20" s="36" t="n">
        <f>22</f>
        <v>22.0</v>
      </c>
    </row>
    <row r="21">
      <c r="A21" s="27" t="s">
        <v>42</v>
      </c>
      <c r="B21" s="27" t="s">
        <v>102</v>
      </c>
      <c r="C21" s="27" t="s">
        <v>103</v>
      </c>
      <c r="D21" s="27" t="s">
        <v>104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18775</f>
        <v>18775.0</v>
      </c>
      <c r="L21" s="34" t="s">
        <v>48</v>
      </c>
      <c r="M21" s="33" t="n">
        <f>19465</f>
        <v>19465.0</v>
      </c>
      <c r="N21" s="34" t="s">
        <v>105</v>
      </c>
      <c r="O21" s="33" t="n">
        <f>18675</f>
        <v>18675.0</v>
      </c>
      <c r="P21" s="34" t="s">
        <v>81</v>
      </c>
      <c r="Q21" s="33" t="n">
        <f>19330</f>
        <v>19330.0</v>
      </c>
      <c r="R21" s="34" t="s">
        <v>50</v>
      </c>
      <c r="S21" s="35" t="n">
        <f>19060.68</f>
        <v>19060.68</v>
      </c>
      <c r="T21" s="32" t="n">
        <f>201733</f>
        <v>201733.0</v>
      </c>
      <c r="U21" s="32" t="str">
        <f>"－"</f>
        <v>－</v>
      </c>
      <c r="V21" s="32" t="n">
        <f>3825449980</f>
        <v>3.82544998E9</v>
      </c>
      <c r="W21" s="32" t="str">
        <f>"－"</f>
        <v>－</v>
      </c>
      <c r="X21" s="36" t="n">
        <f>22</f>
        <v>22.0</v>
      </c>
    </row>
    <row r="22">
      <c r="A22" s="27" t="s">
        <v>42</v>
      </c>
      <c r="B22" s="27" t="s">
        <v>106</v>
      </c>
      <c r="C22" s="27" t="s">
        <v>107</v>
      </c>
      <c r="D22" s="27" t="s">
        <v>108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5082</f>
        <v>5082.0</v>
      </c>
      <c r="L22" s="34" t="s">
        <v>48</v>
      </c>
      <c r="M22" s="33" t="n">
        <f>5254</f>
        <v>5254.0</v>
      </c>
      <c r="N22" s="34" t="s">
        <v>105</v>
      </c>
      <c r="O22" s="33" t="n">
        <f>5052</f>
        <v>5052.0</v>
      </c>
      <c r="P22" s="34" t="s">
        <v>81</v>
      </c>
      <c r="Q22" s="33" t="n">
        <f>5226</f>
        <v>5226.0</v>
      </c>
      <c r="R22" s="34" t="s">
        <v>50</v>
      </c>
      <c r="S22" s="35" t="n">
        <f>5152.5</f>
        <v>5152.5</v>
      </c>
      <c r="T22" s="32" t="n">
        <f>373520</f>
        <v>373520.0</v>
      </c>
      <c r="U22" s="32" t="n">
        <f>10</f>
        <v>10.0</v>
      </c>
      <c r="V22" s="32" t="n">
        <f>1911370670</f>
        <v>1.91137067E9</v>
      </c>
      <c r="W22" s="32" t="n">
        <f>50790</f>
        <v>50790.0</v>
      </c>
      <c r="X22" s="36" t="n">
        <f>22</f>
        <v>22.0</v>
      </c>
    </row>
    <row r="23">
      <c r="A23" s="27" t="s">
        <v>42</v>
      </c>
      <c r="B23" s="27" t="s">
        <v>109</v>
      </c>
      <c r="C23" s="27" t="s">
        <v>110</v>
      </c>
      <c r="D23" s="27" t="s">
        <v>111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28855</f>
        <v>28855.0</v>
      </c>
      <c r="L23" s="34" t="s">
        <v>48</v>
      </c>
      <c r="M23" s="33" t="n">
        <f>30200</f>
        <v>30200.0</v>
      </c>
      <c r="N23" s="34" t="s">
        <v>80</v>
      </c>
      <c r="O23" s="33" t="n">
        <f>28585</f>
        <v>28585.0</v>
      </c>
      <c r="P23" s="34" t="s">
        <v>81</v>
      </c>
      <c r="Q23" s="33" t="n">
        <f>29910</f>
        <v>29910.0</v>
      </c>
      <c r="R23" s="34" t="s">
        <v>50</v>
      </c>
      <c r="S23" s="35" t="n">
        <f>29557.27</f>
        <v>29557.27</v>
      </c>
      <c r="T23" s="32" t="n">
        <f>1854598</f>
        <v>1854598.0</v>
      </c>
      <c r="U23" s="32" t="n">
        <f>1283688</f>
        <v>1283688.0</v>
      </c>
      <c r="V23" s="32" t="n">
        <f>54581379282</f>
        <v>5.4581379282E10</v>
      </c>
      <c r="W23" s="32" t="n">
        <f>37809194282</f>
        <v>3.7809194282E10</v>
      </c>
      <c r="X23" s="36" t="n">
        <f>22</f>
        <v>22.0</v>
      </c>
    </row>
    <row r="24">
      <c r="A24" s="27" t="s">
        <v>42</v>
      </c>
      <c r="B24" s="27" t="s">
        <v>112</v>
      </c>
      <c r="C24" s="27" t="s">
        <v>113</v>
      </c>
      <c r="D24" s="27" t="s">
        <v>114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28800</f>
        <v>28800.0</v>
      </c>
      <c r="L24" s="34" t="s">
        <v>48</v>
      </c>
      <c r="M24" s="33" t="n">
        <f>30090</f>
        <v>30090.0</v>
      </c>
      <c r="N24" s="34" t="s">
        <v>80</v>
      </c>
      <c r="O24" s="33" t="n">
        <f>28500</f>
        <v>28500.0</v>
      </c>
      <c r="P24" s="34" t="s">
        <v>81</v>
      </c>
      <c r="Q24" s="33" t="n">
        <f>29775</f>
        <v>29775.0</v>
      </c>
      <c r="R24" s="34" t="s">
        <v>50</v>
      </c>
      <c r="S24" s="35" t="n">
        <f>29460</f>
        <v>29460.0</v>
      </c>
      <c r="T24" s="32" t="n">
        <f>900360</f>
        <v>900360.0</v>
      </c>
      <c r="U24" s="32" t="n">
        <f>59420</f>
        <v>59420.0</v>
      </c>
      <c r="V24" s="32" t="n">
        <f>26499527160</f>
        <v>2.649952716E10</v>
      </c>
      <c r="W24" s="32" t="n">
        <f>1742229010</f>
        <v>1.74222901E9</v>
      </c>
      <c r="X24" s="36" t="n">
        <f>22</f>
        <v>22.0</v>
      </c>
    </row>
    <row r="25">
      <c r="A25" s="27" t="s">
        <v>42</v>
      </c>
      <c r="B25" s="27" t="s">
        <v>115</v>
      </c>
      <c r="C25" s="27" t="s">
        <v>116</v>
      </c>
      <c r="D25" s="27" t="s">
        <v>117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2160</f>
        <v>2160.0</v>
      </c>
      <c r="L25" s="34" t="s">
        <v>48</v>
      </c>
      <c r="M25" s="33" t="n">
        <f>2229.5</f>
        <v>2229.5</v>
      </c>
      <c r="N25" s="34" t="s">
        <v>50</v>
      </c>
      <c r="O25" s="33" t="n">
        <f>2146.5</f>
        <v>2146.5</v>
      </c>
      <c r="P25" s="34" t="s">
        <v>67</v>
      </c>
      <c r="Q25" s="33" t="n">
        <f>2223.5</f>
        <v>2223.5</v>
      </c>
      <c r="R25" s="34" t="s">
        <v>50</v>
      </c>
      <c r="S25" s="35" t="n">
        <f>2188.68</f>
        <v>2188.68</v>
      </c>
      <c r="T25" s="32" t="n">
        <f>7554390</f>
        <v>7554390.0</v>
      </c>
      <c r="U25" s="32" t="n">
        <f>521230</f>
        <v>521230.0</v>
      </c>
      <c r="V25" s="32" t="n">
        <f>16501437240</f>
        <v>1.650143724E10</v>
      </c>
      <c r="W25" s="32" t="n">
        <f>1138091070</f>
        <v>1.13809107E9</v>
      </c>
      <c r="X25" s="36" t="n">
        <f>22</f>
        <v>22.0</v>
      </c>
    </row>
    <row r="26">
      <c r="A26" s="27" t="s">
        <v>42</v>
      </c>
      <c r="B26" s="27" t="s">
        <v>118</v>
      </c>
      <c r="C26" s="27" t="s">
        <v>119</v>
      </c>
      <c r="D26" s="27" t="s">
        <v>120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100.0</v>
      </c>
      <c r="K26" s="33" t="n">
        <f>2049</f>
        <v>2049.0</v>
      </c>
      <c r="L26" s="34" t="s">
        <v>48</v>
      </c>
      <c r="M26" s="33" t="n">
        <f>2105.5</f>
        <v>2105.5</v>
      </c>
      <c r="N26" s="34" t="s">
        <v>50</v>
      </c>
      <c r="O26" s="33" t="n">
        <f>2030</f>
        <v>2030.0</v>
      </c>
      <c r="P26" s="34" t="s">
        <v>67</v>
      </c>
      <c r="Q26" s="33" t="n">
        <f>2096.5</f>
        <v>2096.5</v>
      </c>
      <c r="R26" s="34" t="s">
        <v>50</v>
      </c>
      <c r="S26" s="35" t="n">
        <f>2067.23</f>
        <v>2067.23</v>
      </c>
      <c r="T26" s="32" t="n">
        <f>1904600</f>
        <v>1904600.0</v>
      </c>
      <c r="U26" s="32" t="n">
        <f>368200</f>
        <v>368200.0</v>
      </c>
      <c r="V26" s="32" t="n">
        <f>3936863867</f>
        <v>3.936863867E9</v>
      </c>
      <c r="W26" s="32" t="n">
        <f>760450117</f>
        <v>7.60450117E8</v>
      </c>
      <c r="X26" s="36" t="n">
        <f>22</f>
        <v>22.0</v>
      </c>
    </row>
    <row r="27">
      <c r="A27" s="27" t="s">
        <v>42</v>
      </c>
      <c r="B27" s="27" t="s">
        <v>121</v>
      </c>
      <c r="C27" s="27" t="s">
        <v>122</v>
      </c>
      <c r="D27" s="27" t="s">
        <v>123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28895</f>
        <v>28895.0</v>
      </c>
      <c r="L27" s="34" t="s">
        <v>48</v>
      </c>
      <c r="M27" s="33" t="n">
        <f>30190</f>
        <v>30190.0</v>
      </c>
      <c r="N27" s="34" t="s">
        <v>80</v>
      </c>
      <c r="O27" s="33" t="n">
        <f>28595</f>
        <v>28595.0</v>
      </c>
      <c r="P27" s="34" t="s">
        <v>81</v>
      </c>
      <c r="Q27" s="33" t="n">
        <f>29910</f>
        <v>29910.0</v>
      </c>
      <c r="R27" s="34" t="s">
        <v>50</v>
      </c>
      <c r="S27" s="35" t="n">
        <f>29567.95</f>
        <v>29567.95</v>
      </c>
      <c r="T27" s="32" t="n">
        <f>535744</f>
        <v>535744.0</v>
      </c>
      <c r="U27" s="32" t="n">
        <f>12775</f>
        <v>12775.0</v>
      </c>
      <c r="V27" s="32" t="n">
        <f>15750898645</f>
        <v>1.5750898645E10</v>
      </c>
      <c r="W27" s="32" t="n">
        <f>379681455</f>
        <v>3.79681455E8</v>
      </c>
      <c r="X27" s="36" t="n">
        <f>22</f>
        <v>22.0</v>
      </c>
    </row>
    <row r="28">
      <c r="A28" s="27" t="s">
        <v>42</v>
      </c>
      <c r="B28" s="27" t="s">
        <v>124</v>
      </c>
      <c r="C28" s="27" t="s">
        <v>125</v>
      </c>
      <c r="D28" s="27" t="s">
        <v>126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2011</f>
        <v>2011.0</v>
      </c>
      <c r="L28" s="34" t="s">
        <v>48</v>
      </c>
      <c r="M28" s="33" t="n">
        <f>2096.5</f>
        <v>2096.5</v>
      </c>
      <c r="N28" s="34" t="s">
        <v>49</v>
      </c>
      <c r="O28" s="33" t="n">
        <f>1991</f>
        <v>1991.0</v>
      </c>
      <c r="P28" s="34" t="s">
        <v>48</v>
      </c>
      <c r="Q28" s="33" t="n">
        <f>2073.5</f>
        <v>2073.5</v>
      </c>
      <c r="R28" s="34" t="s">
        <v>50</v>
      </c>
      <c r="S28" s="35" t="n">
        <f>2058.39</f>
        <v>2058.39</v>
      </c>
      <c r="T28" s="32" t="n">
        <f>3299170</f>
        <v>3299170.0</v>
      </c>
      <c r="U28" s="32" t="n">
        <f>358450</f>
        <v>358450.0</v>
      </c>
      <c r="V28" s="32" t="n">
        <f>6784557645</f>
        <v>6.784557645E9</v>
      </c>
      <c r="W28" s="32" t="n">
        <f>736855925</f>
        <v>7.36855925E8</v>
      </c>
      <c r="X28" s="36" t="n">
        <f>22</f>
        <v>22.0</v>
      </c>
    </row>
    <row r="29">
      <c r="A29" s="27" t="s">
        <v>42</v>
      </c>
      <c r="B29" s="27" t="s">
        <v>127</v>
      </c>
      <c r="C29" s="27" t="s">
        <v>128</v>
      </c>
      <c r="D29" s="27" t="s">
        <v>129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13575</f>
        <v>13575.0</v>
      </c>
      <c r="L29" s="34" t="s">
        <v>48</v>
      </c>
      <c r="M29" s="33" t="n">
        <f>13800</f>
        <v>13800.0</v>
      </c>
      <c r="N29" s="34" t="s">
        <v>80</v>
      </c>
      <c r="O29" s="33" t="n">
        <f>13440</f>
        <v>13440.0</v>
      </c>
      <c r="P29" s="34" t="s">
        <v>130</v>
      </c>
      <c r="Q29" s="33" t="n">
        <f>13795</f>
        <v>13795.0</v>
      </c>
      <c r="R29" s="34" t="s">
        <v>50</v>
      </c>
      <c r="S29" s="35" t="n">
        <f>13625.68</f>
        <v>13625.68</v>
      </c>
      <c r="T29" s="32" t="n">
        <f>984</f>
        <v>984.0</v>
      </c>
      <c r="U29" s="32" t="str">
        <f>"－"</f>
        <v>－</v>
      </c>
      <c r="V29" s="32" t="n">
        <f>13337725</f>
        <v>1.3337725E7</v>
      </c>
      <c r="W29" s="32" t="str">
        <f>"－"</f>
        <v>－</v>
      </c>
      <c r="X29" s="36" t="n">
        <f>22</f>
        <v>22.0</v>
      </c>
    </row>
    <row r="30">
      <c r="A30" s="27" t="s">
        <v>42</v>
      </c>
      <c r="B30" s="27" t="s">
        <v>131</v>
      </c>
      <c r="C30" s="27" t="s">
        <v>132</v>
      </c>
      <c r="D30" s="27" t="s">
        <v>133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1106</f>
        <v>1106.0</v>
      </c>
      <c r="L30" s="34" t="s">
        <v>48</v>
      </c>
      <c r="M30" s="33" t="n">
        <f>1123</f>
        <v>1123.0</v>
      </c>
      <c r="N30" s="34" t="s">
        <v>48</v>
      </c>
      <c r="O30" s="33" t="n">
        <f>1004</f>
        <v>1004.0</v>
      </c>
      <c r="P30" s="34" t="s">
        <v>49</v>
      </c>
      <c r="Q30" s="33" t="n">
        <f>1022.5</f>
        <v>1022.5</v>
      </c>
      <c r="R30" s="34" t="s">
        <v>50</v>
      </c>
      <c r="S30" s="35" t="n">
        <f>1043.59</f>
        <v>1043.59</v>
      </c>
      <c r="T30" s="32" t="n">
        <f>8471770</f>
        <v>8471770.0</v>
      </c>
      <c r="U30" s="32" t="n">
        <f>840</f>
        <v>840.0</v>
      </c>
      <c r="V30" s="32" t="n">
        <f>8897199810</f>
        <v>8.89719981E9</v>
      </c>
      <c r="W30" s="32" t="n">
        <f>873885</f>
        <v>873885.0</v>
      </c>
      <c r="X30" s="36" t="n">
        <f>22</f>
        <v>22.0</v>
      </c>
    </row>
    <row r="31">
      <c r="A31" s="27" t="s">
        <v>42</v>
      </c>
      <c r="B31" s="27" t="s">
        <v>134</v>
      </c>
      <c r="C31" s="27" t="s">
        <v>135</v>
      </c>
      <c r="D31" s="27" t="s">
        <v>136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418</f>
        <v>418.0</v>
      </c>
      <c r="L31" s="34" t="s">
        <v>48</v>
      </c>
      <c r="M31" s="33" t="n">
        <f>427</f>
        <v>427.0</v>
      </c>
      <c r="N31" s="34" t="s">
        <v>48</v>
      </c>
      <c r="O31" s="33" t="n">
        <f>377</f>
        <v>377.0</v>
      </c>
      <c r="P31" s="34" t="s">
        <v>105</v>
      </c>
      <c r="Q31" s="33" t="n">
        <f>385</f>
        <v>385.0</v>
      </c>
      <c r="R31" s="34" t="s">
        <v>50</v>
      </c>
      <c r="S31" s="35" t="n">
        <f>396.32</f>
        <v>396.32</v>
      </c>
      <c r="T31" s="32" t="n">
        <f>1070460837</f>
        <v>1.070460837E9</v>
      </c>
      <c r="U31" s="32" t="n">
        <f>3199180</f>
        <v>3199180.0</v>
      </c>
      <c r="V31" s="32" t="n">
        <f>428847240491</f>
        <v>4.28847240491E11</v>
      </c>
      <c r="W31" s="32" t="n">
        <f>1290878175</f>
        <v>1.290878175E9</v>
      </c>
      <c r="X31" s="36" t="n">
        <f>22</f>
        <v>22.0</v>
      </c>
    </row>
    <row r="32">
      <c r="A32" s="27" t="s">
        <v>42</v>
      </c>
      <c r="B32" s="27" t="s">
        <v>137</v>
      </c>
      <c r="C32" s="27" t="s">
        <v>138</v>
      </c>
      <c r="D32" s="27" t="s">
        <v>139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27330</f>
        <v>27330.0</v>
      </c>
      <c r="L32" s="34" t="s">
        <v>48</v>
      </c>
      <c r="M32" s="33" t="n">
        <f>29680</f>
        <v>29680.0</v>
      </c>
      <c r="N32" s="34" t="s">
        <v>80</v>
      </c>
      <c r="O32" s="33" t="n">
        <f>26700</f>
        <v>26700.0</v>
      </c>
      <c r="P32" s="34" t="s">
        <v>81</v>
      </c>
      <c r="Q32" s="33" t="n">
        <f>29075</f>
        <v>29075.0</v>
      </c>
      <c r="R32" s="34" t="s">
        <v>50</v>
      </c>
      <c r="S32" s="35" t="n">
        <f>28499.32</f>
        <v>28499.32</v>
      </c>
      <c r="T32" s="32" t="n">
        <f>480644</f>
        <v>480644.0</v>
      </c>
      <c r="U32" s="32" t="n">
        <f>1</f>
        <v>1.0</v>
      </c>
      <c r="V32" s="32" t="n">
        <f>13608488505</f>
        <v>1.3608488505E10</v>
      </c>
      <c r="W32" s="32" t="n">
        <f>28950</f>
        <v>28950.0</v>
      </c>
      <c r="X32" s="36" t="n">
        <f>22</f>
        <v>22.0</v>
      </c>
    </row>
    <row r="33">
      <c r="A33" s="27" t="s">
        <v>42</v>
      </c>
      <c r="B33" s="27" t="s">
        <v>140</v>
      </c>
      <c r="C33" s="27" t="s">
        <v>141</v>
      </c>
      <c r="D33" s="27" t="s">
        <v>142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10.0</v>
      </c>
      <c r="K33" s="33" t="n">
        <f>1020.5</f>
        <v>1020.5</v>
      </c>
      <c r="L33" s="34" t="s">
        <v>48</v>
      </c>
      <c r="M33" s="33" t="n">
        <f>1042</f>
        <v>1042.0</v>
      </c>
      <c r="N33" s="34" t="s">
        <v>48</v>
      </c>
      <c r="O33" s="33" t="n">
        <f>922.2</f>
        <v>922.2</v>
      </c>
      <c r="P33" s="34" t="s">
        <v>80</v>
      </c>
      <c r="Q33" s="33" t="n">
        <f>940.7</f>
        <v>940.7</v>
      </c>
      <c r="R33" s="34" t="s">
        <v>50</v>
      </c>
      <c r="S33" s="35" t="n">
        <f>967.57</f>
        <v>967.57</v>
      </c>
      <c r="T33" s="32" t="n">
        <f>263519600</f>
        <v>2.635196E8</v>
      </c>
      <c r="U33" s="32" t="n">
        <f>502060</f>
        <v>502060.0</v>
      </c>
      <c r="V33" s="32" t="n">
        <f>257019727740</f>
        <v>2.5701972774E11</v>
      </c>
      <c r="W33" s="32" t="n">
        <f>484461798</f>
        <v>4.84461798E8</v>
      </c>
      <c r="X33" s="36" t="n">
        <f>22</f>
        <v>22.0</v>
      </c>
    </row>
    <row r="34">
      <c r="A34" s="27" t="s">
        <v>42</v>
      </c>
      <c r="B34" s="27" t="s">
        <v>143</v>
      </c>
      <c r="C34" s="27" t="s">
        <v>144</v>
      </c>
      <c r="D34" s="27" t="s">
        <v>145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18225</f>
        <v>18225.0</v>
      </c>
      <c r="L34" s="34" t="s">
        <v>48</v>
      </c>
      <c r="M34" s="33" t="n">
        <f>18845</f>
        <v>18845.0</v>
      </c>
      <c r="N34" s="34" t="s">
        <v>50</v>
      </c>
      <c r="O34" s="33" t="n">
        <f>17750</f>
        <v>17750.0</v>
      </c>
      <c r="P34" s="34" t="s">
        <v>48</v>
      </c>
      <c r="Q34" s="33" t="n">
        <f>18480</f>
        <v>18480.0</v>
      </c>
      <c r="R34" s="34" t="s">
        <v>50</v>
      </c>
      <c r="S34" s="35" t="n">
        <f>18320.91</f>
        <v>18320.91</v>
      </c>
      <c r="T34" s="32" t="n">
        <f>6707</f>
        <v>6707.0</v>
      </c>
      <c r="U34" s="32" t="n">
        <f>1</f>
        <v>1.0</v>
      </c>
      <c r="V34" s="32" t="n">
        <f>121513625</f>
        <v>1.21513625E8</v>
      </c>
      <c r="W34" s="32" t="n">
        <f>17845</f>
        <v>17845.0</v>
      </c>
      <c r="X34" s="36" t="n">
        <f>22</f>
        <v>22.0</v>
      </c>
    </row>
    <row r="35">
      <c r="A35" s="27" t="s">
        <v>42</v>
      </c>
      <c r="B35" s="27" t="s">
        <v>146</v>
      </c>
      <c r="C35" s="27" t="s">
        <v>147</v>
      </c>
      <c r="D35" s="27" t="s">
        <v>148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22670</f>
        <v>22670.0</v>
      </c>
      <c r="L35" s="34" t="s">
        <v>48</v>
      </c>
      <c r="M35" s="33" t="n">
        <f>24700</f>
        <v>24700.0</v>
      </c>
      <c r="N35" s="34" t="s">
        <v>80</v>
      </c>
      <c r="O35" s="33" t="n">
        <f>22200</f>
        <v>22200.0</v>
      </c>
      <c r="P35" s="34" t="s">
        <v>48</v>
      </c>
      <c r="Q35" s="33" t="n">
        <f>24230</f>
        <v>24230.0</v>
      </c>
      <c r="R35" s="34" t="s">
        <v>50</v>
      </c>
      <c r="S35" s="35" t="n">
        <f>23712.27</f>
        <v>23712.27</v>
      </c>
      <c r="T35" s="32" t="n">
        <f>972239</f>
        <v>972239.0</v>
      </c>
      <c r="U35" s="32" t="n">
        <f>5</f>
        <v>5.0</v>
      </c>
      <c r="V35" s="32" t="n">
        <f>22898767835</f>
        <v>2.2898767835E10</v>
      </c>
      <c r="W35" s="32" t="n">
        <f>113905</f>
        <v>113905.0</v>
      </c>
      <c r="X35" s="36" t="n">
        <f>22</f>
        <v>22.0</v>
      </c>
    </row>
    <row r="36">
      <c r="A36" s="27" t="s">
        <v>42</v>
      </c>
      <c r="B36" s="27" t="s">
        <v>149</v>
      </c>
      <c r="C36" s="27" t="s">
        <v>150</v>
      </c>
      <c r="D36" s="27" t="s">
        <v>151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1093</f>
        <v>1093.0</v>
      </c>
      <c r="L36" s="34" t="s">
        <v>48</v>
      </c>
      <c r="M36" s="33" t="n">
        <f>1114</f>
        <v>1114.0</v>
      </c>
      <c r="N36" s="34" t="s">
        <v>48</v>
      </c>
      <c r="O36" s="33" t="n">
        <f>987</f>
        <v>987.0</v>
      </c>
      <c r="P36" s="34" t="s">
        <v>105</v>
      </c>
      <c r="Q36" s="33" t="n">
        <f>1006</f>
        <v>1006.0</v>
      </c>
      <c r="R36" s="34" t="s">
        <v>50</v>
      </c>
      <c r="S36" s="35" t="n">
        <f>1035.32</f>
        <v>1035.32</v>
      </c>
      <c r="T36" s="32" t="n">
        <f>13885596</f>
        <v>1.3885596E7</v>
      </c>
      <c r="U36" s="32" t="n">
        <f>802</f>
        <v>802.0</v>
      </c>
      <c r="V36" s="32" t="n">
        <f>14580911996</f>
        <v>1.4580911996E10</v>
      </c>
      <c r="W36" s="32" t="n">
        <f>764523</f>
        <v>764523.0</v>
      </c>
      <c r="X36" s="36" t="n">
        <f>22</f>
        <v>22.0</v>
      </c>
    </row>
    <row r="37">
      <c r="A37" s="27" t="s">
        <v>42</v>
      </c>
      <c r="B37" s="27" t="s">
        <v>152</v>
      </c>
      <c r="C37" s="27" t="s">
        <v>153</v>
      </c>
      <c r="D37" s="27" t="s">
        <v>154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18310</f>
        <v>18310.0</v>
      </c>
      <c r="L37" s="34" t="s">
        <v>48</v>
      </c>
      <c r="M37" s="33" t="n">
        <f>19960</f>
        <v>19960.0</v>
      </c>
      <c r="N37" s="34" t="s">
        <v>49</v>
      </c>
      <c r="O37" s="33" t="n">
        <f>18040</f>
        <v>18040.0</v>
      </c>
      <c r="P37" s="34" t="s">
        <v>48</v>
      </c>
      <c r="Q37" s="33" t="n">
        <f>19545</f>
        <v>19545.0</v>
      </c>
      <c r="R37" s="34" t="s">
        <v>50</v>
      </c>
      <c r="S37" s="35" t="n">
        <f>19229.55</f>
        <v>19229.55</v>
      </c>
      <c r="T37" s="32" t="n">
        <f>214955</f>
        <v>214955.0</v>
      </c>
      <c r="U37" s="32" t="n">
        <f>1</f>
        <v>1.0</v>
      </c>
      <c r="V37" s="32" t="n">
        <f>4092401880</f>
        <v>4.09240188E9</v>
      </c>
      <c r="W37" s="32" t="n">
        <f>19355</f>
        <v>19355.0</v>
      </c>
      <c r="X37" s="36" t="n">
        <f>22</f>
        <v>22.0</v>
      </c>
    </row>
    <row r="38">
      <c r="A38" s="27" t="s">
        <v>42</v>
      </c>
      <c r="B38" s="27" t="s">
        <v>155</v>
      </c>
      <c r="C38" s="27" t="s">
        <v>156</v>
      </c>
      <c r="D38" s="27" t="s">
        <v>157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1601</f>
        <v>1601.0</v>
      </c>
      <c r="L38" s="34" t="s">
        <v>48</v>
      </c>
      <c r="M38" s="33" t="n">
        <f>1625</f>
        <v>1625.0</v>
      </c>
      <c r="N38" s="34" t="s">
        <v>48</v>
      </c>
      <c r="O38" s="33" t="n">
        <f>1455</f>
        <v>1455.0</v>
      </c>
      <c r="P38" s="34" t="s">
        <v>49</v>
      </c>
      <c r="Q38" s="33" t="n">
        <f>1478</f>
        <v>1478.0</v>
      </c>
      <c r="R38" s="34" t="s">
        <v>50</v>
      </c>
      <c r="S38" s="35" t="n">
        <f>1512.32</f>
        <v>1512.32</v>
      </c>
      <c r="T38" s="32" t="n">
        <f>1076271</f>
        <v>1076271.0</v>
      </c>
      <c r="U38" s="32" t="str">
        <f>"－"</f>
        <v>－</v>
      </c>
      <c r="V38" s="32" t="n">
        <f>1642303282</f>
        <v>1.642303282E9</v>
      </c>
      <c r="W38" s="32" t="str">
        <f>"－"</f>
        <v>－</v>
      </c>
      <c r="X38" s="36" t="n">
        <f>22</f>
        <v>22.0</v>
      </c>
    </row>
    <row r="39">
      <c r="A39" s="27" t="s">
        <v>42</v>
      </c>
      <c r="B39" s="27" t="s">
        <v>158</v>
      </c>
      <c r="C39" s="27" t="s">
        <v>159</v>
      </c>
      <c r="D39" s="27" t="s">
        <v>160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28005</f>
        <v>28005.0</v>
      </c>
      <c r="L39" s="34" t="s">
        <v>48</v>
      </c>
      <c r="M39" s="33" t="n">
        <f>29245</f>
        <v>29245.0</v>
      </c>
      <c r="N39" s="34" t="s">
        <v>105</v>
      </c>
      <c r="O39" s="33" t="n">
        <f>27720</f>
        <v>27720.0</v>
      </c>
      <c r="P39" s="34" t="s">
        <v>81</v>
      </c>
      <c r="Q39" s="33" t="n">
        <f>28970</f>
        <v>28970.0</v>
      </c>
      <c r="R39" s="34" t="s">
        <v>50</v>
      </c>
      <c r="S39" s="35" t="n">
        <f>28648.18</f>
        <v>28648.18</v>
      </c>
      <c r="T39" s="32" t="n">
        <f>965264</f>
        <v>965264.0</v>
      </c>
      <c r="U39" s="32" t="n">
        <f>700002</f>
        <v>700002.0</v>
      </c>
      <c r="V39" s="32" t="n">
        <f>27981895730</f>
        <v>2.798189573E10</v>
      </c>
      <c r="W39" s="32" t="n">
        <f>20417264715</f>
        <v>2.0417264715E10</v>
      </c>
      <c r="X39" s="36" t="n">
        <f>22</f>
        <v>22.0</v>
      </c>
    </row>
    <row r="40">
      <c r="A40" s="27" t="s">
        <v>42</v>
      </c>
      <c r="B40" s="27" t="s">
        <v>161</v>
      </c>
      <c r="C40" s="27" t="s">
        <v>162</v>
      </c>
      <c r="D40" s="27" t="s">
        <v>163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5363</f>
        <v>5363.0</v>
      </c>
      <c r="L40" s="34" t="s">
        <v>48</v>
      </c>
      <c r="M40" s="33" t="n">
        <f>5752</f>
        <v>5752.0</v>
      </c>
      <c r="N40" s="34" t="s">
        <v>67</v>
      </c>
      <c r="O40" s="33" t="n">
        <f>5340</f>
        <v>5340.0</v>
      </c>
      <c r="P40" s="34" t="s">
        <v>81</v>
      </c>
      <c r="Q40" s="33" t="n">
        <f>5618</f>
        <v>5618.0</v>
      </c>
      <c r="R40" s="34" t="s">
        <v>50</v>
      </c>
      <c r="S40" s="35" t="n">
        <f>5508.95</f>
        <v>5508.95</v>
      </c>
      <c r="T40" s="32" t="n">
        <f>7362</f>
        <v>7362.0</v>
      </c>
      <c r="U40" s="32" t="n">
        <f>900</f>
        <v>900.0</v>
      </c>
      <c r="V40" s="32" t="n">
        <f>40486755</f>
        <v>4.0486755E7</v>
      </c>
      <c r="W40" s="32" t="n">
        <f>4924530</f>
        <v>4924530.0</v>
      </c>
      <c r="X40" s="36" t="n">
        <f>22</f>
        <v>22.0</v>
      </c>
    </row>
    <row r="41">
      <c r="A41" s="27" t="s">
        <v>42</v>
      </c>
      <c r="B41" s="27" t="s">
        <v>164</v>
      </c>
      <c r="C41" s="27" t="s">
        <v>165</v>
      </c>
      <c r="D41" s="27" t="s">
        <v>166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9702</f>
        <v>9702.0</v>
      </c>
      <c r="L41" s="34" t="s">
        <v>48</v>
      </c>
      <c r="M41" s="33" t="n">
        <f>10335</f>
        <v>10335.0</v>
      </c>
      <c r="N41" s="34" t="s">
        <v>50</v>
      </c>
      <c r="O41" s="33" t="n">
        <f>9631</f>
        <v>9631.0</v>
      </c>
      <c r="P41" s="34" t="s">
        <v>67</v>
      </c>
      <c r="Q41" s="33" t="n">
        <f>10265</f>
        <v>10265.0</v>
      </c>
      <c r="R41" s="34" t="s">
        <v>50</v>
      </c>
      <c r="S41" s="35" t="n">
        <f>9971.23</f>
        <v>9971.23</v>
      </c>
      <c r="T41" s="32" t="n">
        <f>1740</f>
        <v>1740.0</v>
      </c>
      <c r="U41" s="32" t="str">
        <f>"－"</f>
        <v>－</v>
      </c>
      <c r="V41" s="32" t="n">
        <f>17419112</f>
        <v>1.7419112E7</v>
      </c>
      <c r="W41" s="32" t="str">
        <f>"－"</f>
        <v>－</v>
      </c>
      <c r="X41" s="36" t="n">
        <f>22</f>
        <v>22.0</v>
      </c>
    </row>
    <row r="42">
      <c r="A42" s="27" t="s">
        <v>42</v>
      </c>
      <c r="B42" s="27" t="s">
        <v>167</v>
      </c>
      <c r="C42" s="27" t="s">
        <v>168</v>
      </c>
      <c r="D42" s="27" t="s">
        <v>169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18525</f>
        <v>18525.0</v>
      </c>
      <c r="L42" s="34" t="s">
        <v>67</v>
      </c>
      <c r="M42" s="33" t="n">
        <f>20040</f>
        <v>20040.0</v>
      </c>
      <c r="N42" s="34" t="s">
        <v>50</v>
      </c>
      <c r="O42" s="33" t="n">
        <f>18525</f>
        <v>18525.0</v>
      </c>
      <c r="P42" s="34" t="s">
        <v>67</v>
      </c>
      <c r="Q42" s="33" t="n">
        <f>20030</f>
        <v>20030.0</v>
      </c>
      <c r="R42" s="34" t="s">
        <v>50</v>
      </c>
      <c r="S42" s="35" t="n">
        <f>19389</f>
        <v>19389.0</v>
      </c>
      <c r="T42" s="32" t="n">
        <f>137</f>
        <v>137.0</v>
      </c>
      <c r="U42" s="32" t="str">
        <f>"－"</f>
        <v>－</v>
      </c>
      <c r="V42" s="32" t="n">
        <f>2620825</f>
        <v>2620825.0</v>
      </c>
      <c r="W42" s="32" t="str">
        <f>"－"</f>
        <v>－</v>
      </c>
      <c r="X42" s="36" t="n">
        <f>10</f>
        <v>10.0</v>
      </c>
    </row>
    <row r="43">
      <c r="A43" s="27" t="s">
        <v>42</v>
      </c>
      <c r="B43" s="27" t="s">
        <v>170</v>
      </c>
      <c r="C43" s="27" t="s">
        <v>171</v>
      </c>
      <c r="D43" s="27" t="s">
        <v>172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16800</f>
        <v>16800.0</v>
      </c>
      <c r="L43" s="34" t="s">
        <v>48</v>
      </c>
      <c r="M43" s="33" t="n">
        <f>17300</f>
        <v>17300.0</v>
      </c>
      <c r="N43" s="34" t="s">
        <v>105</v>
      </c>
      <c r="O43" s="33" t="n">
        <f>15910</f>
        <v>15910.0</v>
      </c>
      <c r="P43" s="34" t="s">
        <v>97</v>
      </c>
      <c r="Q43" s="33" t="n">
        <f>17300</f>
        <v>17300.0</v>
      </c>
      <c r="R43" s="34" t="s">
        <v>50</v>
      </c>
      <c r="S43" s="35" t="n">
        <f>16707</f>
        <v>16707.0</v>
      </c>
      <c r="T43" s="32" t="n">
        <f>27</f>
        <v>27.0</v>
      </c>
      <c r="U43" s="32" t="str">
        <f>"－"</f>
        <v>－</v>
      </c>
      <c r="V43" s="32" t="n">
        <f>447680</f>
        <v>447680.0</v>
      </c>
      <c r="W43" s="32" t="str">
        <f>"－"</f>
        <v>－</v>
      </c>
      <c r="X43" s="36" t="n">
        <f>10</f>
        <v>10.0</v>
      </c>
    </row>
    <row r="44">
      <c r="A44" s="27" t="s">
        <v>42</v>
      </c>
      <c r="B44" s="27" t="s">
        <v>173</v>
      </c>
      <c r="C44" s="27" t="s">
        <v>174</v>
      </c>
      <c r="D44" s="27" t="s">
        <v>175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9856</f>
        <v>9856.0</v>
      </c>
      <c r="L44" s="34" t="s">
        <v>48</v>
      </c>
      <c r="M44" s="33" t="n">
        <f>10760</f>
        <v>10760.0</v>
      </c>
      <c r="N44" s="34" t="s">
        <v>105</v>
      </c>
      <c r="O44" s="33" t="n">
        <f>9856</f>
        <v>9856.0</v>
      </c>
      <c r="P44" s="34" t="s">
        <v>48</v>
      </c>
      <c r="Q44" s="33" t="n">
        <f>10645</f>
        <v>10645.0</v>
      </c>
      <c r="R44" s="34" t="s">
        <v>50</v>
      </c>
      <c r="S44" s="35" t="n">
        <f>10276.91</f>
        <v>10276.91</v>
      </c>
      <c r="T44" s="32" t="n">
        <f>805</f>
        <v>805.0</v>
      </c>
      <c r="U44" s="32" t="str">
        <f>"－"</f>
        <v>－</v>
      </c>
      <c r="V44" s="32" t="n">
        <f>8364320</f>
        <v>8364320.0</v>
      </c>
      <c r="W44" s="32" t="str">
        <f>"－"</f>
        <v>－</v>
      </c>
      <c r="X44" s="36" t="n">
        <f>22</f>
        <v>22.0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5145</f>
        <v>5145.0</v>
      </c>
      <c r="L45" s="34" t="s">
        <v>48</v>
      </c>
      <c r="M45" s="33" t="n">
        <f>5428</f>
        <v>5428.0</v>
      </c>
      <c r="N45" s="34" t="s">
        <v>105</v>
      </c>
      <c r="O45" s="33" t="n">
        <f>5030</f>
        <v>5030.0</v>
      </c>
      <c r="P45" s="34" t="s">
        <v>67</v>
      </c>
      <c r="Q45" s="33" t="n">
        <f>5419</f>
        <v>5419.0</v>
      </c>
      <c r="R45" s="34" t="s">
        <v>50</v>
      </c>
      <c r="S45" s="35" t="n">
        <f>5276.15</f>
        <v>5276.15</v>
      </c>
      <c r="T45" s="32" t="n">
        <f>2774</f>
        <v>2774.0</v>
      </c>
      <c r="U45" s="32" t="str">
        <f>"－"</f>
        <v>－</v>
      </c>
      <c r="V45" s="32" t="n">
        <f>14604108</f>
        <v>1.4604108E7</v>
      </c>
      <c r="W45" s="32" t="str">
        <f>"－"</f>
        <v>－</v>
      </c>
      <c r="X45" s="36" t="n">
        <f>20</f>
        <v>20.0</v>
      </c>
    </row>
    <row r="46">
      <c r="A46" s="27" t="s">
        <v>42</v>
      </c>
      <c r="B46" s="27" t="s">
        <v>179</v>
      </c>
      <c r="C46" s="27" t="s">
        <v>180</v>
      </c>
      <c r="D46" s="27" t="s">
        <v>181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2947</f>
        <v>2947.0</v>
      </c>
      <c r="L46" s="34" t="s">
        <v>48</v>
      </c>
      <c r="M46" s="33" t="n">
        <f>3195</f>
        <v>3195.0</v>
      </c>
      <c r="N46" s="34" t="s">
        <v>50</v>
      </c>
      <c r="O46" s="33" t="n">
        <f>2813</f>
        <v>2813.0</v>
      </c>
      <c r="P46" s="34" t="s">
        <v>67</v>
      </c>
      <c r="Q46" s="33" t="n">
        <f>3165</f>
        <v>3165.0</v>
      </c>
      <c r="R46" s="34" t="s">
        <v>50</v>
      </c>
      <c r="S46" s="35" t="n">
        <f>2992.27</f>
        <v>2992.27</v>
      </c>
      <c r="T46" s="32" t="n">
        <f>5428</f>
        <v>5428.0</v>
      </c>
      <c r="U46" s="32" t="str">
        <f>"－"</f>
        <v>－</v>
      </c>
      <c r="V46" s="32" t="n">
        <f>16405291</f>
        <v>1.6405291E7</v>
      </c>
      <c r="W46" s="32" t="str">
        <f>"－"</f>
        <v>－</v>
      </c>
      <c r="X46" s="36" t="n">
        <f>22</f>
        <v>22.0</v>
      </c>
    </row>
    <row r="47">
      <c r="A47" s="27" t="s">
        <v>42</v>
      </c>
      <c r="B47" s="27" t="s">
        <v>182</v>
      </c>
      <c r="C47" s="27" t="s">
        <v>183</v>
      </c>
      <c r="D47" s="27" t="s">
        <v>184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2630</f>
        <v>2630.0</v>
      </c>
      <c r="L47" s="34" t="s">
        <v>48</v>
      </c>
      <c r="M47" s="33" t="n">
        <f>2922</f>
        <v>2922.0</v>
      </c>
      <c r="N47" s="34" t="s">
        <v>80</v>
      </c>
      <c r="O47" s="33" t="n">
        <f>2618</f>
        <v>2618.0</v>
      </c>
      <c r="P47" s="34" t="s">
        <v>48</v>
      </c>
      <c r="Q47" s="33" t="n">
        <f>2889</f>
        <v>2889.0</v>
      </c>
      <c r="R47" s="34" t="s">
        <v>50</v>
      </c>
      <c r="S47" s="35" t="n">
        <f>2753.86</f>
        <v>2753.86</v>
      </c>
      <c r="T47" s="32" t="n">
        <f>2590</f>
        <v>2590.0</v>
      </c>
      <c r="U47" s="32" t="str">
        <f>"－"</f>
        <v>－</v>
      </c>
      <c r="V47" s="32" t="n">
        <f>7052477</f>
        <v>7052477.0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185</v>
      </c>
      <c r="C48" s="27" t="s">
        <v>186</v>
      </c>
      <c r="D48" s="27" t="s">
        <v>187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54500</f>
        <v>54500.0</v>
      </c>
      <c r="L48" s="34" t="s">
        <v>48</v>
      </c>
      <c r="M48" s="33" t="n">
        <f>54650</f>
        <v>54650.0</v>
      </c>
      <c r="N48" s="34" t="s">
        <v>50</v>
      </c>
      <c r="O48" s="33" t="n">
        <f>50840</f>
        <v>50840.0</v>
      </c>
      <c r="P48" s="34" t="s">
        <v>67</v>
      </c>
      <c r="Q48" s="33" t="n">
        <f>54510</f>
        <v>54510.0</v>
      </c>
      <c r="R48" s="34" t="s">
        <v>50</v>
      </c>
      <c r="S48" s="35" t="n">
        <f>52878.18</f>
        <v>52878.18</v>
      </c>
      <c r="T48" s="32" t="n">
        <f>2693</f>
        <v>2693.0</v>
      </c>
      <c r="U48" s="32" t="str">
        <f>"－"</f>
        <v>－</v>
      </c>
      <c r="V48" s="32" t="n">
        <f>141835270</f>
        <v>1.4183527E8</v>
      </c>
      <c r="W48" s="32" t="str">
        <f>"－"</f>
        <v>－</v>
      </c>
      <c r="X48" s="36" t="n">
        <f>22</f>
        <v>22.0</v>
      </c>
    </row>
    <row r="49">
      <c r="A49" s="27" t="s">
        <v>42</v>
      </c>
      <c r="B49" s="27" t="s">
        <v>188</v>
      </c>
      <c r="C49" s="27" t="s">
        <v>189</v>
      </c>
      <c r="D49" s="27" t="s">
        <v>190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35900</f>
        <v>35900.0</v>
      </c>
      <c r="L49" s="34" t="s">
        <v>48</v>
      </c>
      <c r="M49" s="33" t="n">
        <f>38680</f>
        <v>38680.0</v>
      </c>
      <c r="N49" s="34" t="s">
        <v>105</v>
      </c>
      <c r="O49" s="33" t="n">
        <f>35510</f>
        <v>35510.0</v>
      </c>
      <c r="P49" s="34" t="s">
        <v>67</v>
      </c>
      <c r="Q49" s="33" t="n">
        <f>37870</f>
        <v>37870.0</v>
      </c>
      <c r="R49" s="34" t="s">
        <v>50</v>
      </c>
      <c r="S49" s="35" t="n">
        <f>37070</f>
        <v>37070.0</v>
      </c>
      <c r="T49" s="32" t="n">
        <f>398</f>
        <v>398.0</v>
      </c>
      <c r="U49" s="32" t="str">
        <f>"－"</f>
        <v>－</v>
      </c>
      <c r="V49" s="32" t="n">
        <f>14702630</f>
        <v>1.470263E7</v>
      </c>
      <c r="W49" s="32" t="str">
        <f>"－"</f>
        <v>－</v>
      </c>
      <c r="X49" s="36" t="n">
        <f>19</f>
        <v>19.0</v>
      </c>
    </row>
    <row r="50">
      <c r="A50" s="27" t="s">
        <v>42</v>
      </c>
      <c r="B50" s="27" t="s">
        <v>191</v>
      </c>
      <c r="C50" s="27" t="s">
        <v>192</v>
      </c>
      <c r="D50" s="27" t="s">
        <v>193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28300</f>
        <v>28300.0</v>
      </c>
      <c r="L50" s="34" t="s">
        <v>48</v>
      </c>
      <c r="M50" s="33" t="n">
        <f>29370</f>
        <v>29370.0</v>
      </c>
      <c r="N50" s="34" t="s">
        <v>80</v>
      </c>
      <c r="O50" s="33" t="n">
        <f>27865</f>
        <v>27865.0</v>
      </c>
      <c r="P50" s="34" t="s">
        <v>67</v>
      </c>
      <c r="Q50" s="33" t="n">
        <f>29100</f>
        <v>29100.0</v>
      </c>
      <c r="R50" s="34" t="s">
        <v>50</v>
      </c>
      <c r="S50" s="35" t="n">
        <f>28783.68</f>
        <v>28783.68</v>
      </c>
      <c r="T50" s="32" t="n">
        <f>199955</f>
        <v>199955.0</v>
      </c>
      <c r="U50" s="32" t="n">
        <f>101915</f>
        <v>101915.0</v>
      </c>
      <c r="V50" s="32" t="n">
        <f>5740011365</f>
        <v>5.740011365E9</v>
      </c>
      <c r="W50" s="32" t="n">
        <f>2928649175</f>
        <v>2.928649175E9</v>
      </c>
      <c r="X50" s="36" t="n">
        <f>19</f>
        <v>19.0</v>
      </c>
    </row>
    <row r="51">
      <c r="A51" s="27" t="s">
        <v>42</v>
      </c>
      <c r="B51" s="27" t="s">
        <v>194</v>
      </c>
      <c r="C51" s="27" t="s">
        <v>195</v>
      </c>
      <c r="D51" s="27" t="s">
        <v>196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2073</f>
        <v>2073.0</v>
      </c>
      <c r="L51" s="34" t="s">
        <v>48</v>
      </c>
      <c r="M51" s="33" t="n">
        <f>2120</f>
        <v>2120.0</v>
      </c>
      <c r="N51" s="34" t="s">
        <v>50</v>
      </c>
      <c r="O51" s="33" t="n">
        <f>2055</f>
        <v>2055.0</v>
      </c>
      <c r="P51" s="34" t="s">
        <v>67</v>
      </c>
      <c r="Q51" s="33" t="n">
        <f>2120</f>
        <v>2120.0</v>
      </c>
      <c r="R51" s="34" t="s">
        <v>50</v>
      </c>
      <c r="S51" s="35" t="n">
        <f>2083.07</f>
        <v>2083.07</v>
      </c>
      <c r="T51" s="32" t="n">
        <f>659340</f>
        <v>659340.0</v>
      </c>
      <c r="U51" s="32" t="n">
        <f>351500</f>
        <v>351500.0</v>
      </c>
      <c r="V51" s="32" t="n">
        <f>1373091556</f>
        <v>1.373091556E9</v>
      </c>
      <c r="W51" s="32" t="n">
        <f>733249331</f>
        <v>7.33249331E8</v>
      </c>
      <c r="X51" s="36" t="n">
        <f>21</f>
        <v>21.0</v>
      </c>
    </row>
    <row r="52">
      <c r="A52" s="27" t="s">
        <v>42</v>
      </c>
      <c r="B52" s="27" t="s">
        <v>197</v>
      </c>
      <c r="C52" s="27" t="s">
        <v>198</v>
      </c>
      <c r="D52" s="27" t="s">
        <v>199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1471</f>
        <v>1471.0</v>
      </c>
      <c r="L52" s="34" t="s">
        <v>48</v>
      </c>
      <c r="M52" s="33" t="n">
        <f>1550</f>
        <v>1550.0</v>
      </c>
      <c r="N52" s="34" t="s">
        <v>97</v>
      </c>
      <c r="O52" s="33" t="n">
        <f>1466</f>
        <v>1466.0</v>
      </c>
      <c r="P52" s="34" t="s">
        <v>48</v>
      </c>
      <c r="Q52" s="33" t="n">
        <f>1543</f>
        <v>1543.0</v>
      </c>
      <c r="R52" s="34" t="s">
        <v>50</v>
      </c>
      <c r="S52" s="35" t="n">
        <f>1521.38</f>
        <v>1521.38</v>
      </c>
      <c r="T52" s="32" t="n">
        <f>26260</f>
        <v>26260.0</v>
      </c>
      <c r="U52" s="32" t="str">
        <f>"－"</f>
        <v>－</v>
      </c>
      <c r="V52" s="32" t="n">
        <f>40184255</f>
        <v>4.0184255E7</v>
      </c>
      <c r="W52" s="32" t="str">
        <f>"－"</f>
        <v>－</v>
      </c>
      <c r="X52" s="36" t="n">
        <f>20</f>
        <v>20.0</v>
      </c>
    </row>
    <row r="53">
      <c r="A53" s="27" t="s">
        <v>42</v>
      </c>
      <c r="B53" s="27" t="s">
        <v>200</v>
      </c>
      <c r="C53" s="27" t="s">
        <v>201</v>
      </c>
      <c r="D53" s="27" t="s">
        <v>202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4395</f>
        <v>4395.0</v>
      </c>
      <c r="L53" s="34" t="s">
        <v>48</v>
      </c>
      <c r="M53" s="33" t="n">
        <f>4440</f>
        <v>4440.0</v>
      </c>
      <c r="N53" s="34" t="s">
        <v>48</v>
      </c>
      <c r="O53" s="33" t="n">
        <f>4185</f>
        <v>4185.0</v>
      </c>
      <c r="P53" s="34" t="s">
        <v>105</v>
      </c>
      <c r="Q53" s="33" t="n">
        <f>4225</f>
        <v>4225.0</v>
      </c>
      <c r="R53" s="34" t="s">
        <v>50</v>
      </c>
      <c r="S53" s="35" t="n">
        <f>4277.27</f>
        <v>4277.27</v>
      </c>
      <c r="T53" s="32" t="n">
        <f>1482241</f>
        <v>1482241.0</v>
      </c>
      <c r="U53" s="32" t="n">
        <f>921000</f>
        <v>921000.0</v>
      </c>
      <c r="V53" s="32" t="n">
        <f>6334063460</f>
        <v>6.33406346E9</v>
      </c>
      <c r="W53" s="32" t="n">
        <f>3918102600</f>
        <v>3.9181026E9</v>
      </c>
      <c r="X53" s="36" t="n">
        <f>22</f>
        <v>22.0</v>
      </c>
    </row>
    <row r="54">
      <c r="A54" s="27" t="s">
        <v>42</v>
      </c>
      <c r="B54" s="27" t="s">
        <v>203</v>
      </c>
      <c r="C54" s="27" t="s">
        <v>204</v>
      </c>
      <c r="D54" s="27" t="s">
        <v>205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5250</f>
        <v>5250.0</v>
      </c>
      <c r="L54" s="34" t="s">
        <v>48</v>
      </c>
      <c r="M54" s="33" t="n">
        <f>5280</f>
        <v>5280.0</v>
      </c>
      <c r="N54" s="34" t="s">
        <v>48</v>
      </c>
      <c r="O54" s="33" t="n">
        <f>5010</f>
        <v>5010.0</v>
      </c>
      <c r="P54" s="34" t="s">
        <v>49</v>
      </c>
      <c r="Q54" s="33" t="n">
        <f>5040</f>
        <v>5040.0</v>
      </c>
      <c r="R54" s="34" t="s">
        <v>50</v>
      </c>
      <c r="S54" s="35" t="n">
        <f>5102.27</f>
        <v>5102.27</v>
      </c>
      <c r="T54" s="32" t="n">
        <f>820737</f>
        <v>820737.0</v>
      </c>
      <c r="U54" s="32" t="n">
        <f>736000</f>
        <v>736000.0</v>
      </c>
      <c r="V54" s="32" t="n">
        <f>4206513490</f>
        <v>4.20651349E9</v>
      </c>
      <c r="W54" s="32" t="n">
        <f>3775465400</f>
        <v>3.7754654E9</v>
      </c>
      <c r="X54" s="36" t="n">
        <f>22</f>
        <v>22.0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17200</f>
        <v>17200.0</v>
      </c>
      <c r="L55" s="34" t="s">
        <v>48</v>
      </c>
      <c r="M55" s="33" t="n">
        <f>18735</f>
        <v>18735.0</v>
      </c>
      <c r="N55" s="34" t="s">
        <v>80</v>
      </c>
      <c r="O55" s="33" t="n">
        <f>16830</f>
        <v>16830.0</v>
      </c>
      <c r="P55" s="34" t="s">
        <v>81</v>
      </c>
      <c r="Q55" s="33" t="n">
        <f>18365</f>
        <v>18365.0</v>
      </c>
      <c r="R55" s="34" t="s">
        <v>50</v>
      </c>
      <c r="S55" s="35" t="n">
        <f>17977.5</f>
        <v>17977.5</v>
      </c>
      <c r="T55" s="32" t="n">
        <f>16514964</f>
        <v>1.6514964E7</v>
      </c>
      <c r="U55" s="32" t="n">
        <f>5033</f>
        <v>5033.0</v>
      </c>
      <c r="V55" s="32" t="n">
        <f>295112979050</f>
        <v>2.9511297905E11</v>
      </c>
      <c r="W55" s="32" t="n">
        <f>85432800</f>
        <v>8.54328E7</v>
      </c>
      <c r="X55" s="36" t="n">
        <f>22</f>
        <v>22.0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1674</f>
        <v>1674.0</v>
      </c>
      <c r="L56" s="34" t="s">
        <v>48</v>
      </c>
      <c r="M56" s="33" t="n">
        <f>1708</f>
        <v>1708.0</v>
      </c>
      <c r="N56" s="34" t="s">
        <v>48</v>
      </c>
      <c r="O56" s="33" t="n">
        <f>1510</f>
        <v>1510.0</v>
      </c>
      <c r="P56" s="34" t="s">
        <v>105</v>
      </c>
      <c r="Q56" s="33" t="n">
        <f>1540</f>
        <v>1540.0</v>
      </c>
      <c r="R56" s="34" t="s">
        <v>50</v>
      </c>
      <c r="S56" s="35" t="n">
        <f>1584</f>
        <v>1584.0</v>
      </c>
      <c r="T56" s="32" t="n">
        <f>144873936</f>
        <v>1.44873936E8</v>
      </c>
      <c r="U56" s="32" t="n">
        <f>100010</f>
        <v>100010.0</v>
      </c>
      <c r="V56" s="32" t="n">
        <f>231994720015</f>
        <v>2.31994720015E11</v>
      </c>
      <c r="W56" s="32" t="n">
        <f>157335550</f>
        <v>1.5733555E8</v>
      </c>
      <c r="X56" s="36" t="n">
        <f>22</f>
        <v>22.0</v>
      </c>
    </row>
    <row r="57">
      <c r="A57" s="27" t="s">
        <v>42</v>
      </c>
      <c r="B57" s="27" t="s">
        <v>212</v>
      </c>
      <c r="C57" s="27" t="s">
        <v>213</v>
      </c>
      <c r="D57" s="27" t="s">
        <v>214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14665</f>
        <v>14665.0</v>
      </c>
      <c r="L57" s="34" t="s">
        <v>48</v>
      </c>
      <c r="M57" s="33" t="n">
        <f>15910</f>
        <v>15910.0</v>
      </c>
      <c r="N57" s="34" t="s">
        <v>49</v>
      </c>
      <c r="O57" s="33" t="n">
        <f>14385</f>
        <v>14385.0</v>
      </c>
      <c r="P57" s="34" t="s">
        <v>48</v>
      </c>
      <c r="Q57" s="33" t="n">
        <f>15570</f>
        <v>15570.0</v>
      </c>
      <c r="R57" s="34" t="s">
        <v>50</v>
      </c>
      <c r="S57" s="35" t="n">
        <f>15348.41</f>
        <v>15348.41</v>
      </c>
      <c r="T57" s="32" t="n">
        <f>5088</f>
        <v>5088.0</v>
      </c>
      <c r="U57" s="32" t="str">
        <f>"－"</f>
        <v>－</v>
      </c>
      <c r="V57" s="32" t="n">
        <f>77723255</f>
        <v>7.7723255E7</v>
      </c>
      <c r="W57" s="32" t="str">
        <f>"－"</f>
        <v>－</v>
      </c>
      <c r="X57" s="36" t="n">
        <f>22</f>
        <v>22.0</v>
      </c>
    </row>
    <row r="58">
      <c r="A58" s="27" t="s">
        <v>42</v>
      </c>
      <c r="B58" s="27" t="s">
        <v>215</v>
      </c>
      <c r="C58" s="27" t="s">
        <v>216</v>
      </c>
      <c r="D58" s="27" t="s">
        <v>217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5100</f>
        <v>5100.0</v>
      </c>
      <c r="L58" s="34" t="s">
        <v>48</v>
      </c>
      <c r="M58" s="33" t="n">
        <f>5130</f>
        <v>5130.0</v>
      </c>
      <c r="N58" s="34" t="s">
        <v>48</v>
      </c>
      <c r="O58" s="33" t="n">
        <f>4835</f>
        <v>4835.0</v>
      </c>
      <c r="P58" s="34" t="s">
        <v>75</v>
      </c>
      <c r="Q58" s="33" t="n">
        <f>4890</f>
        <v>4890.0</v>
      </c>
      <c r="R58" s="34" t="s">
        <v>50</v>
      </c>
      <c r="S58" s="35" t="n">
        <f>4946</f>
        <v>4946.0</v>
      </c>
      <c r="T58" s="32" t="n">
        <f>300843</f>
        <v>300843.0</v>
      </c>
      <c r="U58" s="32" t="n">
        <f>300000</f>
        <v>300000.0</v>
      </c>
      <c r="V58" s="32" t="n">
        <f>1471484325</f>
        <v>1.471484325E9</v>
      </c>
      <c r="W58" s="32" t="n">
        <f>1467300000</f>
        <v>1.4673E9</v>
      </c>
      <c r="X58" s="36" t="n">
        <f>15</f>
        <v>15.0</v>
      </c>
    </row>
    <row r="59">
      <c r="A59" s="27" t="s">
        <v>42</v>
      </c>
      <c r="B59" s="27" t="s">
        <v>218</v>
      </c>
      <c r="C59" s="27" t="s">
        <v>219</v>
      </c>
      <c r="D59" s="27" t="s">
        <v>220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2073</f>
        <v>2073.0</v>
      </c>
      <c r="L59" s="34" t="s">
        <v>48</v>
      </c>
      <c r="M59" s="33" t="n">
        <f>2086</f>
        <v>2086.0</v>
      </c>
      <c r="N59" s="34" t="s">
        <v>67</v>
      </c>
      <c r="O59" s="33" t="n">
        <f>1877</f>
        <v>1877.0</v>
      </c>
      <c r="P59" s="34" t="s">
        <v>80</v>
      </c>
      <c r="Q59" s="33" t="n">
        <f>1899</f>
        <v>1899.0</v>
      </c>
      <c r="R59" s="34" t="s">
        <v>50</v>
      </c>
      <c r="S59" s="35" t="n">
        <f>1951.5</f>
        <v>1951.5</v>
      </c>
      <c r="T59" s="32" t="n">
        <f>44873</f>
        <v>44873.0</v>
      </c>
      <c r="U59" s="32" t="str">
        <f>"－"</f>
        <v>－</v>
      </c>
      <c r="V59" s="32" t="n">
        <f>87401644</f>
        <v>8.7401644E7</v>
      </c>
      <c r="W59" s="32" t="str">
        <f>"－"</f>
        <v>－</v>
      </c>
      <c r="X59" s="36" t="n">
        <f>22</f>
        <v>22.0</v>
      </c>
    </row>
    <row r="60">
      <c r="A60" s="27" t="s">
        <v>42</v>
      </c>
      <c r="B60" s="27" t="s">
        <v>221</v>
      </c>
      <c r="C60" s="27" t="s">
        <v>222</v>
      </c>
      <c r="D60" s="27" t="s">
        <v>223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14100</f>
        <v>14100.0</v>
      </c>
      <c r="L60" s="34" t="s">
        <v>48</v>
      </c>
      <c r="M60" s="33" t="n">
        <f>14930</f>
        <v>14930.0</v>
      </c>
      <c r="N60" s="34" t="s">
        <v>105</v>
      </c>
      <c r="O60" s="33" t="n">
        <f>13785</f>
        <v>13785.0</v>
      </c>
      <c r="P60" s="34" t="s">
        <v>48</v>
      </c>
      <c r="Q60" s="33" t="n">
        <f>14805</f>
        <v>14805.0</v>
      </c>
      <c r="R60" s="34" t="s">
        <v>50</v>
      </c>
      <c r="S60" s="35" t="n">
        <f>14382.14</f>
        <v>14382.14</v>
      </c>
      <c r="T60" s="32" t="n">
        <f>4400</f>
        <v>4400.0</v>
      </c>
      <c r="U60" s="32" t="str">
        <f>"－"</f>
        <v>－</v>
      </c>
      <c r="V60" s="32" t="n">
        <f>63017350</f>
        <v>6.301735E7</v>
      </c>
      <c r="W60" s="32" t="str">
        <f>"－"</f>
        <v>－</v>
      </c>
      <c r="X60" s="36" t="n">
        <f>21</f>
        <v>21.0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4844</f>
        <v>4844.0</v>
      </c>
      <c r="L61" s="34" t="s">
        <v>48</v>
      </c>
      <c r="M61" s="33" t="n">
        <f>4844</f>
        <v>4844.0</v>
      </c>
      <c r="N61" s="34" t="s">
        <v>48</v>
      </c>
      <c r="O61" s="33" t="n">
        <f>4570</f>
        <v>4570.0</v>
      </c>
      <c r="P61" s="34" t="s">
        <v>75</v>
      </c>
      <c r="Q61" s="33" t="n">
        <f>4637</f>
        <v>4637.0</v>
      </c>
      <c r="R61" s="34" t="s">
        <v>80</v>
      </c>
      <c r="S61" s="35" t="n">
        <f>4703.8</f>
        <v>4703.8</v>
      </c>
      <c r="T61" s="32" t="n">
        <f>640870</f>
        <v>640870.0</v>
      </c>
      <c r="U61" s="32" t="n">
        <f>640000</f>
        <v>640000.0</v>
      </c>
      <c r="V61" s="32" t="n">
        <f>2978542240</f>
        <v>2.97854224E9</v>
      </c>
      <c r="W61" s="32" t="n">
        <f>2974480000</f>
        <v>2.97448E9</v>
      </c>
      <c r="X61" s="36" t="n">
        <f>10</f>
        <v>10.0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2050</f>
        <v>2050.0</v>
      </c>
      <c r="L62" s="34" t="s">
        <v>48</v>
      </c>
      <c r="M62" s="33" t="n">
        <f>2065.5</f>
        <v>2065.5</v>
      </c>
      <c r="N62" s="34" t="s">
        <v>48</v>
      </c>
      <c r="O62" s="33" t="n">
        <f>1857</f>
        <v>1857.0</v>
      </c>
      <c r="P62" s="34" t="s">
        <v>49</v>
      </c>
      <c r="Q62" s="33" t="n">
        <f>1895</f>
        <v>1895.0</v>
      </c>
      <c r="R62" s="34" t="s">
        <v>50</v>
      </c>
      <c r="S62" s="35" t="n">
        <f>1929.05</f>
        <v>1929.05</v>
      </c>
      <c r="T62" s="32" t="n">
        <f>42640</f>
        <v>42640.0</v>
      </c>
      <c r="U62" s="32" t="str">
        <f>"－"</f>
        <v>－</v>
      </c>
      <c r="V62" s="32" t="n">
        <f>82647310</f>
        <v>8.264731E7</v>
      </c>
      <c r="W62" s="32" t="str">
        <f>"－"</f>
        <v>－</v>
      </c>
      <c r="X62" s="36" t="n">
        <f>22</f>
        <v>22.0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3300</f>
        <v>3300.0</v>
      </c>
      <c r="L63" s="34" t="s">
        <v>48</v>
      </c>
      <c r="M63" s="33" t="n">
        <f>3300</f>
        <v>3300.0</v>
      </c>
      <c r="N63" s="34" t="s">
        <v>48</v>
      </c>
      <c r="O63" s="33" t="n">
        <f>3125</f>
        <v>3125.0</v>
      </c>
      <c r="P63" s="34" t="s">
        <v>75</v>
      </c>
      <c r="Q63" s="33" t="n">
        <f>3175</f>
        <v>3175.0</v>
      </c>
      <c r="R63" s="34" t="s">
        <v>50</v>
      </c>
      <c r="S63" s="35" t="n">
        <f>3204.12</f>
        <v>3204.12</v>
      </c>
      <c r="T63" s="32" t="n">
        <f>451496</f>
        <v>451496.0</v>
      </c>
      <c r="U63" s="32" t="n">
        <f>450001</f>
        <v>450001.0</v>
      </c>
      <c r="V63" s="32" t="n">
        <f>1434873005</f>
        <v>1.434873005E9</v>
      </c>
      <c r="W63" s="32" t="n">
        <f>1430103225</f>
        <v>1.430103225E9</v>
      </c>
      <c r="X63" s="36" t="n">
        <f>17</f>
        <v>17.0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835</f>
        <v>835.0</v>
      </c>
      <c r="L64" s="34" t="s">
        <v>48</v>
      </c>
      <c r="M64" s="33" t="n">
        <f>851</f>
        <v>851.0</v>
      </c>
      <c r="N64" s="34" t="s">
        <v>48</v>
      </c>
      <c r="O64" s="33" t="n">
        <f>749</f>
        <v>749.0</v>
      </c>
      <c r="P64" s="34" t="s">
        <v>80</v>
      </c>
      <c r="Q64" s="33" t="n">
        <f>766</f>
        <v>766.0</v>
      </c>
      <c r="R64" s="34" t="s">
        <v>50</v>
      </c>
      <c r="S64" s="35" t="n">
        <f>777.59</f>
        <v>777.59</v>
      </c>
      <c r="T64" s="32" t="n">
        <f>49595</f>
        <v>49595.0</v>
      </c>
      <c r="U64" s="32" t="str">
        <f>"－"</f>
        <v>－</v>
      </c>
      <c r="V64" s="32" t="n">
        <f>38942416</f>
        <v>3.8942416E7</v>
      </c>
      <c r="W64" s="32" t="str">
        <f>"－"</f>
        <v>－</v>
      </c>
      <c r="X64" s="36" t="n">
        <f>22</f>
        <v>22.0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1969</f>
        <v>1969.0</v>
      </c>
      <c r="L65" s="34" t="s">
        <v>48</v>
      </c>
      <c r="M65" s="33" t="n">
        <f>2055.5</f>
        <v>2055.5</v>
      </c>
      <c r="N65" s="34" t="s">
        <v>49</v>
      </c>
      <c r="O65" s="33" t="n">
        <f>1955</f>
        <v>1955.0</v>
      </c>
      <c r="P65" s="34" t="s">
        <v>48</v>
      </c>
      <c r="Q65" s="33" t="n">
        <f>2043</f>
        <v>2043.0</v>
      </c>
      <c r="R65" s="34" t="s">
        <v>50</v>
      </c>
      <c r="S65" s="35" t="n">
        <f>2019.34</f>
        <v>2019.34</v>
      </c>
      <c r="T65" s="32" t="n">
        <f>1810200</f>
        <v>1810200.0</v>
      </c>
      <c r="U65" s="32" t="n">
        <f>279990</f>
        <v>279990.0</v>
      </c>
      <c r="V65" s="32" t="n">
        <f>3635394469</f>
        <v>3.635394469E9</v>
      </c>
      <c r="W65" s="32" t="n">
        <f>563763684</f>
        <v>5.63763684E8</v>
      </c>
      <c r="X65" s="36" t="n">
        <f>22</f>
        <v>22.0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17730</f>
        <v>17730.0</v>
      </c>
      <c r="L66" s="34" t="s">
        <v>48</v>
      </c>
      <c r="M66" s="33" t="n">
        <f>18445</f>
        <v>18445.0</v>
      </c>
      <c r="N66" s="34" t="s">
        <v>49</v>
      </c>
      <c r="O66" s="33" t="n">
        <f>17560</f>
        <v>17560.0</v>
      </c>
      <c r="P66" s="34" t="s">
        <v>48</v>
      </c>
      <c r="Q66" s="33" t="n">
        <f>18365</f>
        <v>18365.0</v>
      </c>
      <c r="R66" s="34" t="s">
        <v>50</v>
      </c>
      <c r="S66" s="35" t="n">
        <f>18138.64</f>
        <v>18138.64</v>
      </c>
      <c r="T66" s="32" t="n">
        <f>25677</f>
        <v>25677.0</v>
      </c>
      <c r="U66" s="32" t="n">
        <f>1</f>
        <v>1.0</v>
      </c>
      <c r="V66" s="32" t="n">
        <f>466761825</f>
        <v>4.66761825E8</v>
      </c>
      <c r="W66" s="32" t="n">
        <f>18325</f>
        <v>18325.0</v>
      </c>
      <c r="X66" s="36" t="n">
        <f>22</f>
        <v>22.0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1977</f>
        <v>1977.0</v>
      </c>
      <c r="L67" s="34" t="s">
        <v>48</v>
      </c>
      <c r="M67" s="33" t="n">
        <f>2068</f>
        <v>2068.0</v>
      </c>
      <c r="N67" s="34" t="s">
        <v>49</v>
      </c>
      <c r="O67" s="33" t="n">
        <f>1964</f>
        <v>1964.0</v>
      </c>
      <c r="P67" s="34" t="s">
        <v>48</v>
      </c>
      <c r="Q67" s="33" t="n">
        <f>2045</f>
        <v>2045.0</v>
      </c>
      <c r="R67" s="34" t="s">
        <v>50</v>
      </c>
      <c r="S67" s="35" t="n">
        <f>2029.95</f>
        <v>2029.95</v>
      </c>
      <c r="T67" s="32" t="n">
        <f>5091733</f>
        <v>5091733.0</v>
      </c>
      <c r="U67" s="32" t="n">
        <f>1543580</f>
        <v>1543580.0</v>
      </c>
      <c r="V67" s="32" t="n">
        <f>10254265125</f>
        <v>1.0254265125E10</v>
      </c>
      <c r="W67" s="32" t="n">
        <f>3067310101</f>
        <v>3.067310101E9</v>
      </c>
      <c r="X67" s="36" t="n">
        <f>22</f>
        <v>22.0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2071</f>
        <v>2071.0</v>
      </c>
      <c r="L68" s="34" t="s">
        <v>48</v>
      </c>
      <c r="M68" s="33" t="n">
        <f>2140</f>
        <v>2140.0</v>
      </c>
      <c r="N68" s="34" t="s">
        <v>50</v>
      </c>
      <c r="O68" s="33" t="n">
        <f>2060</f>
        <v>2060.0</v>
      </c>
      <c r="P68" s="34" t="s">
        <v>67</v>
      </c>
      <c r="Q68" s="33" t="n">
        <f>2130</f>
        <v>2130.0</v>
      </c>
      <c r="R68" s="34" t="s">
        <v>50</v>
      </c>
      <c r="S68" s="35" t="n">
        <f>2100.27</f>
        <v>2100.27</v>
      </c>
      <c r="T68" s="32" t="n">
        <f>8489020</f>
        <v>8489020.0</v>
      </c>
      <c r="U68" s="32" t="n">
        <f>4625863</f>
        <v>4625863.0</v>
      </c>
      <c r="V68" s="32" t="n">
        <f>17912832318</f>
        <v>1.7912832318E10</v>
      </c>
      <c r="W68" s="32" t="n">
        <f>9813278493</f>
        <v>9.813278493E9</v>
      </c>
      <c r="X68" s="36" t="n">
        <f>22</f>
        <v>22.0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1863</f>
        <v>1863.0</v>
      </c>
      <c r="L69" s="34" t="s">
        <v>48</v>
      </c>
      <c r="M69" s="33" t="n">
        <f>1919</f>
        <v>1919.0</v>
      </c>
      <c r="N69" s="34" t="s">
        <v>92</v>
      </c>
      <c r="O69" s="33" t="n">
        <f>1829</f>
        <v>1829.0</v>
      </c>
      <c r="P69" s="34" t="s">
        <v>48</v>
      </c>
      <c r="Q69" s="33" t="n">
        <f>1900</f>
        <v>1900.0</v>
      </c>
      <c r="R69" s="34" t="s">
        <v>50</v>
      </c>
      <c r="S69" s="35" t="n">
        <f>1887.23</f>
        <v>1887.23</v>
      </c>
      <c r="T69" s="32" t="n">
        <f>141909</f>
        <v>141909.0</v>
      </c>
      <c r="U69" s="32" t="n">
        <f>36301</f>
        <v>36301.0</v>
      </c>
      <c r="V69" s="32" t="n">
        <f>269311520</f>
        <v>2.6931152E8</v>
      </c>
      <c r="W69" s="32" t="n">
        <f>68669470</f>
        <v>6.866947E7</v>
      </c>
      <c r="X69" s="36" t="n">
        <f>22</f>
        <v>22.0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2103</f>
        <v>2103.0</v>
      </c>
      <c r="L70" s="34" t="s">
        <v>48</v>
      </c>
      <c r="M70" s="33" t="n">
        <f>2214</f>
        <v>2214.0</v>
      </c>
      <c r="N70" s="34" t="s">
        <v>254</v>
      </c>
      <c r="O70" s="33" t="n">
        <f>2084</f>
        <v>2084.0</v>
      </c>
      <c r="P70" s="34" t="s">
        <v>48</v>
      </c>
      <c r="Q70" s="33" t="n">
        <f>2186</f>
        <v>2186.0</v>
      </c>
      <c r="R70" s="34" t="s">
        <v>50</v>
      </c>
      <c r="S70" s="35" t="n">
        <f>2167.23</f>
        <v>2167.23</v>
      </c>
      <c r="T70" s="32" t="n">
        <f>161332</f>
        <v>161332.0</v>
      </c>
      <c r="U70" s="32" t="n">
        <f>36961</f>
        <v>36961.0</v>
      </c>
      <c r="V70" s="32" t="n">
        <f>349773781</f>
        <v>3.49773781E8</v>
      </c>
      <c r="W70" s="32" t="n">
        <f>79943444</f>
        <v>7.9943444E7</v>
      </c>
      <c r="X70" s="36" t="n">
        <f>22</f>
        <v>22.0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25340</f>
        <v>25340.0</v>
      </c>
      <c r="L71" s="34" t="s">
        <v>75</v>
      </c>
      <c r="M71" s="33" t="n">
        <f>25430</f>
        <v>25430.0</v>
      </c>
      <c r="N71" s="34" t="s">
        <v>105</v>
      </c>
      <c r="O71" s="33" t="n">
        <f>24680</f>
        <v>24680.0</v>
      </c>
      <c r="P71" s="34" t="s">
        <v>97</v>
      </c>
      <c r="Q71" s="33" t="n">
        <f>25430</f>
        <v>25430.0</v>
      </c>
      <c r="R71" s="34" t="s">
        <v>105</v>
      </c>
      <c r="S71" s="35" t="n">
        <f>25138.57</f>
        <v>25138.57</v>
      </c>
      <c r="T71" s="32" t="n">
        <f>153</f>
        <v>153.0</v>
      </c>
      <c r="U71" s="32" t="n">
        <f>1</f>
        <v>1.0</v>
      </c>
      <c r="V71" s="32" t="n">
        <f>3834830</f>
        <v>3834830.0</v>
      </c>
      <c r="W71" s="32" t="n">
        <f>24680</f>
        <v>24680.0</v>
      </c>
      <c r="X71" s="36" t="n">
        <f>7</f>
        <v>7.0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19480</f>
        <v>19480.0</v>
      </c>
      <c r="L72" s="34" t="s">
        <v>48</v>
      </c>
      <c r="M72" s="33" t="n">
        <f>20340</f>
        <v>20340.0</v>
      </c>
      <c r="N72" s="34" t="s">
        <v>49</v>
      </c>
      <c r="O72" s="33" t="n">
        <f>19480</f>
        <v>19480.0</v>
      </c>
      <c r="P72" s="34" t="s">
        <v>48</v>
      </c>
      <c r="Q72" s="33" t="n">
        <f>20340</f>
        <v>20340.0</v>
      </c>
      <c r="R72" s="34" t="s">
        <v>80</v>
      </c>
      <c r="S72" s="35" t="n">
        <f>20014.55</f>
        <v>20014.55</v>
      </c>
      <c r="T72" s="32" t="n">
        <f>64</f>
        <v>64.0</v>
      </c>
      <c r="U72" s="32" t="str">
        <f>"－"</f>
        <v>－</v>
      </c>
      <c r="V72" s="32" t="n">
        <f>1282320</f>
        <v>1282320.0</v>
      </c>
      <c r="W72" s="32" t="str">
        <f>"－"</f>
        <v>－</v>
      </c>
      <c r="X72" s="36" t="n">
        <f>11</f>
        <v>11.0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1974</f>
        <v>1974.0</v>
      </c>
      <c r="L73" s="34" t="s">
        <v>48</v>
      </c>
      <c r="M73" s="33" t="n">
        <f>2074</f>
        <v>2074.0</v>
      </c>
      <c r="N73" s="34" t="s">
        <v>80</v>
      </c>
      <c r="O73" s="33" t="n">
        <f>1965</f>
        <v>1965.0</v>
      </c>
      <c r="P73" s="34" t="s">
        <v>67</v>
      </c>
      <c r="Q73" s="33" t="n">
        <f>2039</f>
        <v>2039.0</v>
      </c>
      <c r="R73" s="34" t="s">
        <v>50</v>
      </c>
      <c r="S73" s="35" t="n">
        <f>2017.32</f>
        <v>2017.32</v>
      </c>
      <c r="T73" s="32" t="n">
        <f>10104</f>
        <v>10104.0</v>
      </c>
      <c r="U73" s="32" t="str">
        <f>"－"</f>
        <v>－</v>
      </c>
      <c r="V73" s="32" t="n">
        <f>20654220</f>
        <v>2.065422E7</v>
      </c>
      <c r="W73" s="32" t="str">
        <f>"－"</f>
        <v>－</v>
      </c>
      <c r="X73" s="36" t="n">
        <f>19</f>
        <v>19.0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2350</f>
        <v>2350.0</v>
      </c>
      <c r="L74" s="34" t="s">
        <v>48</v>
      </c>
      <c r="M74" s="33" t="n">
        <f>2370</f>
        <v>2370.0</v>
      </c>
      <c r="N74" s="34" t="s">
        <v>97</v>
      </c>
      <c r="O74" s="33" t="n">
        <f>2334</f>
        <v>2334.0</v>
      </c>
      <c r="P74" s="34" t="s">
        <v>50</v>
      </c>
      <c r="Q74" s="33" t="n">
        <f>2338</f>
        <v>2338.0</v>
      </c>
      <c r="R74" s="34" t="s">
        <v>50</v>
      </c>
      <c r="S74" s="35" t="n">
        <f>2351.45</f>
        <v>2351.45</v>
      </c>
      <c r="T74" s="32" t="n">
        <f>4645831</f>
        <v>4645831.0</v>
      </c>
      <c r="U74" s="32" t="n">
        <f>1984697</f>
        <v>1984697.0</v>
      </c>
      <c r="V74" s="32" t="n">
        <f>10957013548</f>
        <v>1.0957013548E10</v>
      </c>
      <c r="W74" s="32" t="n">
        <f>4688031340</f>
        <v>4.68803134E9</v>
      </c>
      <c r="X74" s="36" t="n">
        <f>22</f>
        <v>22.0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1986</f>
        <v>1986.0</v>
      </c>
      <c r="L75" s="34" t="s">
        <v>48</v>
      </c>
      <c r="M75" s="33" t="n">
        <f>2050</f>
        <v>2050.0</v>
      </c>
      <c r="N75" s="34" t="s">
        <v>50</v>
      </c>
      <c r="O75" s="33" t="n">
        <f>1943</f>
        <v>1943.0</v>
      </c>
      <c r="P75" s="34" t="s">
        <v>81</v>
      </c>
      <c r="Q75" s="33" t="n">
        <f>2047</f>
        <v>2047.0</v>
      </c>
      <c r="R75" s="34" t="s">
        <v>50</v>
      </c>
      <c r="S75" s="35" t="n">
        <f>2010</f>
        <v>2010.0</v>
      </c>
      <c r="T75" s="32" t="n">
        <f>918</f>
        <v>918.0</v>
      </c>
      <c r="U75" s="32" t="str">
        <f>"－"</f>
        <v>－</v>
      </c>
      <c r="V75" s="32" t="n">
        <f>1836286</f>
        <v>1836286.0</v>
      </c>
      <c r="W75" s="32" t="str">
        <f>"－"</f>
        <v>－</v>
      </c>
      <c r="X75" s="36" t="n">
        <f>22</f>
        <v>22.0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10.0</v>
      </c>
      <c r="K76" s="33" t="n">
        <f>1939</f>
        <v>1939.0</v>
      </c>
      <c r="L76" s="34" t="s">
        <v>48</v>
      </c>
      <c r="M76" s="33" t="n">
        <f>2023.5</f>
        <v>2023.5</v>
      </c>
      <c r="N76" s="34" t="s">
        <v>49</v>
      </c>
      <c r="O76" s="33" t="n">
        <f>1934.5</f>
        <v>1934.5</v>
      </c>
      <c r="P76" s="34" t="s">
        <v>48</v>
      </c>
      <c r="Q76" s="33" t="n">
        <f>2022</f>
        <v>2022.0</v>
      </c>
      <c r="R76" s="34" t="s">
        <v>50</v>
      </c>
      <c r="S76" s="35" t="n">
        <f>1989.3</f>
        <v>1989.3</v>
      </c>
      <c r="T76" s="32" t="n">
        <f>18200</f>
        <v>18200.0</v>
      </c>
      <c r="U76" s="32" t="str">
        <f>"－"</f>
        <v>－</v>
      </c>
      <c r="V76" s="32" t="n">
        <f>35842720</f>
        <v>3.584272E7</v>
      </c>
      <c r="W76" s="32" t="str">
        <f>"－"</f>
        <v>－</v>
      </c>
      <c r="X76" s="36" t="n">
        <f>22</f>
        <v>22.0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30060</f>
        <v>30060.0</v>
      </c>
      <c r="L77" s="34" t="s">
        <v>60</v>
      </c>
      <c r="M77" s="33" t="n">
        <f>30060</f>
        <v>30060.0</v>
      </c>
      <c r="N77" s="34" t="s">
        <v>60</v>
      </c>
      <c r="O77" s="33" t="n">
        <f>30060</f>
        <v>30060.0</v>
      </c>
      <c r="P77" s="34" t="s">
        <v>60</v>
      </c>
      <c r="Q77" s="33" t="n">
        <f>30060</f>
        <v>30060.0</v>
      </c>
      <c r="R77" s="34" t="s">
        <v>71</v>
      </c>
      <c r="S77" s="35" t="n">
        <f>30060</f>
        <v>30060.0</v>
      </c>
      <c r="T77" s="32" t="n">
        <f>2</f>
        <v>2.0</v>
      </c>
      <c r="U77" s="32" t="str">
        <f>"－"</f>
        <v>－</v>
      </c>
      <c r="V77" s="32" t="n">
        <f>60120</f>
        <v>60120.0</v>
      </c>
      <c r="W77" s="32" t="str">
        <f>"－"</f>
        <v>－</v>
      </c>
      <c r="X77" s="36" t="n">
        <f>2</f>
        <v>2.0</v>
      </c>
    </row>
    <row r="78">
      <c r="A78" s="27" t="s">
        <v>42</v>
      </c>
      <c r="B78" s="27" t="s">
        <v>276</v>
      </c>
      <c r="C78" s="27" t="s">
        <v>277</v>
      </c>
      <c r="D78" s="27" t="s">
        <v>278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21995</f>
        <v>21995.0</v>
      </c>
      <c r="L78" s="34" t="s">
        <v>48</v>
      </c>
      <c r="M78" s="33" t="n">
        <f>22900</f>
        <v>22900.0</v>
      </c>
      <c r="N78" s="34" t="s">
        <v>279</v>
      </c>
      <c r="O78" s="33" t="n">
        <f>21935</f>
        <v>21935.0</v>
      </c>
      <c r="P78" s="34" t="s">
        <v>48</v>
      </c>
      <c r="Q78" s="33" t="n">
        <f>22260</f>
        <v>22260.0</v>
      </c>
      <c r="R78" s="34" t="s">
        <v>50</v>
      </c>
      <c r="S78" s="35" t="n">
        <f>22131.59</f>
        <v>22131.59</v>
      </c>
      <c r="T78" s="32" t="n">
        <f>325144</f>
        <v>325144.0</v>
      </c>
      <c r="U78" s="32" t="n">
        <f>193402</f>
        <v>193402.0</v>
      </c>
      <c r="V78" s="32" t="n">
        <f>7178824912</f>
        <v>7.178824912E9</v>
      </c>
      <c r="W78" s="32" t="n">
        <f>4267409697</f>
        <v>4.267409697E9</v>
      </c>
      <c r="X78" s="36" t="n">
        <f>22</f>
        <v>22.0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18330</f>
        <v>18330.0</v>
      </c>
      <c r="L79" s="34" t="s">
        <v>48</v>
      </c>
      <c r="M79" s="33" t="n">
        <f>18485</f>
        <v>18485.0</v>
      </c>
      <c r="N79" s="34" t="s">
        <v>97</v>
      </c>
      <c r="O79" s="33" t="n">
        <f>18210</f>
        <v>18210.0</v>
      </c>
      <c r="P79" s="34" t="s">
        <v>92</v>
      </c>
      <c r="Q79" s="33" t="n">
        <f>18235</f>
        <v>18235.0</v>
      </c>
      <c r="R79" s="34" t="s">
        <v>50</v>
      </c>
      <c r="S79" s="35" t="n">
        <f>18337.5</f>
        <v>18337.5</v>
      </c>
      <c r="T79" s="32" t="n">
        <f>712887</f>
        <v>712887.0</v>
      </c>
      <c r="U79" s="32" t="n">
        <f>379000</f>
        <v>379000.0</v>
      </c>
      <c r="V79" s="32" t="n">
        <f>13068349498</f>
        <v>1.3068349498E10</v>
      </c>
      <c r="W79" s="32" t="n">
        <f>6938065778</f>
        <v>6.938065778E9</v>
      </c>
      <c r="X79" s="36" t="n">
        <f>22</f>
        <v>22.0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2100.5</f>
        <v>2100.5</v>
      </c>
      <c r="L80" s="34" t="s">
        <v>48</v>
      </c>
      <c r="M80" s="33" t="n">
        <f>2135.5</f>
        <v>2135.5</v>
      </c>
      <c r="N80" s="34" t="s">
        <v>50</v>
      </c>
      <c r="O80" s="33" t="n">
        <f>2061.5</f>
        <v>2061.5</v>
      </c>
      <c r="P80" s="34" t="s">
        <v>67</v>
      </c>
      <c r="Q80" s="33" t="n">
        <f>2131</f>
        <v>2131.0</v>
      </c>
      <c r="R80" s="34" t="s">
        <v>50</v>
      </c>
      <c r="S80" s="35" t="n">
        <f>2096.93</f>
        <v>2096.93</v>
      </c>
      <c r="T80" s="32" t="n">
        <f>1829940</f>
        <v>1829940.0</v>
      </c>
      <c r="U80" s="32" t="n">
        <f>255010</f>
        <v>255010.0</v>
      </c>
      <c r="V80" s="32" t="n">
        <f>3836648115</f>
        <v>3.836648115E9</v>
      </c>
      <c r="W80" s="32" t="n">
        <f>533462910</f>
        <v>5.3346291E8</v>
      </c>
      <c r="X80" s="36" t="n">
        <f>22</f>
        <v>22.0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34690</f>
        <v>34690.0</v>
      </c>
      <c r="L81" s="34" t="s">
        <v>48</v>
      </c>
      <c r="M81" s="33" t="n">
        <f>37100</f>
        <v>37100.0</v>
      </c>
      <c r="N81" s="34" t="s">
        <v>254</v>
      </c>
      <c r="O81" s="33" t="n">
        <f>34620</f>
        <v>34620.0</v>
      </c>
      <c r="P81" s="34" t="s">
        <v>48</v>
      </c>
      <c r="Q81" s="33" t="n">
        <f>36880</f>
        <v>36880.0</v>
      </c>
      <c r="R81" s="34" t="s">
        <v>50</v>
      </c>
      <c r="S81" s="35" t="n">
        <f>36232.73</f>
        <v>36232.73</v>
      </c>
      <c r="T81" s="32" t="n">
        <f>24059</f>
        <v>24059.0</v>
      </c>
      <c r="U81" s="32" t="n">
        <f>3</f>
        <v>3.0</v>
      </c>
      <c r="V81" s="32" t="n">
        <f>869605680</f>
        <v>8.6960568E8</v>
      </c>
      <c r="W81" s="32" t="n">
        <f>107900</f>
        <v>107900.0</v>
      </c>
      <c r="X81" s="36" t="n">
        <f>22</f>
        <v>22.0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7340</f>
        <v>7340.0</v>
      </c>
      <c r="L82" s="34" t="s">
        <v>88</v>
      </c>
      <c r="M82" s="33" t="n">
        <f>7400</f>
        <v>7400.0</v>
      </c>
      <c r="N82" s="34" t="s">
        <v>97</v>
      </c>
      <c r="O82" s="33" t="n">
        <f>7340</f>
        <v>7340.0</v>
      </c>
      <c r="P82" s="34" t="s">
        <v>88</v>
      </c>
      <c r="Q82" s="33" t="n">
        <f>7400</f>
        <v>7400.0</v>
      </c>
      <c r="R82" s="34" t="s">
        <v>97</v>
      </c>
      <c r="S82" s="35" t="n">
        <f>7370</f>
        <v>7370.0</v>
      </c>
      <c r="T82" s="32" t="n">
        <f>28030</f>
        <v>28030.0</v>
      </c>
      <c r="U82" s="32" t="n">
        <f>28000</f>
        <v>28000.0</v>
      </c>
      <c r="V82" s="32" t="n">
        <f>207939400</f>
        <v>2.079394E8</v>
      </c>
      <c r="W82" s="32" t="n">
        <f>207718000</f>
        <v>2.07718E8</v>
      </c>
      <c r="X82" s="36" t="n">
        <f>2</f>
        <v>2.0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16380</f>
        <v>16380.0</v>
      </c>
      <c r="L83" s="34" t="s">
        <v>48</v>
      </c>
      <c r="M83" s="33" t="n">
        <f>16970</f>
        <v>16970.0</v>
      </c>
      <c r="N83" s="34" t="s">
        <v>130</v>
      </c>
      <c r="O83" s="33" t="n">
        <f>15965</f>
        <v>15965.0</v>
      </c>
      <c r="P83" s="34" t="s">
        <v>67</v>
      </c>
      <c r="Q83" s="33" t="n">
        <f>16885</f>
        <v>16885.0</v>
      </c>
      <c r="R83" s="34" t="s">
        <v>50</v>
      </c>
      <c r="S83" s="35" t="n">
        <f>16495.68</f>
        <v>16495.68</v>
      </c>
      <c r="T83" s="32" t="n">
        <f>1053</f>
        <v>1053.0</v>
      </c>
      <c r="U83" s="32" t="n">
        <f>10</f>
        <v>10.0</v>
      </c>
      <c r="V83" s="32" t="n">
        <f>17265190</f>
        <v>1.726519E7</v>
      </c>
      <c r="W83" s="32" t="n">
        <f>168850</f>
        <v>168850.0</v>
      </c>
      <c r="X83" s="36" t="n">
        <f>22</f>
        <v>22.0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16345</f>
        <v>16345.0</v>
      </c>
      <c r="L84" s="34" t="s">
        <v>48</v>
      </c>
      <c r="M84" s="33" t="n">
        <f>17500</f>
        <v>17500.0</v>
      </c>
      <c r="N84" s="34" t="s">
        <v>75</v>
      </c>
      <c r="O84" s="33" t="n">
        <f>15750</f>
        <v>15750.0</v>
      </c>
      <c r="P84" s="34" t="s">
        <v>97</v>
      </c>
      <c r="Q84" s="33" t="n">
        <f>16530</f>
        <v>16530.0</v>
      </c>
      <c r="R84" s="34" t="s">
        <v>50</v>
      </c>
      <c r="S84" s="35" t="n">
        <f>16277.95</f>
        <v>16277.95</v>
      </c>
      <c r="T84" s="32" t="n">
        <f>15564</f>
        <v>15564.0</v>
      </c>
      <c r="U84" s="32" t="str">
        <f>"－"</f>
        <v>－</v>
      </c>
      <c r="V84" s="32" t="n">
        <f>256182035</f>
        <v>2.56182035E8</v>
      </c>
      <c r="W84" s="32" t="str">
        <f>"－"</f>
        <v>－</v>
      </c>
      <c r="X84" s="36" t="n">
        <f>22</f>
        <v>22.0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17835</f>
        <v>17835.0</v>
      </c>
      <c r="L85" s="34" t="s">
        <v>48</v>
      </c>
      <c r="M85" s="33" t="n">
        <f>18875</f>
        <v>18875.0</v>
      </c>
      <c r="N85" s="34" t="s">
        <v>254</v>
      </c>
      <c r="O85" s="33" t="n">
        <f>17815</f>
        <v>17815.0</v>
      </c>
      <c r="P85" s="34" t="s">
        <v>67</v>
      </c>
      <c r="Q85" s="33" t="n">
        <f>18715</f>
        <v>18715.0</v>
      </c>
      <c r="R85" s="34" t="s">
        <v>50</v>
      </c>
      <c r="S85" s="35" t="n">
        <f>18512.27</f>
        <v>18512.27</v>
      </c>
      <c r="T85" s="32" t="n">
        <f>103114</f>
        <v>103114.0</v>
      </c>
      <c r="U85" s="32" t="n">
        <f>100012</f>
        <v>100012.0</v>
      </c>
      <c r="V85" s="32" t="n">
        <f>1922198955</f>
        <v>1.922198955E9</v>
      </c>
      <c r="W85" s="32" t="n">
        <f>1865250580</f>
        <v>1.86525058E9</v>
      </c>
      <c r="X85" s="36" t="n">
        <f>22</f>
        <v>22.0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10425</f>
        <v>10425.0</v>
      </c>
      <c r="L86" s="34" t="s">
        <v>48</v>
      </c>
      <c r="M86" s="33" t="n">
        <f>10530</f>
        <v>10530.0</v>
      </c>
      <c r="N86" s="34" t="s">
        <v>50</v>
      </c>
      <c r="O86" s="33" t="n">
        <f>10210</f>
        <v>10210.0</v>
      </c>
      <c r="P86" s="34" t="s">
        <v>81</v>
      </c>
      <c r="Q86" s="33" t="n">
        <f>10525</f>
        <v>10525.0</v>
      </c>
      <c r="R86" s="34" t="s">
        <v>50</v>
      </c>
      <c r="S86" s="35" t="n">
        <f>10332.27</f>
        <v>10332.27</v>
      </c>
      <c r="T86" s="32" t="n">
        <f>5980</f>
        <v>5980.0</v>
      </c>
      <c r="U86" s="32" t="str">
        <f>"－"</f>
        <v>－</v>
      </c>
      <c r="V86" s="32" t="n">
        <f>61813450</f>
        <v>6.181345E7</v>
      </c>
      <c r="W86" s="32" t="str">
        <f>"－"</f>
        <v>－</v>
      </c>
      <c r="X86" s="36" t="n">
        <f>22</f>
        <v>22.0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2585</f>
        <v>2585.0</v>
      </c>
      <c r="L87" s="34" t="s">
        <v>48</v>
      </c>
      <c r="M87" s="33" t="n">
        <f>2600</f>
        <v>2600.0</v>
      </c>
      <c r="N87" s="34" t="s">
        <v>88</v>
      </c>
      <c r="O87" s="33" t="n">
        <f>2561</f>
        <v>2561.0</v>
      </c>
      <c r="P87" s="34" t="s">
        <v>50</v>
      </c>
      <c r="Q87" s="33" t="n">
        <f>2570</f>
        <v>2570.0</v>
      </c>
      <c r="R87" s="34" t="s">
        <v>50</v>
      </c>
      <c r="S87" s="35" t="n">
        <f>2579.23</f>
        <v>2579.23</v>
      </c>
      <c r="T87" s="32" t="n">
        <f>333901</f>
        <v>333901.0</v>
      </c>
      <c r="U87" s="32" t="n">
        <f>289424</f>
        <v>289424.0</v>
      </c>
      <c r="V87" s="32" t="n">
        <f>859018254</f>
        <v>8.59018254E8</v>
      </c>
      <c r="W87" s="32" t="n">
        <f>744313851</f>
        <v>7.44313851E8</v>
      </c>
      <c r="X87" s="36" t="n">
        <f>22</f>
        <v>22.0</v>
      </c>
    </row>
    <row r="88">
      <c r="A88" s="27" t="s">
        <v>42</v>
      </c>
      <c r="B88" s="27" t="s">
        <v>307</v>
      </c>
      <c r="C88" s="27" t="s">
        <v>308</v>
      </c>
      <c r="D88" s="27" t="s">
        <v>309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2320</f>
        <v>2320.0</v>
      </c>
      <c r="L88" s="34" t="s">
        <v>48</v>
      </c>
      <c r="M88" s="33" t="n">
        <f>2373</f>
        <v>2373.0</v>
      </c>
      <c r="N88" s="34" t="s">
        <v>105</v>
      </c>
      <c r="O88" s="33" t="n">
        <f>2315</f>
        <v>2315.0</v>
      </c>
      <c r="P88" s="34" t="s">
        <v>48</v>
      </c>
      <c r="Q88" s="33" t="n">
        <f>2370</f>
        <v>2370.0</v>
      </c>
      <c r="R88" s="34" t="s">
        <v>50</v>
      </c>
      <c r="S88" s="35" t="n">
        <f>2348.64</f>
        <v>2348.64</v>
      </c>
      <c r="T88" s="32" t="n">
        <f>68722</f>
        <v>68722.0</v>
      </c>
      <c r="U88" s="32" t="n">
        <f>1</f>
        <v>1.0</v>
      </c>
      <c r="V88" s="32" t="n">
        <f>161065800</f>
        <v>1.610658E8</v>
      </c>
      <c r="W88" s="32" t="n">
        <f>2341</f>
        <v>2341.0</v>
      </c>
      <c r="X88" s="36" t="n">
        <f>22</f>
        <v>22.0</v>
      </c>
    </row>
    <row r="89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15000</f>
        <v>15000.0</v>
      </c>
      <c r="L89" s="34" t="s">
        <v>48</v>
      </c>
      <c r="M89" s="33" t="n">
        <f>15720</f>
        <v>15720.0</v>
      </c>
      <c r="N89" s="34" t="s">
        <v>93</v>
      </c>
      <c r="O89" s="33" t="n">
        <f>14900</f>
        <v>14900.0</v>
      </c>
      <c r="P89" s="34" t="s">
        <v>48</v>
      </c>
      <c r="Q89" s="33" t="n">
        <f>15570</f>
        <v>15570.0</v>
      </c>
      <c r="R89" s="34" t="s">
        <v>50</v>
      </c>
      <c r="S89" s="35" t="n">
        <f>15390</f>
        <v>15390.0</v>
      </c>
      <c r="T89" s="32" t="n">
        <f>21324</f>
        <v>21324.0</v>
      </c>
      <c r="U89" s="32" t="str">
        <f>"－"</f>
        <v>－</v>
      </c>
      <c r="V89" s="32" t="n">
        <f>327202800</f>
        <v>3.272028E8</v>
      </c>
      <c r="W89" s="32" t="str">
        <f>"－"</f>
        <v>－</v>
      </c>
      <c r="X89" s="36" t="n">
        <f>22</f>
        <v>22.0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8101</f>
        <v>8101.0</v>
      </c>
      <c r="L90" s="34" t="s">
        <v>48</v>
      </c>
      <c r="M90" s="33" t="n">
        <f>8335</f>
        <v>8335.0</v>
      </c>
      <c r="N90" s="34" t="s">
        <v>50</v>
      </c>
      <c r="O90" s="33" t="n">
        <f>8089</f>
        <v>8089.0</v>
      </c>
      <c r="P90" s="34" t="s">
        <v>48</v>
      </c>
      <c r="Q90" s="33" t="n">
        <f>8335</f>
        <v>8335.0</v>
      </c>
      <c r="R90" s="34" t="s">
        <v>50</v>
      </c>
      <c r="S90" s="35" t="n">
        <f>8190.86</f>
        <v>8190.86</v>
      </c>
      <c r="T90" s="32" t="n">
        <f>1678</f>
        <v>1678.0</v>
      </c>
      <c r="U90" s="32" t="str">
        <f>"－"</f>
        <v>－</v>
      </c>
      <c r="V90" s="32" t="n">
        <f>13789961</f>
        <v>1.3789961E7</v>
      </c>
      <c r="W90" s="32" t="str">
        <f>"－"</f>
        <v>－</v>
      </c>
      <c r="X90" s="36" t="n">
        <f>22</f>
        <v>22.0</v>
      </c>
    </row>
    <row r="91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6150</f>
        <v>6150.0</v>
      </c>
      <c r="L91" s="34" t="s">
        <v>48</v>
      </c>
      <c r="M91" s="33" t="n">
        <f>6377</f>
        <v>6377.0</v>
      </c>
      <c r="N91" s="34" t="s">
        <v>105</v>
      </c>
      <c r="O91" s="33" t="n">
        <f>6128</f>
        <v>6128.0</v>
      </c>
      <c r="P91" s="34" t="s">
        <v>81</v>
      </c>
      <c r="Q91" s="33" t="n">
        <f>6345</f>
        <v>6345.0</v>
      </c>
      <c r="R91" s="34" t="s">
        <v>50</v>
      </c>
      <c r="S91" s="35" t="n">
        <f>6255.18</f>
        <v>6255.18</v>
      </c>
      <c r="T91" s="32" t="n">
        <f>1504077</f>
        <v>1504077.0</v>
      </c>
      <c r="U91" s="32" t="n">
        <f>27030</f>
        <v>27030.0</v>
      </c>
      <c r="V91" s="32" t="n">
        <f>9381472625</f>
        <v>9.381472625E9</v>
      </c>
      <c r="W91" s="32" t="n">
        <f>169303103</f>
        <v>1.69303103E8</v>
      </c>
      <c r="X91" s="36" t="n">
        <f>22</f>
        <v>22.0</v>
      </c>
    </row>
    <row r="92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3225</f>
        <v>3225.0</v>
      </c>
      <c r="L92" s="34" t="s">
        <v>48</v>
      </c>
      <c r="M92" s="33" t="n">
        <f>3385</f>
        <v>3385.0</v>
      </c>
      <c r="N92" s="34" t="s">
        <v>80</v>
      </c>
      <c r="O92" s="33" t="n">
        <f>3175</f>
        <v>3175.0</v>
      </c>
      <c r="P92" s="34" t="s">
        <v>322</v>
      </c>
      <c r="Q92" s="33" t="n">
        <f>3340</f>
        <v>3340.0</v>
      </c>
      <c r="R92" s="34" t="s">
        <v>50</v>
      </c>
      <c r="S92" s="35" t="n">
        <f>3276.82</f>
        <v>3276.82</v>
      </c>
      <c r="T92" s="32" t="n">
        <f>714002</f>
        <v>714002.0</v>
      </c>
      <c r="U92" s="32" t="n">
        <f>5202</f>
        <v>5202.0</v>
      </c>
      <c r="V92" s="32" t="n">
        <f>2335042125</f>
        <v>2.335042125E9</v>
      </c>
      <c r="W92" s="32" t="n">
        <f>16937450</f>
        <v>1.693745E7</v>
      </c>
      <c r="X92" s="36" t="n">
        <f>22</f>
        <v>22.0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7813</f>
        <v>7813.0</v>
      </c>
      <c r="L93" s="34" t="s">
        <v>48</v>
      </c>
      <c r="M93" s="33" t="n">
        <f>8000</f>
        <v>8000.0</v>
      </c>
      <c r="N93" s="34" t="s">
        <v>80</v>
      </c>
      <c r="O93" s="33" t="n">
        <f>7518</f>
        <v>7518.0</v>
      </c>
      <c r="P93" s="34" t="s">
        <v>130</v>
      </c>
      <c r="Q93" s="33" t="n">
        <f>7862</f>
        <v>7862.0</v>
      </c>
      <c r="R93" s="34" t="s">
        <v>50</v>
      </c>
      <c r="S93" s="35" t="n">
        <f>7746.95</f>
        <v>7746.95</v>
      </c>
      <c r="T93" s="32" t="n">
        <f>182944</f>
        <v>182944.0</v>
      </c>
      <c r="U93" s="32" t="str">
        <f>"－"</f>
        <v>－</v>
      </c>
      <c r="V93" s="32" t="n">
        <f>1414431568</f>
        <v>1.414431568E9</v>
      </c>
      <c r="W93" s="32" t="str">
        <f>"－"</f>
        <v>－</v>
      </c>
      <c r="X93" s="36" t="n">
        <f>22</f>
        <v>22.0</v>
      </c>
    </row>
    <row r="94">
      <c r="A94" s="27" t="s">
        <v>42</v>
      </c>
      <c r="B94" s="27" t="s">
        <v>326</v>
      </c>
      <c r="C94" s="27" t="s">
        <v>327</v>
      </c>
      <c r="D94" s="27" t="s">
        <v>328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61300</f>
        <v>61300.0</v>
      </c>
      <c r="L94" s="34" t="s">
        <v>48</v>
      </c>
      <c r="M94" s="33" t="n">
        <f>66730</f>
        <v>66730.0</v>
      </c>
      <c r="N94" s="34" t="s">
        <v>80</v>
      </c>
      <c r="O94" s="33" t="n">
        <f>57000</f>
        <v>57000.0</v>
      </c>
      <c r="P94" s="34" t="s">
        <v>322</v>
      </c>
      <c r="Q94" s="33" t="n">
        <f>65640</f>
        <v>65640.0</v>
      </c>
      <c r="R94" s="34" t="s">
        <v>50</v>
      </c>
      <c r="S94" s="35" t="n">
        <f>61918.64</f>
        <v>61918.64</v>
      </c>
      <c r="T94" s="32" t="n">
        <f>9064</f>
        <v>9064.0</v>
      </c>
      <c r="U94" s="32" t="n">
        <f>100</f>
        <v>100.0</v>
      </c>
      <c r="V94" s="32" t="n">
        <f>557190180</f>
        <v>5.5719018E8</v>
      </c>
      <c r="W94" s="32" t="n">
        <f>5726000</f>
        <v>5726000.0</v>
      </c>
      <c r="X94" s="36" t="n">
        <f>22</f>
        <v>22.0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18630</f>
        <v>18630.0</v>
      </c>
      <c r="L95" s="34" t="s">
        <v>48</v>
      </c>
      <c r="M95" s="33" t="n">
        <f>19270</f>
        <v>19270.0</v>
      </c>
      <c r="N95" s="34" t="s">
        <v>105</v>
      </c>
      <c r="O95" s="33" t="n">
        <f>17910</f>
        <v>17910.0</v>
      </c>
      <c r="P95" s="34" t="s">
        <v>97</v>
      </c>
      <c r="Q95" s="33" t="n">
        <f>19205</f>
        <v>19205.0</v>
      </c>
      <c r="R95" s="34" t="s">
        <v>50</v>
      </c>
      <c r="S95" s="35" t="n">
        <f>18642.05</f>
        <v>18642.05</v>
      </c>
      <c r="T95" s="32" t="n">
        <f>2521434</f>
        <v>2521434.0</v>
      </c>
      <c r="U95" s="32" t="n">
        <f>52741</f>
        <v>52741.0</v>
      </c>
      <c r="V95" s="32" t="n">
        <f>46790569281</f>
        <v>4.6790569281E10</v>
      </c>
      <c r="W95" s="32" t="n">
        <f>964726761</f>
        <v>9.64726761E8</v>
      </c>
      <c r="X95" s="36" t="n">
        <f>22</f>
        <v>22.0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38220</f>
        <v>38220.0</v>
      </c>
      <c r="L96" s="34" t="s">
        <v>48</v>
      </c>
      <c r="M96" s="33" t="n">
        <f>41000</f>
        <v>41000.0</v>
      </c>
      <c r="N96" s="34" t="s">
        <v>50</v>
      </c>
      <c r="O96" s="33" t="n">
        <f>37650</f>
        <v>37650.0</v>
      </c>
      <c r="P96" s="34" t="s">
        <v>67</v>
      </c>
      <c r="Q96" s="33" t="n">
        <f>40950</f>
        <v>40950.0</v>
      </c>
      <c r="R96" s="34" t="s">
        <v>50</v>
      </c>
      <c r="S96" s="35" t="n">
        <f>39619.55</f>
        <v>39619.55</v>
      </c>
      <c r="T96" s="32" t="n">
        <f>388635</f>
        <v>388635.0</v>
      </c>
      <c r="U96" s="32" t="n">
        <f>71183</f>
        <v>71183.0</v>
      </c>
      <c r="V96" s="32" t="n">
        <f>15379206501</f>
        <v>1.5379206501E10</v>
      </c>
      <c r="W96" s="32" t="n">
        <f>2865405541</f>
        <v>2.865405541E9</v>
      </c>
      <c r="X96" s="36" t="n">
        <f>22</f>
        <v>22.0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5667</f>
        <v>5667.0</v>
      </c>
      <c r="L97" s="34" t="s">
        <v>48</v>
      </c>
      <c r="M97" s="33" t="n">
        <f>6020</f>
        <v>6020.0</v>
      </c>
      <c r="N97" s="34" t="s">
        <v>50</v>
      </c>
      <c r="O97" s="33" t="n">
        <f>5567</f>
        <v>5567.0</v>
      </c>
      <c r="P97" s="34" t="s">
        <v>67</v>
      </c>
      <c r="Q97" s="33" t="n">
        <f>6016</f>
        <v>6016.0</v>
      </c>
      <c r="R97" s="34" t="s">
        <v>50</v>
      </c>
      <c r="S97" s="35" t="n">
        <f>5804.14</f>
        <v>5804.14</v>
      </c>
      <c r="T97" s="32" t="n">
        <f>3089600</f>
        <v>3089600.0</v>
      </c>
      <c r="U97" s="32" t="n">
        <f>9450</f>
        <v>9450.0</v>
      </c>
      <c r="V97" s="32" t="n">
        <f>17805621731</f>
        <v>1.7805621731E10</v>
      </c>
      <c r="W97" s="32" t="n">
        <f>53904471</f>
        <v>5.3904471E7</v>
      </c>
      <c r="X97" s="36" t="n">
        <f>22</f>
        <v>22.0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3670</f>
        <v>3670.0</v>
      </c>
      <c r="L98" s="34" t="s">
        <v>48</v>
      </c>
      <c r="M98" s="33" t="n">
        <f>3839</f>
        <v>3839.0</v>
      </c>
      <c r="N98" s="34" t="s">
        <v>50</v>
      </c>
      <c r="O98" s="33" t="n">
        <f>3616</f>
        <v>3616.0</v>
      </c>
      <c r="P98" s="34" t="s">
        <v>88</v>
      </c>
      <c r="Q98" s="33" t="n">
        <f>3826</f>
        <v>3826.0</v>
      </c>
      <c r="R98" s="34" t="s">
        <v>50</v>
      </c>
      <c r="S98" s="35" t="n">
        <f>3713.77</f>
        <v>3713.77</v>
      </c>
      <c r="T98" s="32" t="n">
        <f>149110</f>
        <v>149110.0</v>
      </c>
      <c r="U98" s="32" t="n">
        <f>120</f>
        <v>120.0</v>
      </c>
      <c r="V98" s="32" t="n">
        <f>552846920</f>
        <v>5.5284692E8</v>
      </c>
      <c r="W98" s="32" t="n">
        <f>445040</f>
        <v>445040.0</v>
      </c>
      <c r="X98" s="36" t="n">
        <f>22</f>
        <v>22.0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5595</f>
        <v>5595.0</v>
      </c>
      <c r="L99" s="34" t="s">
        <v>48</v>
      </c>
      <c r="M99" s="33" t="n">
        <f>5745</f>
        <v>5745.0</v>
      </c>
      <c r="N99" s="34" t="s">
        <v>75</v>
      </c>
      <c r="O99" s="33" t="n">
        <f>5350</f>
        <v>5350.0</v>
      </c>
      <c r="P99" s="34" t="s">
        <v>71</v>
      </c>
      <c r="Q99" s="33" t="n">
        <f>5545</f>
        <v>5545.0</v>
      </c>
      <c r="R99" s="34" t="s">
        <v>50</v>
      </c>
      <c r="S99" s="35" t="n">
        <f>5571.95</f>
        <v>5571.95</v>
      </c>
      <c r="T99" s="32" t="n">
        <f>21270</f>
        <v>21270.0</v>
      </c>
      <c r="U99" s="32" t="str">
        <f>"－"</f>
        <v>－</v>
      </c>
      <c r="V99" s="32" t="n">
        <f>118353840</f>
        <v>1.1835384E8</v>
      </c>
      <c r="W99" s="32" t="str">
        <f>"－"</f>
        <v>－</v>
      </c>
      <c r="X99" s="36" t="n">
        <f>22</f>
        <v>22.0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 t="s">
        <v>347</v>
      </c>
      <c r="I100" s="31" t="s">
        <v>47</v>
      </c>
      <c r="J100" s="32" t="n">
        <v>1.0</v>
      </c>
      <c r="K100" s="33" t="n">
        <f>2239</f>
        <v>2239.0</v>
      </c>
      <c r="L100" s="34" t="s">
        <v>48</v>
      </c>
      <c r="M100" s="33" t="n">
        <f>2533</f>
        <v>2533.0</v>
      </c>
      <c r="N100" s="34" t="s">
        <v>88</v>
      </c>
      <c r="O100" s="33" t="n">
        <f>1730</f>
        <v>1730.0</v>
      </c>
      <c r="P100" s="34" t="s">
        <v>50</v>
      </c>
      <c r="Q100" s="33" t="n">
        <f>1742</f>
        <v>1742.0</v>
      </c>
      <c r="R100" s="34" t="s">
        <v>50</v>
      </c>
      <c r="S100" s="35" t="n">
        <f>2014.36</f>
        <v>2014.36</v>
      </c>
      <c r="T100" s="32" t="n">
        <f>30779258</f>
        <v>3.0779258E7</v>
      </c>
      <c r="U100" s="32" t="n">
        <f>157325</f>
        <v>157325.0</v>
      </c>
      <c r="V100" s="32" t="n">
        <f>63268954362</f>
        <v>6.3268954362E10</v>
      </c>
      <c r="W100" s="32" t="n">
        <f>305574741</f>
        <v>3.05574741E8</v>
      </c>
      <c r="X100" s="36" t="n">
        <f>22</f>
        <v>22.0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3119</f>
        <v>3119.0</v>
      </c>
      <c r="L101" s="34" t="s">
        <v>48</v>
      </c>
      <c r="M101" s="33" t="n">
        <f>3280</f>
        <v>3280.0</v>
      </c>
      <c r="N101" s="34" t="s">
        <v>80</v>
      </c>
      <c r="O101" s="33" t="n">
        <f>3037</f>
        <v>3037.0</v>
      </c>
      <c r="P101" s="34" t="s">
        <v>93</v>
      </c>
      <c r="Q101" s="33" t="n">
        <f>3264</f>
        <v>3264.0</v>
      </c>
      <c r="R101" s="34" t="s">
        <v>50</v>
      </c>
      <c r="S101" s="35" t="n">
        <f>3185.86</f>
        <v>3185.86</v>
      </c>
      <c r="T101" s="32" t="n">
        <f>173810</f>
        <v>173810.0</v>
      </c>
      <c r="U101" s="32" t="n">
        <f>10</f>
        <v>10.0</v>
      </c>
      <c r="V101" s="32" t="n">
        <f>550206330</f>
        <v>5.5020633E8</v>
      </c>
      <c r="W101" s="32" t="n">
        <f>31750</f>
        <v>31750.0</v>
      </c>
      <c r="X101" s="36" t="n">
        <f>22</f>
        <v>22.0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1794.5</f>
        <v>1794.5</v>
      </c>
      <c r="L102" s="34" t="s">
        <v>48</v>
      </c>
      <c r="M102" s="33" t="n">
        <f>1978</f>
        <v>1978.0</v>
      </c>
      <c r="N102" s="34" t="s">
        <v>50</v>
      </c>
      <c r="O102" s="33" t="n">
        <f>1750</f>
        <v>1750.0</v>
      </c>
      <c r="P102" s="34" t="s">
        <v>88</v>
      </c>
      <c r="Q102" s="33" t="n">
        <f>1978</f>
        <v>1978.0</v>
      </c>
      <c r="R102" s="34" t="s">
        <v>50</v>
      </c>
      <c r="S102" s="35" t="n">
        <f>1857.59</f>
        <v>1857.59</v>
      </c>
      <c r="T102" s="32" t="n">
        <f>127780</f>
        <v>127780.0</v>
      </c>
      <c r="U102" s="32" t="n">
        <f>40</f>
        <v>40.0</v>
      </c>
      <c r="V102" s="32" t="n">
        <f>239439185</f>
        <v>2.39439185E8</v>
      </c>
      <c r="W102" s="32" t="n">
        <f>73600</f>
        <v>73600.0</v>
      </c>
      <c r="X102" s="36" t="n">
        <f>22</f>
        <v>22.0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51920</f>
        <v>51920.0</v>
      </c>
      <c r="L103" s="34" t="s">
        <v>48</v>
      </c>
      <c r="M103" s="33" t="n">
        <f>54950</f>
        <v>54950.0</v>
      </c>
      <c r="N103" s="34" t="s">
        <v>50</v>
      </c>
      <c r="O103" s="33" t="n">
        <f>50980</f>
        <v>50980.0</v>
      </c>
      <c r="P103" s="34" t="s">
        <v>67</v>
      </c>
      <c r="Q103" s="33" t="n">
        <f>54920</f>
        <v>54920.0</v>
      </c>
      <c r="R103" s="34" t="s">
        <v>50</v>
      </c>
      <c r="S103" s="35" t="n">
        <f>53056.36</f>
        <v>53056.36</v>
      </c>
      <c r="T103" s="32" t="n">
        <f>242434</f>
        <v>242434.0</v>
      </c>
      <c r="U103" s="32" t="n">
        <f>18000</f>
        <v>18000.0</v>
      </c>
      <c r="V103" s="32" t="n">
        <f>12803683380</f>
        <v>1.280368338E10</v>
      </c>
      <c r="W103" s="32" t="n">
        <f>961337580</f>
        <v>9.6133758E8</v>
      </c>
      <c r="X103" s="36" t="n">
        <f>22</f>
        <v>22.0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2990</f>
        <v>2990.0</v>
      </c>
      <c r="L104" s="34" t="s">
        <v>48</v>
      </c>
      <c r="M104" s="33" t="n">
        <f>3110</f>
        <v>3110.0</v>
      </c>
      <c r="N104" s="34" t="s">
        <v>50</v>
      </c>
      <c r="O104" s="33" t="n">
        <f>2982</f>
        <v>2982.0</v>
      </c>
      <c r="P104" s="34" t="s">
        <v>71</v>
      </c>
      <c r="Q104" s="33" t="n">
        <f>3050</f>
        <v>3050.0</v>
      </c>
      <c r="R104" s="34" t="s">
        <v>50</v>
      </c>
      <c r="S104" s="35" t="n">
        <f>3037.64</f>
        <v>3037.64</v>
      </c>
      <c r="T104" s="32" t="n">
        <f>5628</f>
        <v>5628.0</v>
      </c>
      <c r="U104" s="32" t="str">
        <f>"－"</f>
        <v>－</v>
      </c>
      <c r="V104" s="32" t="n">
        <f>17078141</f>
        <v>1.7078141E7</v>
      </c>
      <c r="W104" s="32" t="str">
        <f>"－"</f>
        <v>－</v>
      </c>
      <c r="X104" s="36" t="n">
        <f>22</f>
        <v>22.0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3955</f>
        <v>3955.0</v>
      </c>
      <c r="L105" s="34" t="s">
        <v>48</v>
      </c>
      <c r="M105" s="33" t="n">
        <f>4125</f>
        <v>4125.0</v>
      </c>
      <c r="N105" s="34" t="s">
        <v>50</v>
      </c>
      <c r="O105" s="33" t="n">
        <f>3900</f>
        <v>3900.0</v>
      </c>
      <c r="P105" s="34" t="s">
        <v>322</v>
      </c>
      <c r="Q105" s="33" t="n">
        <f>4115</f>
        <v>4115.0</v>
      </c>
      <c r="R105" s="34" t="s">
        <v>50</v>
      </c>
      <c r="S105" s="35" t="n">
        <f>3970.45</f>
        <v>3970.45</v>
      </c>
      <c r="T105" s="32" t="n">
        <f>4697</f>
        <v>4697.0</v>
      </c>
      <c r="U105" s="32" t="str">
        <f>"－"</f>
        <v>－</v>
      </c>
      <c r="V105" s="32" t="n">
        <f>18697595</f>
        <v>1.8697595E7</v>
      </c>
      <c r="W105" s="32" t="str">
        <f>"－"</f>
        <v>－</v>
      </c>
      <c r="X105" s="36" t="n">
        <f>22</f>
        <v>22.0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4015</f>
        <v>4015.0</v>
      </c>
      <c r="L106" s="34" t="s">
        <v>48</v>
      </c>
      <c r="M106" s="33" t="n">
        <f>4355</f>
        <v>4355.0</v>
      </c>
      <c r="N106" s="34" t="s">
        <v>75</v>
      </c>
      <c r="O106" s="33" t="n">
        <f>3785</f>
        <v>3785.0</v>
      </c>
      <c r="P106" s="34" t="s">
        <v>97</v>
      </c>
      <c r="Q106" s="33" t="n">
        <f>4050</f>
        <v>4050.0</v>
      </c>
      <c r="R106" s="34" t="s">
        <v>50</v>
      </c>
      <c r="S106" s="35" t="n">
        <f>4062.5</f>
        <v>4062.5</v>
      </c>
      <c r="T106" s="32" t="n">
        <f>245898</f>
        <v>245898.0</v>
      </c>
      <c r="U106" s="32" t="str">
        <f>"－"</f>
        <v>－</v>
      </c>
      <c r="V106" s="32" t="n">
        <f>996883785</f>
        <v>9.96883785E8</v>
      </c>
      <c r="W106" s="32" t="str">
        <f>"－"</f>
        <v>－</v>
      </c>
      <c r="X106" s="36" t="n">
        <f>22</f>
        <v>22.0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42450</f>
        <v>42450.0</v>
      </c>
      <c r="L107" s="34" t="s">
        <v>48</v>
      </c>
      <c r="M107" s="33" t="n">
        <f>43450</f>
        <v>43450.0</v>
      </c>
      <c r="N107" s="34" t="s">
        <v>80</v>
      </c>
      <c r="O107" s="33" t="n">
        <f>42300</f>
        <v>42300.0</v>
      </c>
      <c r="P107" s="34" t="s">
        <v>67</v>
      </c>
      <c r="Q107" s="33" t="n">
        <f>43390</f>
        <v>43390.0</v>
      </c>
      <c r="R107" s="34" t="s">
        <v>50</v>
      </c>
      <c r="S107" s="35" t="n">
        <f>42884.55</f>
        <v>42884.55</v>
      </c>
      <c r="T107" s="32" t="n">
        <f>24190</f>
        <v>24190.0</v>
      </c>
      <c r="U107" s="32" t="n">
        <f>643</f>
        <v>643.0</v>
      </c>
      <c r="V107" s="32" t="n">
        <f>1037755544</f>
        <v>1.037755544E9</v>
      </c>
      <c r="W107" s="32" t="n">
        <f>27512754</f>
        <v>2.7512754E7</v>
      </c>
      <c r="X107" s="36" t="n">
        <f>22</f>
        <v>22.0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23560</f>
        <v>23560.0</v>
      </c>
      <c r="L108" s="34" t="s">
        <v>48</v>
      </c>
      <c r="M108" s="33" t="n">
        <f>25680</f>
        <v>25680.0</v>
      </c>
      <c r="N108" s="34" t="s">
        <v>49</v>
      </c>
      <c r="O108" s="33" t="n">
        <f>23210</f>
        <v>23210.0</v>
      </c>
      <c r="P108" s="34" t="s">
        <v>48</v>
      </c>
      <c r="Q108" s="33" t="n">
        <f>25150</f>
        <v>25150.0</v>
      </c>
      <c r="R108" s="34" t="s">
        <v>50</v>
      </c>
      <c r="S108" s="35" t="n">
        <f>24727.27</f>
        <v>24727.27</v>
      </c>
      <c r="T108" s="32" t="n">
        <f>2181270</f>
        <v>2181270.0</v>
      </c>
      <c r="U108" s="32" t="n">
        <f>25780</f>
        <v>25780.0</v>
      </c>
      <c r="V108" s="32" t="n">
        <f>53478312390</f>
        <v>5.347831239E10</v>
      </c>
      <c r="W108" s="32" t="n">
        <f>641168640</f>
        <v>6.4116864E8</v>
      </c>
      <c r="X108" s="36" t="n">
        <f>22</f>
        <v>22.0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2199</f>
        <v>2199.0</v>
      </c>
      <c r="L109" s="34" t="s">
        <v>48</v>
      </c>
      <c r="M109" s="33" t="n">
        <f>2213</f>
        <v>2213.0</v>
      </c>
      <c r="N109" s="34" t="s">
        <v>48</v>
      </c>
      <c r="O109" s="33" t="n">
        <f>2096</f>
        <v>2096.0</v>
      </c>
      <c r="P109" s="34" t="s">
        <v>49</v>
      </c>
      <c r="Q109" s="33" t="n">
        <f>2112</f>
        <v>2112.0</v>
      </c>
      <c r="R109" s="34" t="s">
        <v>50</v>
      </c>
      <c r="S109" s="35" t="n">
        <f>2135.55</f>
        <v>2135.55</v>
      </c>
      <c r="T109" s="32" t="n">
        <f>2081620</f>
        <v>2081620.0</v>
      </c>
      <c r="U109" s="32" t="n">
        <f>1800000</f>
        <v>1800000.0</v>
      </c>
      <c r="V109" s="32" t="n">
        <f>4465340780</f>
        <v>4.46534078E9</v>
      </c>
      <c r="W109" s="32" t="n">
        <f>3861540000</f>
        <v>3.86154E9</v>
      </c>
      <c r="X109" s="36" t="n">
        <f>22</f>
        <v>22.0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14695</f>
        <v>14695.0</v>
      </c>
      <c r="L110" s="34" t="s">
        <v>48</v>
      </c>
      <c r="M110" s="33" t="n">
        <f>15980</f>
        <v>15980.0</v>
      </c>
      <c r="N110" s="34" t="s">
        <v>80</v>
      </c>
      <c r="O110" s="33" t="n">
        <f>14385</f>
        <v>14385.0</v>
      </c>
      <c r="P110" s="34" t="s">
        <v>81</v>
      </c>
      <c r="Q110" s="33" t="n">
        <f>15655</f>
        <v>15655.0</v>
      </c>
      <c r="R110" s="34" t="s">
        <v>50</v>
      </c>
      <c r="S110" s="35" t="n">
        <f>15349.55</f>
        <v>15349.55</v>
      </c>
      <c r="T110" s="32" t="n">
        <f>154501162</f>
        <v>1.54501162E8</v>
      </c>
      <c r="U110" s="32" t="n">
        <f>340386</f>
        <v>340386.0</v>
      </c>
      <c r="V110" s="32" t="n">
        <f>2358965711153</f>
        <v>2.358965711153E12</v>
      </c>
      <c r="W110" s="32" t="n">
        <f>5088383608</f>
        <v>5.088383608E9</v>
      </c>
      <c r="X110" s="36" t="n">
        <f>22</f>
        <v>22.0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1022</f>
        <v>1022.0</v>
      </c>
      <c r="L111" s="34" t="s">
        <v>48</v>
      </c>
      <c r="M111" s="33" t="n">
        <f>1032</f>
        <v>1032.0</v>
      </c>
      <c r="N111" s="34" t="s">
        <v>48</v>
      </c>
      <c r="O111" s="33" t="n">
        <f>972</f>
        <v>972.0</v>
      </c>
      <c r="P111" s="34" t="s">
        <v>105</v>
      </c>
      <c r="Q111" s="33" t="n">
        <f>981</f>
        <v>981.0</v>
      </c>
      <c r="R111" s="34" t="s">
        <v>50</v>
      </c>
      <c r="S111" s="35" t="n">
        <f>994.73</f>
        <v>994.73</v>
      </c>
      <c r="T111" s="32" t="n">
        <f>16778682</f>
        <v>1.6778682E7</v>
      </c>
      <c r="U111" s="32" t="n">
        <f>3700002</f>
        <v>3700002.0</v>
      </c>
      <c r="V111" s="32" t="n">
        <f>16765048706</f>
        <v>1.6765048706E10</v>
      </c>
      <c r="W111" s="32" t="n">
        <f>3709764019</f>
        <v>3.709764019E9</v>
      </c>
      <c r="X111" s="36" t="n">
        <f>22</f>
        <v>22.0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7200</f>
        <v>7200.0</v>
      </c>
      <c r="L112" s="34" t="s">
        <v>48</v>
      </c>
      <c r="M112" s="33" t="n">
        <f>7725</f>
        <v>7725.0</v>
      </c>
      <c r="N112" s="34" t="s">
        <v>60</v>
      </c>
      <c r="O112" s="33" t="n">
        <f>6590</f>
        <v>6590.0</v>
      </c>
      <c r="P112" s="34" t="s">
        <v>71</v>
      </c>
      <c r="Q112" s="33" t="n">
        <f>6710</f>
        <v>6710.0</v>
      </c>
      <c r="R112" s="34" t="s">
        <v>50</v>
      </c>
      <c r="S112" s="35" t="n">
        <f>7081.55</f>
        <v>7081.55</v>
      </c>
      <c r="T112" s="32" t="n">
        <f>50010</f>
        <v>50010.0</v>
      </c>
      <c r="U112" s="32" t="str">
        <f>"－"</f>
        <v>－</v>
      </c>
      <c r="V112" s="32" t="n">
        <f>354886730</f>
        <v>3.5488673E8</v>
      </c>
      <c r="W112" s="32" t="str">
        <f>"－"</f>
        <v>－</v>
      </c>
      <c r="X112" s="36" t="n">
        <f>22</f>
        <v>22.0</v>
      </c>
    </row>
    <row r="113">
      <c r="A113" s="27" t="s">
        <v>42</v>
      </c>
      <c r="B113" s="27" t="s">
        <v>384</v>
      </c>
      <c r="C113" s="27" t="s">
        <v>385</v>
      </c>
      <c r="D113" s="27" t="s">
        <v>386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8387</f>
        <v>8387.0</v>
      </c>
      <c r="L113" s="34" t="s">
        <v>48</v>
      </c>
      <c r="M113" s="33" t="n">
        <f>8885</f>
        <v>8885.0</v>
      </c>
      <c r="N113" s="34" t="s">
        <v>80</v>
      </c>
      <c r="O113" s="33" t="n">
        <f>7981</f>
        <v>7981.0</v>
      </c>
      <c r="P113" s="34" t="s">
        <v>60</v>
      </c>
      <c r="Q113" s="33" t="n">
        <f>8780</f>
        <v>8780.0</v>
      </c>
      <c r="R113" s="34" t="s">
        <v>50</v>
      </c>
      <c r="S113" s="35" t="n">
        <f>8449.86</f>
        <v>8449.86</v>
      </c>
      <c r="T113" s="32" t="n">
        <f>14840</f>
        <v>14840.0</v>
      </c>
      <c r="U113" s="32" t="n">
        <f>30</f>
        <v>30.0</v>
      </c>
      <c r="V113" s="32" t="n">
        <f>125262840</f>
        <v>1.2526284E8</v>
      </c>
      <c r="W113" s="32" t="n">
        <f>251500</f>
        <v>251500.0</v>
      </c>
      <c r="X113" s="36" t="n">
        <f>22</f>
        <v>22.0</v>
      </c>
    </row>
    <row r="114">
      <c r="A114" s="27" t="s">
        <v>42</v>
      </c>
      <c r="B114" s="27" t="s">
        <v>387</v>
      </c>
      <c r="C114" s="27" t="s">
        <v>388</v>
      </c>
      <c r="D114" s="27" t="s">
        <v>389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785</f>
        <v>785.0</v>
      </c>
      <c r="L114" s="34" t="s">
        <v>48</v>
      </c>
      <c r="M114" s="33" t="n">
        <f>855</f>
        <v>855.0</v>
      </c>
      <c r="N114" s="34" t="s">
        <v>71</v>
      </c>
      <c r="O114" s="33" t="n">
        <f>770</f>
        <v>770.0</v>
      </c>
      <c r="P114" s="34" t="s">
        <v>88</v>
      </c>
      <c r="Q114" s="33" t="n">
        <f>810</f>
        <v>810.0</v>
      </c>
      <c r="R114" s="34" t="s">
        <v>80</v>
      </c>
      <c r="S114" s="35" t="n">
        <f>804.9</f>
        <v>804.9</v>
      </c>
      <c r="T114" s="32" t="n">
        <f>12270</f>
        <v>12270.0</v>
      </c>
      <c r="U114" s="32" t="str">
        <f>"－"</f>
        <v>－</v>
      </c>
      <c r="V114" s="32" t="n">
        <f>9997591</f>
        <v>9997591.0</v>
      </c>
      <c r="W114" s="32" t="str">
        <f>"－"</f>
        <v>－</v>
      </c>
      <c r="X114" s="36" t="n">
        <f>21</f>
        <v>21.0</v>
      </c>
    </row>
    <row r="115">
      <c r="A115" s="27" t="s">
        <v>42</v>
      </c>
      <c r="B115" s="27" t="s">
        <v>390</v>
      </c>
      <c r="C115" s="27" t="s">
        <v>391</v>
      </c>
      <c r="D115" s="27" t="s">
        <v>392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22045</f>
        <v>22045.0</v>
      </c>
      <c r="L115" s="34" t="s">
        <v>48</v>
      </c>
      <c r="M115" s="33" t="n">
        <f>23055</f>
        <v>23055.0</v>
      </c>
      <c r="N115" s="34" t="s">
        <v>254</v>
      </c>
      <c r="O115" s="33" t="n">
        <f>21650</f>
        <v>21650.0</v>
      </c>
      <c r="P115" s="34" t="s">
        <v>48</v>
      </c>
      <c r="Q115" s="33" t="n">
        <f>22795</f>
        <v>22795.0</v>
      </c>
      <c r="R115" s="34" t="s">
        <v>50</v>
      </c>
      <c r="S115" s="35" t="n">
        <f>22512.95</f>
        <v>22512.95</v>
      </c>
      <c r="T115" s="32" t="n">
        <f>23405</f>
        <v>23405.0</v>
      </c>
      <c r="U115" s="32" t="n">
        <f>2246</f>
        <v>2246.0</v>
      </c>
      <c r="V115" s="32" t="n">
        <f>523617381</f>
        <v>5.23617381E8</v>
      </c>
      <c r="W115" s="32" t="n">
        <f>49953286</f>
        <v>4.9953286E7</v>
      </c>
      <c r="X115" s="36" t="n">
        <f>22</f>
        <v>22.0</v>
      </c>
    </row>
    <row r="116">
      <c r="A116" s="27" t="s">
        <v>42</v>
      </c>
      <c r="B116" s="27" t="s">
        <v>393</v>
      </c>
      <c r="C116" s="27" t="s">
        <v>394</v>
      </c>
      <c r="D116" s="27" t="s">
        <v>395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2239</f>
        <v>2239.0</v>
      </c>
      <c r="L116" s="34" t="s">
        <v>48</v>
      </c>
      <c r="M116" s="33" t="n">
        <f>2335</f>
        <v>2335.0</v>
      </c>
      <c r="N116" s="34" t="s">
        <v>80</v>
      </c>
      <c r="O116" s="33" t="n">
        <f>2210</f>
        <v>2210.0</v>
      </c>
      <c r="P116" s="34" t="s">
        <v>81</v>
      </c>
      <c r="Q116" s="33" t="n">
        <f>2317</f>
        <v>2317.0</v>
      </c>
      <c r="R116" s="34" t="s">
        <v>50</v>
      </c>
      <c r="S116" s="35" t="n">
        <f>2287.91</f>
        <v>2287.91</v>
      </c>
      <c r="T116" s="32" t="n">
        <f>16063</f>
        <v>16063.0</v>
      </c>
      <c r="U116" s="32" t="str">
        <f>"－"</f>
        <v>－</v>
      </c>
      <c r="V116" s="32" t="n">
        <f>36664622</f>
        <v>3.6664622E7</v>
      </c>
      <c r="W116" s="32" t="str">
        <f>"－"</f>
        <v>－</v>
      </c>
      <c r="X116" s="36" t="n">
        <f>22</f>
        <v>22.0</v>
      </c>
    </row>
    <row r="117">
      <c r="A117" s="27" t="s">
        <v>42</v>
      </c>
      <c r="B117" s="27" t="s">
        <v>396</v>
      </c>
      <c r="C117" s="27" t="s">
        <v>397</v>
      </c>
      <c r="D117" s="27" t="s">
        <v>398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15680</f>
        <v>15680.0</v>
      </c>
      <c r="L117" s="34" t="s">
        <v>48</v>
      </c>
      <c r="M117" s="33" t="n">
        <f>17095</f>
        <v>17095.0</v>
      </c>
      <c r="N117" s="34" t="s">
        <v>80</v>
      </c>
      <c r="O117" s="33" t="n">
        <f>15365</f>
        <v>15365.0</v>
      </c>
      <c r="P117" s="34" t="s">
        <v>81</v>
      </c>
      <c r="Q117" s="33" t="n">
        <f>16750</f>
        <v>16750.0</v>
      </c>
      <c r="R117" s="34" t="s">
        <v>50</v>
      </c>
      <c r="S117" s="35" t="n">
        <f>16406.14</f>
        <v>16406.14</v>
      </c>
      <c r="T117" s="32" t="n">
        <f>20265400</f>
        <v>2.02654E7</v>
      </c>
      <c r="U117" s="32" t="n">
        <f>40170</f>
        <v>40170.0</v>
      </c>
      <c r="V117" s="32" t="n">
        <f>329814299305</f>
        <v>3.29814299305E11</v>
      </c>
      <c r="W117" s="32" t="n">
        <f>659003705</f>
        <v>6.59003705E8</v>
      </c>
      <c r="X117" s="36" t="n">
        <f>22</f>
        <v>22.0</v>
      </c>
    </row>
    <row r="118">
      <c r="A118" s="27" t="s">
        <v>42</v>
      </c>
      <c r="B118" s="27" t="s">
        <v>399</v>
      </c>
      <c r="C118" s="27" t="s">
        <v>400</v>
      </c>
      <c r="D118" s="27" t="s">
        <v>401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2718.5</f>
        <v>2718.5</v>
      </c>
      <c r="L118" s="34" t="s">
        <v>48</v>
      </c>
      <c r="M118" s="33" t="n">
        <f>2745.5</f>
        <v>2745.5</v>
      </c>
      <c r="N118" s="34" t="s">
        <v>48</v>
      </c>
      <c r="O118" s="33" t="n">
        <f>2588</f>
        <v>2588.0</v>
      </c>
      <c r="P118" s="34" t="s">
        <v>80</v>
      </c>
      <c r="Q118" s="33" t="n">
        <f>2615</f>
        <v>2615.0</v>
      </c>
      <c r="R118" s="34" t="s">
        <v>50</v>
      </c>
      <c r="S118" s="35" t="n">
        <f>2649.57</f>
        <v>2649.57</v>
      </c>
      <c r="T118" s="32" t="n">
        <f>2653330</f>
        <v>2653330.0</v>
      </c>
      <c r="U118" s="32" t="n">
        <f>1400090</f>
        <v>1400090.0</v>
      </c>
      <c r="V118" s="32" t="n">
        <f>7060354480</f>
        <v>7.06035448E9</v>
      </c>
      <c r="W118" s="32" t="n">
        <f>3742436790</f>
        <v>3.74243679E9</v>
      </c>
      <c r="X118" s="36" t="n">
        <f>22</f>
        <v>22.0</v>
      </c>
    </row>
    <row r="119">
      <c r="A119" s="27" t="s">
        <v>42</v>
      </c>
      <c r="B119" s="27" t="s">
        <v>402</v>
      </c>
      <c r="C119" s="27" t="s">
        <v>403</v>
      </c>
      <c r="D119" s="27" t="s">
        <v>404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910.2</f>
        <v>910.2</v>
      </c>
      <c r="L119" s="34" t="s">
        <v>76</v>
      </c>
      <c r="M119" s="33" t="n">
        <f>959.7</f>
        <v>959.7</v>
      </c>
      <c r="N119" s="34" t="s">
        <v>93</v>
      </c>
      <c r="O119" s="33" t="n">
        <f>910.1</f>
        <v>910.1</v>
      </c>
      <c r="P119" s="34" t="s">
        <v>76</v>
      </c>
      <c r="Q119" s="33" t="n">
        <f>948</f>
        <v>948.0</v>
      </c>
      <c r="R119" s="34" t="s">
        <v>50</v>
      </c>
      <c r="S119" s="35" t="n">
        <f>946.33</f>
        <v>946.33</v>
      </c>
      <c r="T119" s="32" t="n">
        <f>2570</f>
        <v>2570.0</v>
      </c>
      <c r="U119" s="32" t="n">
        <f>10</f>
        <v>10.0</v>
      </c>
      <c r="V119" s="32" t="n">
        <f>2430209</f>
        <v>2430209.0</v>
      </c>
      <c r="W119" s="32" t="n">
        <f>9596</f>
        <v>9596.0</v>
      </c>
      <c r="X119" s="36" t="n">
        <f>10</f>
        <v>10.0</v>
      </c>
    </row>
    <row r="120">
      <c r="A120" s="27" t="s">
        <v>42</v>
      </c>
      <c r="B120" s="27" t="s">
        <v>405</v>
      </c>
      <c r="C120" s="27" t="s">
        <v>406</v>
      </c>
      <c r="D120" s="27" t="s">
        <v>407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1538.5</f>
        <v>1538.5</v>
      </c>
      <c r="L120" s="34" t="s">
        <v>48</v>
      </c>
      <c r="M120" s="33" t="n">
        <f>1590</f>
        <v>1590.0</v>
      </c>
      <c r="N120" s="34" t="s">
        <v>75</v>
      </c>
      <c r="O120" s="33" t="n">
        <f>1528</f>
        <v>1528.0</v>
      </c>
      <c r="P120" s="34" t="s">
        <v>67</v>
      </c>
      <c r="Q120" s="33" t="n">
        <f>1543</f>
        <v>1543.0</v>
      </c>
      <c r="R120" s="34" t="s">
        <v>97</v>
      </c>
      <c r="S120" s="35" t="n">
        <f>1562.06</f>
        <v>1562.06</v>
      </c>
      <c r="T120" s="32" t="n">
        <f>19520</f>
        <v>19520.0</v>
      </c>
      <c r="U120" s="32" t="n">
        <f>6320</f>
        <v>6320.0</v>
      </c>
      <c r="V120" s="32" t="n">
        <f>30692367</f>
        <v>3.0692367E7</v>
      </c>
      <c r="W120" s="32" t="n">
        <f>9981112</f>
        <v>9981112.0</v>
      </c>
      <c r="X120" s="36" t="n">
        <f>8</f>
        <v>8.0</v>
      </c>
    </row>
    <row r="121">
      <c r="A121" s="27" t="s">
        <v>42</v>
      </c>
      <c r="B121" s="27" t="s">
        <v>408</v>
      </c>
      <c r="C121" s="27" t="s">
        <v>409</v>
      </c>
      <c r="D121" s="27" t="s">
        <v>410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1778</f>
        <v>1778.0</v>
      </c>
      <c r="L121" s="34" t="s">
        <v>48</v>
      </c>
      <c r="M121" s="33" t="n">
        <f>1855</f>
        <v>1855.0</v>
      </c>
      <c r="N121" s="34" t="s">
        <v>80</v>
      </c>
      <c r="O121" s="33" t="n">
        <f>1735</f>
        <v>1735.0</v>
      </c>
      <c r="P121" s="34" t="s">
        <v>81</v>
      </c>
      <c r="Q121" s="33" t="n">
        <f>1798</f>
        <v>1798.0</v>
      </c>
      <c r="R121" s="34" t="s">
        <v>50</v>
      </c>
      <c r="S121" s="35" t="n">
        <f>1773.2</f>
        <v>1773.2</v>
      </c>
      <c r="T121" s="32" t="n">
        <f>1141</f>
        <v>1141.0</v>
      </c>
      <c r="U121" s="32" t="str">
        <f>"－"</f>
        <v>－</v>
      </c>
      <c r="V121" s="32" t="n">
        <f>2054036</f>
        <v>2054036.0</v>
      </c>
      <c r="W121" s="32" t="str">
        <f>"－"</f>
        <v>－</v>
      </c>
      <c r="X121" s="36" t="n">
        <f>20</f>
        <v>20.0</v>
      </c>
    </row>
    <row r="122">
      <c r="A122" s="27" t="s">
        <v>42</v>
      </c>
      <c r="B122" s="27" t="s">
        <v>411</v>
      </c>
      <c r="C122" s="27" t="s">
        <v>412</v>
      </c>
      <c r="D122" s="27" t="s">
        <v>413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17440</f>
        <v>17440.0</v>
      </c>
      <c r="L122" s="34" t="s">
        <v>48</v>
      </c>
      <c r="M122" s="33" t="n">
        <f>18255</f>
        <v>18255.0</v>
      </c>
      <c r="N122" s="34" t="s">
        <v>49</v>
      </c>
      <c r="O122" s="33" t="n">
        <f>17355</f>
        <v>17355.0</v>
      </c>
      <c r="P122" s="34" t="s">
        <v>48</v>
      </c>
      <c r="Q122" s="33" t="n">
        <f>18090</f>
        <v>18090.0</v>
      </c>
      <c r="R122" s="34" t="s">
        <v>50</v>
      </c>
      <c r="S122" s="35" t="n">
        <f>17924.55</f>
        <v>17924.55</v>
      </c>
      <c r="T122" s="32" t="n">
        <f>528395</f>
        <v>528395.0</v>
      </c>
      <c r="U122" s="32" t="n">
        <f>487905</f>
        <v>487905.0</v>
      </c>
      <c r="V122" s="32" t="n">
        <f>9376783990</f>
        <v>9.37678399E9</v>
      </c>
      <c r="W122" s="32" t="n">
        <f>8651539195</f>
        <v>8.651539195E9</v>
      </c>
      <c r="X122" s="36" t="n">
        <f>22</f>
        <v>22.0</v>
      </c>
    </row>
    <row r="123">
      <c r="A123" s="27" t="s">
        <v>42</v>
      </c>
      <c r="B123" s="27" t="s">
        <v>414</v>
      </c>
      <c r="C123" s="27" t="s">
        <v>415</v>
      </c>
      <c r="D123" s="27" t="s">
        <v>416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1621</f>
        <v>1621.0</v>
      </c>
      <c r="L123" s="34" t="s">
        <v>48</v>
      </c>
      <c r="M123" s="33" t="n">
        <f>1698</f>
        <v>1698.0</v>
      </c>
      <c r="N123" s="34" t="s">
        <v>50</v>
      </c>
      <c r="O123" s="33" t="n">
        <f>1597</f>
        <v>1597.0</v>
      </c>
      <c r="P123" s="34" t="s">
        <v>48</v>
      </c>
      <c r="Q123" s="33" t="n">
        <f>1661</f>
        <v>1661.0</v>
      </c>
      <c r="R123" s="34" t="s">
        <v>50</v>
      </c>
      <c r="S123" s="35" t="n">
        <f>1652.82</f>
        <v>1652.82</v>
      </c>
      <c r="T123" s="32" t="n">
        <f>148090</f>
        <v>148090.0</v>
      </c>
      <c r="U123" s="32" t="n">
        <f>40094</f>
        <v>40094.0</v>
      </c>
      <c r="V123" s="32" t="n">
        <f>244159002</f>
        <v>2.44159002E8</v>
      </c>
      <c r="W123" s="32" t="n">
        <f>66006758</f>
        <v>6.6006758E7</v>
      </c>
      <c r="X123" s="36" t="n">
        <f>22</f>
        <v>22.0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18210</f>
        <v>18210.0</v>
      </c>
      <c r="L124" s="34" t="s">
        <v>48</v>
      </c>
      <c r="M124" s="33" t="n">
        <f>18850</f>
        <v>18850.0</v>
      </c>
      <c r="N124" s="34" t="s">
        <v>92</v>
      </c>
      <c r="O124" s="33" t="n">
        <f>17870</f>
        <v>17870.0</v>
      </c>
      <c r="P124" s="34" t="s">
        <v>48</v>
      </c>
      <c r="Q124" s="33" t="n">
        <f>18700</f>
        <v>18700.0</v>
      </c>
      <c r="R124" s="34" t="s">
        <v>50</v>
      </c>
      <c r="S124" s="35" t="n">
        <f>18449.77</f>
        <v>18449.77</v>
      </c>
      <c r="T124" s="32" t="n">
        <f>182031</f>
        <v>182031.0</v>
      </c>
      <c r="U124" s="32" t="n">
        <f>126447</f>
        <v>126447.0</v>
      </c>
      <c r="V124" s="32" t="n">
        <f>3372897456</f>
        <v>3.372897456E9</v>
      </c>
      <c r="W124" s="32" t="n">
        <f>2350809431</f>
        <v>2.350809431E9</v>
      </c>
      <c r="X124" s="36" t="n">
        <f>22</f>
        <v>22.0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2059</f>
        <v>2059.0</v>
      </c>
      <c r="L125" s="34" t="s">
        <v>48</v>
      </c>
      <c r="M125" s="33" t="n">
        <f>2125.5</f>
        <v>2125.5</v>
      </c>
      <c r="N125" s="34" t="s">
        <v>322</v>
      </c>
      <c r="O125" s="33" t="n">
        <f>2040</f>
        <v>2040.0</v>
      </c>
      <c r="P125" s="34" t="s">
        <v>67</v>
      </c>
      <c r="Q125" s="33" t="n">
        <f>2110</f>
        <v>2110.0</v>
      </c>
      <c r="R125" s="34" t="s">
        <v>50</v>
      </c>
      <c r="S125" s="35" t="n">
        <f>2078.02</f>
        <v>2078.02</v>
      </c>
      <c r="T125" s="32" t="n">
        <f>1424250</f>
        <v>1424250.0</v>
      </c>
      <c r="U125" s="32" t="n">
        <f>716210</f>
        <v>716210.0</v>
      </c>
      <c r="V125" s="32" t="n">
        <f>2949465610</f>
        <v>2.94946561E9</v>
      </c>
      <c r="W125" s="32" t="n">
        <f>1482017665</f>
        <v>1.482017665E9</v>
      </c>
      <c r="X125" s="36" t="n">
        <f>22</f>
        <v>22.0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1709</f>
        <v>1709.0</v>
      </c>
      <c r="L126" s="34" t="s">
        <v>48</v>
      </c>
      <c r="M126" s="33" t="n">
        <f>1765</f>
        <v>1765.0</v>
      </c>
      <c r="N126" s="34" t="s">
        <v>49</v>
      </c>
      <c r="O126" s="33" t="n">
        <f>1709</f>
        <v>1709.0</v>
      </c>
      <c r="P126" s="34" t="s">
        <v>48</v>
      </c>
      <c r="Q126" s="33" t="n">
        <f>1763</f>
        <v>1763.0</v>
      </c>
      <c r="R126" s="34" t="s">
        <v>50</v>
      </c>
      <c r="S126" s="35" t="n">
        <f>1745.38</f>
        <v>1745.38</v>
      </c>
      <c r="T126" s="32" t="n">
        <f>180</f>
        <v>180.0</v>
      </c>
      <c r="U126" s="32" t="n">
        <f>20</f>
        <v>20.0</v>
      </c>
      <c r="V126" s="32" t="n">
        <f>314015</f>
        <v>314015.0</v>
      </c>
      <c r="W126" s="32" t="n">
        <f>34510</f>
        <v>34510.0</v>
      </c>
      <c r="X126" s="36" t="n">
        <f>8</f>
        <v>8.0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2077.5</f>
        <v>2077.5</v>
      </c>
      <c r="L127" s="34" t="s">
        <v>48</v>
      </c>
      <c r="M127" s="33" t="n">
        <f>2125</f>
        <v>2125.0</v>
      </c>
      <c r="N127" s="34" t="s">
        <v>50</v>
      </c>
      <c r="O127" s="33" t="n">
        <f>2060.5</f>
        <v>2060.5</v>
      </c>
      <c r="P127" s="34" t="s">
        <v>76</v>
      </c>
      <c r="Q127" s="33" t="n">
        <f>2120</f>
        <v>2120.0</v>
      </c>
      <c r="R127" s="34" t="s">
        <v>50</v>
      </c>
      <c r="S127" s="35" t="n">
        <f>2089.07</f>
        <v>2089.07</v>
      </c>
      <c r="T127" s="32" t="n">
        <f>684360</f>
        <v>684360.0</v>
      </c>
      <c r="U127" s="32" t="n">
        <f>237640</f>
        <v>237640.0</v>
      </c>
      <c r="V127" s="32" t="n">
        <f>1427253455</f>
        <v>1.427253455E9</v>
      </c>
      <c r="W127" s="32" t="n">
        <f>495023265</f>
        <v>4.95023265E8</v>
      </c>
      <c r="X127" s="36" t="n">
        <f>22</f>
        <v>22.0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17825</f>
        <v>17825.0</v>
      </c>
      <c r="L128" s="34" t="s">
        <v>48</v>
      </c>
      <c r="M128" s="33" t="n">
        <f>18820</f>
        <v>18820.0</v>
      </c>
      <c r="N128" s="34" t="s">
        <v>50</v>
      </c>
      <c r="O128" s="33" t="n">
        <f>17610</f>
        <v>17610.0</v>
      </c>
      <c r="P128" s="34" t="s">
        <v>81</v>
      </c>
      <c r="Q128" s="33" t="n">
        <f>18370</f>
        <v>18370.0</v>
      </c>
      <c r="R128" s="34" t="s">
        <v>50</v>
      </c>
      <c r="S128" s="35" t="n">
        <f>18236.05</f>
        <v>18236.05</v>
      </c>
      <c r="T128" s="32" t="n">
        <f>2763</f>
        <v>2763.0</v>
      </c>
      <c r="U128" s="32" t="str">
        <f>"－"</f>
        <v>－</v>
      </c>
      <c r="V128" s="32" t="n">
        <f>50275070</f>
        <v>5.027507E7</v>
      </c>
      <c r="W128" s="32" t="str">
        <f>"－"</f>
        <v>－</v>
      </c>
      <c r="X128" s="36" t="n">
        <f>19</f>
        <v>19.0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100.0</v>
      </c>
      <c r="K129" s="33" t="n">
        <f>144</f>
        <v>144.0</v>
      </c>
      <c r="L129" s="34" t="s">
        <v>48</v>
      </c>
      <c r="M129" s="33" t="n">
        <f>154.4</f>
        <v>154.4</v>
      </c>
      <c r="N129" s="34" t="s">
        <v>254</v>
      </c>
      <c r="O129" s="33" t="n">
        <f>144</f>
        <v>144.0</v>
      </c>
      <c r="P129" s="34" t="s">
        <v>48</v>
      </c>
      <c r="Q129" s="33" t="n">
        <f>152.3</f>
        <v>152.3</v>
      </c>
      <c r="R129" s="34" t="s">
        <v>50</v>
      </c>
      <c r="S129" s="35" t="n">
        <f>150.59</f>
        <v>150.59</v>
      </c>
      <c r="T129" s="32" t="n">
        <f>29685800</f>
        <v>2.96858E7</v>
      </c>
      <c r="U129" s="32" t="n">
        <f>120500</f>
        <v>120500.0</v>
      </c>
      <c r="V129" s="32" t="n">
        <f>4449080330</f>
        <v>4.44908033E9</v>
      </c>
      <c r="W129" s="32" t="n">
        <f>18161820</f>
        <v>1.816182E7</v>
      </c>
      <c r="X129" s="36" t="n">
        <f>22</f>
        <v>22.0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26695</f>
        <v>26695.0</v>
      </c>
      <c r="L130" s="34" t="s">
        <v>48</v>
      </c>
      <c r="M130" s="33" t="n">
        <f>28280</f>
        <v>28280.0</v>
      </c>
      <c r="N130" s="34" t="s">
        <v>254</v>
      </c>
      <c r="O130" s="33" t="n">
        <f>26600</f>
        <v>26600.0</v>
      </c>
      <c r="P130" s="34" t="s">
        <v>48</v>
      </c>
      <c r="Q130" s="33" t="n">
        <f>28125</f>
        <v>28125.0</v>
      </c>
      <c r="R130" s="34" t="s">
        <v>50</v>
      </c>
      <c r="S130" s="35" t="n">
        <f>27722.5</f>
        <v>27722.5</v>
      </c>
      <c r="T130" s="32" t="n">
        <f>984</f>
        <v>984.0</v>
      </c>
      <c r="U130" s="32" t="str">
        <f>"－"</f>
        <v>－</v>
      </c>
      <c r="V130" s="32" t="n">
        <f>27236830</f>
        <v>2.723683E7</v>
      </c>
      <c r="W130" s="32" t="str">
        <f>"－"</f>
        <v>－</v>
      </c>
      <c r="X130" s="36" t="n">
        <f>22</f>
        <v>22.0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10240</f>
        <v>10240.0</v>
      </c>
      <c r="L131" s="34" t="s">
        <v>48</v>
      </c>
      <c r="M131" s="33" t="n">
        <f>11100</f>
        <v>11100.0</v>
      </c>
      <c r="N131" s="34" t="s">
        <v>75</v>
      </c>
      <c r="O131" s="33" t="n">
        <f>10010</f>
        <v>10010.0</v>
      </c>
      <c r="P131" s="34" t="s">
        <v>67</v>
      </c>
      <c r="Q131" s="33" t="n">
        <f>10790</f>
        <v>10790.0</v>
      </c>
      <c r="R131" s="34" t="s">
        <v>50</v>
      </c>
      <c r="S131" s="35" t="n">
        <f>10625.45</f>
        <v>10625.45</v>
      </c>
      <c r="T131" s="32" t="n">
        <f>3516</f>
        <v>3516.0</v>
      </c>
      <c r="U131" s="32" t="n">
        <f>1</f>
        <v>1.0</v>
      </c>
      <c r="V131" s="32" t="n">
        <f>37405850</f>
        <v>3.740585E7</v>
      </c>
      <c r="W131" s="32" t="n">
        <f>9775</f>
        <v>9775.0</v>
      </c>
      <c r="X131" s="36" t="n">
        <f>22</f>
        <v>22.0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21115</f>
        <v>21115.0</v>
      </c>
      <c r="L132" s="34" t="s">
        <v>48</v>
      </c>
      <c r="M132" s="33" t="n">
        <f>22500</f>
        <v>22500.0</v>
      </c>
      <c r="N132" s="34" t="s">
        <v>75</v>
      </c>
      <c r="O132" s="33" t="n">
        <f>21115</f>
        <v>21115.0</v>
      </c>
      <c r="P132" s="34" t="s">
        <v>48</v>
      </c>
      <c r="Q132" s="33" t="n">
        <f>22060</f>
        <v>22060.0</v>
      </c>
      <c r="R132" s="34" t="s">
        <v>80</v>
      </c>
      <c r="S132" s="35" t="n">
        <f>21805.79</f>
        <v>21805.79</v>
      </c>
      <c r="T132" s="32" t="n">
        <f>2754</f>
        <v>2754.0</v>
      </c>
      <c r="U132" s="32" t="str">
        <f>"－"</f>
        <v>－</v>
      </c>
      <c r="V132" s="32" t="n">
        <f>60680935</f>
        <v>6.0680935E7</v>
      </c>
      <c r="W132" s="32" t="str">
        <f>"－"</f>
        <v>－</v>
      </c>
      <c r="X132" s="36" t="n">
        <f>19</f>
        <v>19.0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26210</f>
        <v>26210.0</v>
      </c>
      <c r="L133" s="34" t="s">
        <v>48</v>
      </c>
      <c r="M133" s="33" t="n">
        <f>27380</f>
        <v>27380.0</v>
      </c>
      <c r="N133" s="34" t="s">
        <v>75</v>
      </c>
      <c r="O133" s="33" t="n">
        <f>26030</f>
        <v>26030.0</v>
      </c>
      <c r="P133" s="34" t="s">
        <v>48</v>
      </c>
      <c r="Q133" s="33" t="n">
        <f>26960</f>
        <v>26960.0</v>
      </c>
      <c r="R133" s="34" t="s">
        <v>50</v>
      </c>
      <c r="S133" s="35" t="n">
        <f>26801.58</f>
        <v>26801.58</v>
      </c>
      <c r="T133" s="32" t="n">
        <f>747</f>
        <v>747.0</v>
      </c>
      <c r="U133" s="32" t="str">
        <f>"－"</f>
        <v>－</v>
      </c>
      <c r="V133" s="32" t="n">
        <f>19833705</f>
        <v>1.9833705E7</v>
      </c>
      <c r="W133" s="32" t="str">
        <f>"－"</f>
        <v>－</v>
      </c>
      <c r="X133" s="36" t="n">
        <f>19</f>
        <v>19.0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21780</f>
        <v>21780.0</v>
      </c>
      <c r="L134" s="34" t="s">
        <v>48</v>
      </c>
      <c r="M134" s="33" t="n">
        <f>22550</f>
        <v>22550.0</v>
      </c>
      <c r="N134" s="34" t="s">
        <v>80</v>
      </c>
      <c r="O134" s="33" t="n">
        <f>21360</f>
        <v>21360.0</v>
      </c>
      <c r="P134" s="34" t="s">
        <v>76</v>
      </c>
      <c r="Q134" s="33" t="n">
        <f>22385</f>
        <v>22385.0</v>
      </c>
      <c r="R134" s="34" t="s">
        <v>50</v>
      </c>
      <c r="S134" s="35" t="n">
        <f>22092.05</f>
        <v>22092.05</v>
      </c>
      <c r="T134" s="32" t="n">
        <f>4866</f>
        <v>4866.0</v>
      </c>
      <c r="U134" s="32" t="str">
        <f>"－"</f>
        <v>－</v>
      </c>
      <c r="V134" s="32" t="n">
        <f>107444645</f>
        <v>1.07444645E8</v>
      </c>
      <c r="W134" s="32" t="str">
        <f>"－"</f>
        <v>－</v>
      </c>
      <c r="X134" s="36" t="n">
        <f>22</f>
        <v>22.0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23250</f>
        <v>23250.0</v>
      </c>
      <c r="L135" s="34" t="s">
        <v>48</v>
      </c>
      <c r="M135" s="33" t="n">
        <f>24780</f>
        <v>24780.0</v>
      </c>
      <c r="N135" s="34" t="s">
        <v>254</v>
      </c>
      <c r="O135" s="33" t="n">
        <f>23250</f>
        <v>23250.0</v>
      </c>
      <c r="P135" s="34" t="s">
        <v>48</v>
      </c>
      <c r="Q135" s="33" t="n">
        <f>24265</f>
        <v>24265.0</v>
      </c>
      <c r="R135" s="34" t="s">
        <v>50</v>
      </c>
      <c r="S135" s="35" t="n">
        <f>24059.09</f>
        <v>24059.09</v>
      </c>
      <c r="T135" s="32" t="n">
        <f>2624</f>
        <v>2624.0</v>
      </c>
      <c r="U135" s="32" t="str">
        <f>"－"</f>
        <v>－</v>
      </c>
      <c r="V135" s="32" t="n">
        <f>62944510</f>
        <v>6.294451E7</v>
      </c>
      <c r="W135" s="32" t="str">
        <f>"－"</f>
        <v>－</v>
      </c>
      <c r="X135" s="36" t="n">
        <f>22</f>
        <v>22.0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14750</f>
        <v>14750.0</v>
      </c>
      <c r="L136" s="34" t="s">
        <v>48</v>
      </c>
      <c r="M136" s="33" t="n">
        <f>15975</f>
        <v>15975.0</v>
      </c>
      <c r="N136" s="34" t="s">
        <v>254</v>
      </c>
      <c r="O136" s="33" t="n">
        <f>14750</f>
        <v>14750.0</v>
      </c>
      <c r="P136" s="34" t="s">
        <v>48</v>
      </c>
      <c r="Q136" s="33" t="n">
        <f>15725</f>
        <v>15725.0</v>
      </c>
      <c r="R136" s="34" t="s">
        <v>50</v>
      </c>
      <c r="S136" s="35" t="n">
        <f>15554.09</f>
        <v>15554.09</v>
      </c>
      <c r="T136" s="32" t="n">
        <f>2839</f>
        <v>2839.0</v>
      </c>
      <c r="U136" s="32" t="str">
        <f>"－"</f>
        <v>－</v>
      </c>
      <c r="V136" s="32" t="n">
        <f>44154650</f>
        <v>4.415465E7</v>
      </c>
      <c r="W136" s="32" t="str">
        <f>"－"</f>
        <v>－</v>
      </c>
      <c r="X136" s="36" t="n">
        <f>22</f>
        <v>22.0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39200</f>
        <v>39200.0</v>
      </c>
      <c r="L137" s="34" t="s">
        <v>48</v>
      </c>
      <c r="M137" s="33" t="n">
        <f>41920</f>
        <v>41920.0</v>
      </c>
      <c r="N137" s="34" t="s">
        <v>49</v>
      </c>
      <c r="O137" s="33" t="n">
        <f>38880</f>
        <v>38880.0</v>
      </c>
      <c r="P137" s="34" t="s">
        <v>48</v>
      </c>
      <c r="Q137" s="33" t="n">
        <f>41500</f>
        <v>41500.0</v>
      </c>
      <c r="R137" s="34" t="s">
        <v>50</v>
      </c>
      <c r="S137" s="35" t="n">
        <f>41041.9</f>
        <v>41041.9</v>
      </c>
      <c r="T137" s="32" t="n">
        <f>414</f>
        <v>414.0</v>
      </c>
      <c r="U137" s="32" t="str">
        <f>"－"</f>
        <v>－</v>
      </c>
      <c r="V137" s="32" t="n">
        <f>16772960</f>
        <v>1.677296E7</v>
      </c>
      <c r="W137" s="32" t="str">
        <f>"－"</f>
        <v>－</v>
      </c>
      <c r="X137" s="36" t="n">
        <f>21</f>
        <v>21.0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31100</f>
        <v>31100.0</v>
      </c>
      <c r="L138" s="34" t="s">
        <v>48</v>
      </c>
      <c r="M138" s="33" t="n">
        <f>33160</f>
        <v>33160.0</v>
      </c>
      <c r="N138" s="34" t="s">
        <v>105</v>
      </c>
      <c r="O138" s="33" t="n">
        <f>30110</f>
        <v>30110.0</v>
      </c>
      <c r="P138" s="34" t="s">
        <v>67</v>
      </c>
      <c r="Q138" s="33" t="n">
        <f>32730</f>
        <v>32730.0</v>
      </c>
      <c r="R138" s="34" t="s">
        <v>50</v>
      </c>
      <c r="S138" s="35" t="n">
        <f>32081.36</f>
        <v>32081.36</v>
      </c>
      <c r="T138" s="32" t="n">
        <f>5065</f>
        <v>5065.0</v>
      </c>
      <c r="U138" s="32" t="str">
        <f>"－"</f>
        <v>－</v>
      </c>
      <c r="V138" s="32" t="n">
        <f>161674810</f>
        <v>1.6167481E8</v>
      </c>
      <c r="W138" s="32" t="str">
        <f>"－"</f>
        <v>－</v>
      </c>
      <c r="X138" s="36" t="n">
        <f>22</f>
        <v>22.0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29540</f>
        <v>29540.0</v>
      </c>
      <c r="L139" s="34" t="s">
        <v>48</v>
      </c>
      <c r="M139" s="33" t="n">
        <f>30280</f>
        <v>30280.0</v>
      </c>
      <c r="N139" s="34" t="s">
        <v>75</v>
      </c>
      <c r="O139" s="33" t="n">
        <f>28750</f>
        <v>28750.0</v>
      </c>
      <c r="P139" s="34" t="s">
        <v>97</v>
      </c>
      <c r="Q139" s="33" t="n">
        <f>29435</f>
        <v>29435.0</v>
      </c>
      <c r="R139" s="34" t="s">
        <v>50</v>
      </c>
      <c r="S139" s="35" t="n">
        <f>29424.77</f>
        <v>29424.77</v>
      </c>
      <c r="T139" s="32" t="n">
        <f>1593</f>
        <v>1593.0</v>
      </c>
      <c r="U139" s="32" t="str">
        <f>"－"</f>
        <v>－</v>
      </c>
      <c r="V139" s="32" t="n">
        <f>46766795</f>
        <v>4.6766795E7</v>
      </c>
      <c r="W139" s="32" t="str">
        <f>"－"</f>
        <v>－</v>
      </c>
      <c r="X139" s="36" t="n">
        <f>22</f>
        <v>22.0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5380</f>
        <v>5380.0</v>
      </c>
      <c r="L140" s="34" t="s">
        <v>48</v>
      </c>
      <c r="M140" s="33" t="n">
        <f>5700</f>
        <v>5700.0</v>
      </c>
      <c r="N140" s="34" t="s">
        <v>254</v>
      </c>
      <c r="O140" s="33" t="n">
        <f>5380</f>
        <v>5380.0</v>
      </c>
      <c r="P140" s="34" t="s">
        <v>48</v>
      </c>
      <c r="Q140" s="33" t="n">
        <f>5460</f>
        <v>5460.0</v>
      </c>
      <c r="R140" s="34" t="s">
        <v>50</v>
      </c>
      <c r="S140" s="35" t="n">
        <f>5532.41</f>
        <v>5532.41</v>
      </c>
      <c r="T140" s="32" t="n">
        <f>13347</f>
        <v>13347.0</v>
      </c>
      <c r="U140" s="32" t="n">
        <f>3</f>
        <v>3.0</v>
      </c>
      <c r="V140" s="32" t="n">
        <f>73681608</f>
        <v>7.3681608E7</v>
      </c>
      <c r="W140" s="32" t="n">
        <f>15408</f>
        <v>15408.0</v>
      </c>
      <c r="X140" s="36" t="n">
        <f>22</f>
        <v>22.0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13650</f>
        <v>13650.0</v>
      </c>
      <c r="L141" s="34" t="s">
        <v>48</v>
      </c>
      <c r="M141" s="33" t="n">
        <f>14810</f>
        <v>14810.0</v>
      </c>
      <c r="N141" s="34" t="s">
        <v>75</v>
      </c>
      <c r="O141" s="33" t="n">
        <f>13635</f>
        <v>13635.0</v>
      </c>
      <c r="P141" s="34" t="s">
        <v>48</v>
      </c>
      <c r="Q141" s="33" t="n">
        <f>14450</f>
        <v>14450.0</v>
      </c>
      <c r="R141" s="34" t="s">
        <v>50</v>
      </c>
      <c r="S141" s="35" t="n">
        <f>14367.27</f>
        <v>14367.27</v>
      </c>
      <c r="T141" s="32" t="n">
        <f>18930</f>
        <v>18930.0</v>
      </c>
      <c r="U141" s="32" t="str">
        <f>"－"</f>
        <v>－</v>
      </c>
      <c r="V141" s="32" t="n">
        <f>271267585</f>
        <v>2.71267585E8</v>
      </c>
      <c r="W141" s="32" t="str">
        <f>"－"</f>
        <v>－</v>
      </c>
      <c r="X141" s="36" t="n">
        <f>22</f>
        <v>22.0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39510</f>
        <v>39510.0</v>
      </c>
      <c r="L142" s="34" t="s">
        <v>48</v>
      </c>
      <c r="M142" s="33" t="n">
        <f>42460</f>
        <v>42460.0</v>
      </c>
      <c r="N142" s="34" t="s">
        <v>80</v>
      </c>
      <c r="O142" s="33" t="n">
        <f>39020</f>
        <v>39020.0</v>
      </c>
      <c r="P142" s="34" t="s">
        <v>48</v>
      </c>
      <c r="Q142" s="33" t="n">
        <f>41920</f>
        <v>41920.0</v>
      </c>
      <c r="R142" s="34" t="s">
        <v>50</v>
      </c>
      <c r="S142" s="35" t="n">
        <f>40917.27</f>
        <v>40917.27</v>
      </c>
      <c r="T142" s="32" t="n">
        <f>2181</f>
        <v>2181.0</v>
      </c>
      <c r="U142" s="32" t="str">
        <f>"－"</f>
        <v>－</v>
      </c>
      <c r="V142" s="32" t="n">
        <f>88637340</f>
        <v>8.863734E7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21110</f>
        <v>21110.0</v>
      </c>
      <c r="L143" s="34" t="s">
        <v>48</v>
      </c>
      <c r="M143" s="33" t="n">
        <f>21950</f>
        <v>21950.0</v>
      </c>
      <c r="N143" s="34" t="s">
        <v>75</v>
      </c>
      <c r="O143" s="33" t="n">
        <f>20975</f>
        <v>20975.0</v>
      </c>
      <c r="P143" s="34" t="s">
        <v>67</v>
      </c>
      <c r="Q143" s="33" t="n">
        <f>21315</f>
        <v>21315.0</v>
      </c>
      <c r="R143" s="34" t="s">
        <v>50</v>
      </c>
      <c r="S143" s="35" t="n">
        <f>21429.05</f>
        <v>21429.05</v>
      </c>
      <c r="T143" s="32" t="n">
        <f>363</f>
        <v>363.0</v>
      </c>
      <c r="U143" s="32" t="str">
        <f>"－"</f>
        <v>－</v>
      </c>
      <c r="V143" s="32" t="n">
        <f>7744530</f>
        <v>7744530.0</v>
      </c>
      <c r="W143" s="32" t="str">
        <f>"－"</f>
        <v>－</v>
      </c>
      <c r="X143" s="36" t="n">
        <f>21</f>
        <v>21.0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7530</f>
        <v>7530.0</v>
      </c>
      <c r="L144" s="34" t="s">
        <v>48</v>
      </c>
      <c r="M144" s="33" t="n">
        <f>8069</f>
        <v>8069.0</v>
      </c>
      <c r="N144" s="34" t="s">
        <v>254</v>
      </c>
      <c r="O144" s="33" t="n">
        <f>7530</f>
        <v>7530.0</v>
      </c>
      <c r="P144" s="34" t="s">
        <v>48</v>
      </c>
      <c r="Q144" s="33" t="n">
        <f>7970</f>
        <v>7970.0</v>
      </c>
      <c r="R144" s="34" t="s">
        <v>50</v>
      </c>
      <c r="S144" s="35" t="n">
        <f>7872.05</f>
        <v>7872.05</v>
      </c>
      <c r="T144" s="32" t="n">
        <f>11597</f>
        <v>11597.0</v>
      </c>
      <c r="U144" s="32" t="str">
        <f>"－"</f>
        <v>－</v>
      </c>
      <c r="V144" s="32" t="n">
        <f>91674479</f>
        <v>9.1674479E7</v>
      </c>
      <c r="W144" s="32" t="str">
        <f>"－"</f>
        <v>－</v>
      </c>
      <c r="X144" s="36" t="n">
        <f>22</f>
        <v>22.0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13195</f>
        <v>13195.0</v>
      </c>
      <c r="L145" s="34" t="s">
        <v>48</v>
      </c>
      <c r="M145" s="33" t="n">
        <f>14350</f>
        <v>14350.0</v>
      </c>
      <c r="N145" s="34" t="s">
        <v>49</v>
      </c>
      <c r="O145" s="33" t="n">
        <f>13195</f>
        <v>13195.0</v>
      </c>
      <c r="P145" s="34" t="s">
        <v>48</v>
      </c>
      <c r="Q145" s="33" t="n">
        <f>14010</f>
        <v>14010.0</v>
      </c>
      <c r="R145" s="34" t="s">
        <v>50</v>
      </c>
      <c r="S145" s="35" t="n">
        <f>13776.9</f>
        <v>13776.9</v>
      </c>
      <c r="T145" s="32" t="n">
        <f>2354</f>
        <v>2354.0</v>
      </c>
      <c r="U145" s="32" t="str">
        <f>"－"</f>
        <v>－</v>
      </c>
      <c r="V145" s="32" t="n">
        <f>32534235</f>
        <v>3.2534235E7</v>
      </c>
      <c r="W145" s="32" t="str">
        <f>"－"</f>
        <v>－</v>
      </c>
      <c r="X145" s="36" t="n">
        <f>21</f>
        <v>21.0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27500</f>
        <v>27500.0</v>
      </c>
      <c r="L146" s="34" t="s">
        <v>48</v>
      </c>
      <c r="M146" s="33" t="n">
        <f>28850</f>
        <v>28850.0</v>
      </c>
      <c r="N146" s="34" t="s">
        <v>76</v>
      </c>
      <c r="O146" s="33" t="n">
        <f>26670</f>
        <v>26670.0</v>
      </c>
      <c r="P146" s="34" t="s">
        <v>97</v>
      </c>
      <c r="Q146" s="33" t="n">
        <f>27520</f>
        <v>27520.0</v>
      </c>
      <c r="R146" s="34" t="s">
        <v>50</v>
      </c>
      <c r="S146" s="35" t="n">
        <f>27697.73</f>
        <v>27697.73</v>
      </c>
      <c r="T146" s="32" t="n">
        <f>1146</f>
        <v>1146.0</v>
      </c>
      <c r="U146" s="32" t="str">
        <f>"－"</f>
        <v>－</v>
      </c>
      <c r="V146" s="32" t="n">
        <f>31804385</f>
        <v>3.1804385E7</v>
      </c>
      <c r="W146" s="32" t="str">
        <f>"－"</f>
        <v>－</v>
      </c>
      <c r="X146" s="36" t="n">
        <f>22</f>
        <v>22.0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1069</f>
        <v>1069.0</v>
      </c>
      <c r="L147" s="34" t="s">
        <v>48</v>
      </c>
      <c r="M147" s="33" t="n">
        <f>1119</f>
        <v>1119.0</v>
      </c>
      <c r="N147" s="34" t="s">
        <v>97</v>
      </c>
      <c r="O147" s="33" t="n">
        <f>1048</f>
        <v>1048.0</v>
      </c>
      <c r="P147" s="34" t="s">
        <v>48</v>
      </c>
      <c r="Q147" s="33" t="n">
        <f>1102.5</f>
        <v>1102.5</v>
      </c>
      <c r="R147" s="34" t="s">
        <v>50</v>
      </c>
      <c r="S147" s="35" t="n">
        <f>1087.36</f>
        <v>1087.36</v>
      </c>
      <c r="T147" s="32" t="n">
        <f>146510</f>
        <v>146510.0</v>
      </c>
      <c r="U147" s="32" t="n">
        <f>18940</f>
        <v>18940.0</v>
      </c>
      <c r="V147" s="32" t="n">
        <f>158462785</f>
        <v>1.58462785E8</v>
      </c>
      <c r="W147" s="32" t="n">
        <f>19991170</f>
        <v>1.999117E7</v>
      </c>
      <c r="X147" s="36" t="n">
        <f>22</f>
        <v>22.0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2396</f>
        <v>2396.0</v>
      </c>
      <c r="L148" s="34" t="s">
        <v>48</v>
      </c>
      <c r="M148" s="33" t="n">
        <f>2486.5</f>
        <v>2486.5</v>
      </c>
      <c r="N148" s="34" t="s">
        <v>75</v>
      </c>
      <c r="O148" s="33" t="n">
        <f>2377.5</f>
        <v>2377.5</v>
      </c>
      <c r="P148" s="34" t="s">
        <v>48</v>
      </c>
      <c r="Q148" s="33" t="n">
        <f>2469</f>
        <v>2469.0</v>
      </c>
      <c r="R148" s="34" t="s">
        <v>50</v>
      </c>
      <c r="S148" s="35" t="n">
        <f>2447.83</f>
        <v>2447.83</v>
      </c>
      <c r="T148" s="32" t="n">
        <f>6470</f>
        <v>6470.0</v>
      </c>
      <c r="U148" s="32" t="str">
        <f>"－"</f>
        <v>－</v>
      </c>
      <c r="V148" s="32" t="n">
        <f>15491575</f>
        <v>1.5491575E7</v>
      </c>
      <c r="W148" s="32" t="str">
        <f>"－"</f>
        <v>－</v>
      </c>
      <c r="X148" s="36" t="n">
        <f>12</f>
        <v>12.0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2518.5</f>
        <v>2518.5</v>
      </c>
      <c r="L149" s="34" t="s">
        <v>48</v>
      </c>
      <c r="M149" s="33" t="n">
        <f>2625</f>
        <v>2625.0</v>
      </c>
      <c r="N149" s="34" t="s">
        <v>49</v>
      </c>
      <c r="O149" s="33" t="n">
        <f>2501</f>
        <v>2501.0</v>
      </c>
      <c r="P149" s="34" t="s">
        <v>48</v>
      </c>
      <c r="Q149" s="33" t="n">
        <f>2615.5</f>
        <v>2615.5</v>
      </c>
      <c r="R149" s="34" t="s">
        <v>50</v>
      </c>
      <c r="S149" s="35" t="n">
        <f>2580.57</f>
        <v>2580.57</v>
      </c>
      <c r="T149" s="32" t="n">
        <f>118340</f>
        <v>118340.0</v>
      </c>
      <c r="U149" s="32" t="n">
        <f>52000</f>
        <v>52000.0</v>
      </c>
      <c r="V149" s="32" t="n">
        <f>302472710</f>
        <v>3.0247271E8</v>
      </c>
      <c r="W149" s="32" t="n">
        <f>132036960</f>
        <v>1.3203696E8</v>
      </c>
      <c r="X149" s="36" t="n">
        <f>22</f>
        <v>22.0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1511</f>
        <v>1511.0</v>
      </c>
      <c r="L150" s="34" t="s">
        <v>48</v>
      </c>
      <c r="M150" s="33" t="n">
        <f>1579</f>
        <v>1579.0</v>
      </c>
      <c r="N150" s="34" t="s">
        <v>254</v>
      </c>
      <c r="O150" s="33" t="n">
        <f>1501.5</f>
        <v>1501.5</v>
      </c>
      <c r="P150" s="34" t="s">
        <v>48</v>
      </c>
      <c r="Q150" s="33" t="n">
        <f>1579</f>
        <v>1579.0</v>
      </c>
      <c r="R150" s="34" t="s">
        <v>80</v>
      </c>
      <c r="S150" s="35" t="n">
        <f>1551.88</f>
        <v>1551.88</v>
      </c>
      <c r="T150" s="32" t="n">
        <f>35750</f>
        <v>35750.0</v>
      </c>
      <c r="U150" s="32" t="str">
        <f>"－"</f>
        <v>－</v>
      </c>
      <c r="V150" s="32" t="n">
        <f>55937790</f>
        <v>5.593779E7</v>
      </c>
      <c r="W150" s="32" t="str">
        <f>"－"</f>
        <v>－</v>
      </c>
      <c r="X150" s="36" t="n">
        <f>13</f>
        <v>13.0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3735</f>
        <v>3735.0</v>
      </c>
      <c r="L151" s="34" t="s">
        <v>48</v>
      </c>
      <c r="M151" s="33" t="n">
        <f>3965</f>
        <v>3965.0</v>
      </c>
      <c r="N151" s="34" t="s">
        <v>50</v>
      </c>
      <c r="O151" s="33" t="n">
        <f>3665</f>
        <v>3665.0</v>
      </c>
      <c r="P151" s="34" t="s">
        <v>67</v>
      </c>
      <c r="Q151" s="33" t="n">
        <f>3965</f>
        <v>3965.0</v>
      </c>
      <c r="R151" s="34" t="s">
        <v>50</v>
      </c>
      <c r="S151" s="35" t="n">
        <f>3821.14</f>
        <v>3821.14</v>
      </c>
      <c r="T151" s="32" t="n">
        <f>14616949</f>
        <v>1.4616949E7</v>
      </c>
      <c r="U151" s="32" t="n">
        <f>6578740</f>
        <v>6578740.0</v>
      </c>
      <c r="V151" s="32" t="n">
        <f>56417886752</f>
        <v>5.6417886752E10</v>
      </c>
      <c r="W151" s="32" t="n">
        <f>25782352747</f>
        <v>2.5782352747E10</v>
      </c>
      <c r="X151" s="36" t="n">
        <f>22</f>
        <v>22.0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2694</f>
        <v>2694.0</v>
      </c>
      <c r="L152" s="34" t="s">
        <v>48</v>
      </c>
      <c r="M152" s="33" t="n">
        <f>2736</f>
        <v>2736.0</v>
      </c>
      <c r="N152" s="34" t="s">
        <v>105</v>
      </c>
      <c r="O152" s="33" t="n">
        <f>2689</f>
        <v>2689.0</v>
      </c>
      <c r="P152" s="34" t="s">
        <v>48</v>
      </c>
      <c r="Q152" s="33" t="n">
        <f>2726</f>
        <v>2726.0</v>
      </c>
      <c r="R152" s="34" t="s">
        <v>50</v>
      </c>
      <c r="S152" s="35" t="n">
        <f>2712.5</f>
        <v>2712.5</v>
      </c>
      <c r="T152" s="32" t="n">
        <f>1223782</f>
        <v>1223782.0</v>
      </c>
      <c r="U152" s="32" t="n">
        <f>173690</f>
        <v>173690.0</v>
      </c>
      <c r="V152" s="32" t="n">
        <f>3315276503</f>
        <v>3.315276503E9</v>
      </c>
      <c r="W152" s="32" t="n">
        <f>471752621</f>
        <v>4.71752621E8</v>
      </c>
      <c r="X152" s="36" t="n">
        <f>22</f>
        <v>22.0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3260</f>
        <v>3260.0</v>
      </c>
      <c r="L153" s="34" t="s">
        <v>48</v>
      </c>
      <c r="M153" s="33" t="n">
        <f>3455</f>
        <v>3455.0</v>
      </c>
      <c r="N153" s="34" t="s">
        <v>50</v>
      </c>
      <c r="O153" s="33" t="n">
        <f>3205</f>
        <v>3205.0</v>
      </c>
      <c r="P153" s="34" t="s">
        <v>67</v>
      </c>
      <c r="Q153" s="33" t="n">
        <f>3455</f>
        <v>3455.0</v>
      </c>
      <c r="R153" s="34" t="s">
        <v>50</v>
      </c>
      <c r="S153" s="35" t="n">
        <f>3331.36</f>
        <v>3331.36</v>
      </c>
      <c r="T153" s="32" t="n">
        <f>64602</f>
        <v>64602.0</v>
      </c>
      <c r="U153" s="32" t="n">
        <f>1521</f>
        <v>1521.0</v>
      </c>
      <c r="V153" s="32" t="n">
        <f>214782547</f>
        <v>2.14782547E8</v>
      </c>
      <c r="W153" s="32" t="n">
        <f>5100347</f>
        <v>5100347.0</v>
      </c>
      <c r="X153" s="36" t="n">
        <f>22</f>
        <v>22.0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2291</f>
        <v>2291.0</v>
      </c>
      <c r="L154" s="34" t="s">
        <v>48</v>
      </c>
      <c r="M154" s="33" t="n">
        <f>2372</f>
        <v>2372.0</v>
      </c>
      <c r="N154" s="34" t="s">
        <v>92</v>
      </c>
      <c r="O154" s="33" t="n">
        <f>2237</f>
        <v>2237.0</v>
      </c>
      <c r="P154" s="34" t="s">
        <v>97</v>
      </c>
      <c r="Q154" s="33" t="n">
        <f>2332</f>
        <v>2332.0</v>
      </c>
      <c r="R154" s="34" t="s">
        <v>50</v>
      </c>
      <c r="S154" s="35" t="n">
        <f>2310.45</f>
        <v>2310.45</v>
      </c>
      <c r="T154" s="32" t="n">
        <f>60380</f>
        <v>60380.0</v>
      </c>
      <c r="U154" s="32" t="n">
        <f>4346</f>
        <v>4346.0</v>
      </c>
      <c r="V154" s="32" t="n">
        <f>139186996</f>
        <v>1.39186996E8</v>
      </c>
      <c r="W154" s="32" t="n">
        <f>9997642</f>
        <v>9997642.0</v>
      </c>
      <c r="X154" s="36" t="n">
        <f>22</f>
        <v>22.0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2650</f>
        <v>2650.0</v>
      </c>
      <c r="L155" s="34" t="s">
        <v>48</v>
      </c>
      <c r="M155" s="33" t="n">
        <f>2908</f>
        <v>2908.0</v>
      </c>
      <c r="N155" s="34" t="s">
        <v>50</v>
      </c>
      <c r="O155" s="33" t="n">
        <f>2599</f>
        <v>2599.0</v>
      </c>
      <c r="P155" s="34" t="s">
        <v>67</v>
      </c>
      <c r="Q155" s="33" t="n">
        <f>2902</f>
        <v>2902.0</v>
      </c>
      <c r="R155" s="34" t="s">
        <v>50</v>
      </c>
      <c r="S155" s="35" t="n">
        <f>2765.09</f>
        <v>2765.09</v>
      </c>
      <c r="T155" s="32" t="n">
        <f>510143</f>
        <v>510143.0</v>
      </c>
      <c r="U155" s="32" t="n">
        <f>139364</f>
        <v>139364.0</v>
      </c>
      <c r="V155" s="32" t="n">
        <f>1375577663</f>
        <v>1.375577663E9</v>
      </c>
      <c r="W155" s="32" t="n">
        <f>365622729</f>
        <v>3.65622729E8</v>
      </c>
      <c r="X155" s="36" t="n">
        <f>22</f>
        <v>22.0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11335</f>
        <v>11335.0</v>
      </c>
      <c r="L156" s="34" t="s">
        <v>48</v>
      </c>
      <c r="M156" s="33" t="n">
        <f>11575</f>
        <v>11575.0</v>
      </c>
      <c r="N156" s="34" t="s">
        <v>130</v>
      </c>
      <c r="O156" s="33" t="n">
        <f>11240</f>
        <v>11240.0</v>
      </c>
      <c r="P156" s="34" t="s">
        <v>93</v>
      </c>
      <c r="Q156" s="33" t="n">
        <f>11500</f>
        <v>11500.0</v>
      </c>
      <c r="R156" s="34" t="s">
        <v>50</v>
      </c>
      <c r="S156" s="35" t="n">
        <f>11392.27</f>
        <v>11392.27</v>
      </c>
      <c r="T156" s="32" t="n">
        <f>29893</f>
        <v>29893.0</v>
      </c>
      <c r="U156" s="32" t="n">
        <f>10002</f>
        <v>10002.0</v>
      </c>
      <c r="V156" s="32" t="n">
        <f>339530015</f>
        <v>3.39530015E8</v>
      </c>
      <c r="W156" s="32" t="n">
        <f>113357210</f>
        <v>1.1335721E8</v>
      </c>
      <c r="X156" s="36" t="n">
        <f>22</f>
        <v>22.0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1524</f>
        <v>1524.0</v>
      </c>
      <c r="L157" s="34" t="s">
        <v>48</v>
      </c>
      <c r="M157" s="33" t="n">
        <f>1782</f>
        <v>1782.0</v>
      </c>
      <c r="N157" s="34" t="s">
        <v>50</v>
      </c>
      <c r="O157" s="33" t="n">
        <f>1485</f>
        <v>1485.0</v>
      </c>
      <c r="P157" s="34" t="s">
        <v>67</v>
      </c>
      <c r="Q157" s="33" t="n">
        <f>1775</f>
        <v>1775.0</v>
      </c>
      <c r="R157" s="34" t="s">
        <v>50</v>
      </c>
      <c r="S157" s="35" t="n">
        <f>1635.5</f>
        <v>1635.5</v>
      </c>
      <c r="T157" s="32" t="n">
        <f>20832310</f>
        <v>2.083231E7</v>
      </c>
      <c r="U157" s="32" t="n">
        <f>9739</f>
        <v>9739.0</v>
      </c>
      <c r="V157" s="32" t="n">
        <f>33580535573</f>
        <v>3.3580535573E10</v>
      </c>
      <c r="W157" s="32" t="n">
        <f>17786648</f>
        <v>1.7786648E7</v>
      </c>
      <c r="X157" s="36" t="n">
        <f>22</f>
        <v>22.0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19025</f>
        <v>19025.0</v>
      </c>
      <c r="L158" s="34" t="s">
        <v>48</v>
      </c>
      <c r="M158" s="33" t="n">
        <f>19700</f>
        <v>19700.0</v>
      </c>
      <c r="N158" s="34" t="s">
        <v>105</v>
      </c>
      <c r="O158" s="33" t="n">
        <f>18800</f>
        <v>18800.0</v>
      </c>
      <c r="P158" s="34" t="s">
        <v>81</v>
      </c>
      <c r="Q158" s="33" t="n">
        <f>19500</f>
        <v>19500.0</v>
      </c>
      <c r="R158" s="34" t="s">
        <v>50</v>
      </c>
      <c r="S158" s="35" t="n">
        <f>19202.73</f>
        <v>19202.73</v>
      </c>
      <c r="T158" s="32" t="n">
        <f>1548</f>
        <v>1548.0</v>
      </c>
      <c r="U158" s="32" t="str">
        <f>"－"</f>
        <v>－</v>
      </c>
      <c r="V158" s="32" t="n">
        <f>29654945</f>
        <v>2.9654945E7</v>
      </c>
      <c r="W158" s="32" t="str">
        <f>"－"</f>
        <v>－</v>
      </c>
      <c r="X158" s="36" t="n">
        <f>22</f>
        <v>22.0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2391</f>
        <v>2391.0</v>
      </c>
      <c r="L159" s="34" t="s">
        <v>48</v>
      </c>
      <c r="M159" s="33" t="n">
        <f>2479.5</f>
        <v>2479.5</v>
      </c>
      <c r="N159" s="34" t="s">
        <v>80</v>
      </c>
      <c r="O159" s="33" t="n">
        <f>2310</f>
        <v>2310.0</v>
      </c>
      <c r="P159" s="34" t="s">
        <v>130</v>
      </c>
      <c r="Q159" s="33" t="n">
        <f>2422</f>
        <v>2422.0</v>
      </c>
      <c r="R159" s="34" t="s">
        <v>50</v>
      </c>
      <c r="S159" s="35" t="n">
        <f>2381.43</f>
        <v>2381.43</v>
      </c>
      <c r="T159" s="32" t="n">
        <f>19910</f>
        <v>19910.0</v>
      </c>
      <c r="U159" s="32" t="str">
        <f>"－"</f>
        <v>－</v>
      </c>
      <c r="V159" s="32" t="n">
        <f>47736210</f>
        <v>4.773621E7</v>
      </c>
      <c r="W159" s="32" t="str">
        <f>"－"</f>
        <v>－</v>
      </c>
      <c r="X159" s="36" t="n">
        <f>22</f>
        <v>22.0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10070</f>
        <v>10070.0</v>
      </c>
      <c r="L160" s="34" t="s">
        <v>48</v>
      </c>
      <c r="M160" s="33" t="n">
        <f>10650</f>
        <v>10650.0</v>
      </c>
      <c r="N160" s="34" t="s">
        <v>101</v>
      </c>
      <c r="O160" s="33" t="n">
        <f>9631</f>
        <v>9631.0</v>
      </c>
      <c r="P160" s="34" t="s">
        <v>322</v>
      </c>
      <c r="Q160" s="33" t="n">
        <f>10295</f>
        <v>10295.0</v>
      </c>
      <c r="R160" s="34" t="s">
        <v>50</v>
      </c>
      <c r="S160" s="35" t="n">
        <f>10087.36</f>
        <v>10087.36</v>
      </c>
      <c r="T160" s="32" t="n">
        <f>4283</f>
        <v>4283.0</v>
      </c>
      <c r="U160" s="32" t="str">
        <f>"－"</f>
        <v>－</v>
      </c>
      <c r="V160" s="32" t="n">
        <f>43315948</f>
        <v>4.3315948E7</v>
      </c>
      <c r="W160" s="32" t="str">
        <f>"－"</f>
        <v>－</v>
      </c>
      <c r="X160" s="36" t="n">
        <f>22</f>
        <v>22.0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18545</f>
        <v>18545.0</v>
      </c>
      <c r="L161" s="34" t="s">
        <v>48</v>
      </c>
      <c r="M161" s="33" t="n">
        <f>21265</f>
        <v>21265.0</v>
      </c>
      <c r="N161" s="34" t="s">
        <v>80</v>
      </c>
      <c r="O161" s="33" t="n">
        <f>17115</f>
        <v>17115.0</v>
      </c>
      <c r="P161" s="34" t="s">
        <v>322</v>
      </c>
      <c r="Q161" s="33" t="n">
        <f>21005</f>
        <v>21005.0</v>
      </c>
      <c r="R161" s="34" t="s">
        <v>50</v>
      </c>
      <c r="S161" s="35" t="n">
        <f>19246.36</f>
        <v>19246.36</v>
      </c>
      <c r="T161" s="32" t="n">
        <f>2715</f>
        <v>2715.0</v>
      </c>
      <c r="U161" s="32" t="str">
        <f>"－"</f>
        <v>－</v>
      </c>
      <c r="V161" s="32" t="n">
        <f>51950585</f>
        <v>5.1950585E7</v>
      </c>
      <c r="W161" s="32" t="str">
        <f>"－"</f>
        <v>－</v>
      </c>
      <c r="X161" s="36" t="n">
        <f>22</f>
        <v>22.0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15605</f>
        <v>15605.0</v>
      </c>
      <c r="L162" s="34" t="s">
        <v>48</v>
      </c>
      <c r="M162" s="33" t="n">
        <f>15780</f>
        <v>15780.0</v>
      </c>
      <c r="N162" s="34" t="s">
        <v>80</v>
      </c>
      <c r="O162" s="33" t="n">
        <f>14560</f>
        <v>14560.0</v>
      </c>
      <c r="P162" s="34" t="s">
        <v>254</v>
      </c>
      <c r="Q162" s="33" t="n">
        <f>15780</f>
        <v>15780.0</v>
      </c>
      <c r="R162" s="34" t="s">
        <v>80</v>
      </c>
      <c r="S162" s="35" t="n">
        <f>15271.67</f>
        <v>15271.67</v>
      </c>
      <c r="T162" s="32" t="n">
        <f>135</f>
        <v>135.0</v>
      </c>
      <c r="U162" s="32" t="str">
        <f>"－"</f>
        <v>－</v>
      </c>
      <c r="V162" s="32" t="n">
        <f>2071240</f>
        <v>2071240.0</v>
      </c>
      <c r="W162" s="32" t="str">
        <f>"－"</f>
        <v>－</v>
      </c>
      <c r="X162" s="36" t="n">
        <f>6</f>
        <v>6.0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51800</f>
        <v>51800.0</v>
      </c>
      <c r="L163" s="34" t="s">
        <v>48</v>
      </c>
      <c r="M163" s="33" t="n">
        <f>52300</f>
        <v>52300.0</v>
      </c>
      <c r="N163" s="34" t="s">
        <v>105</v>
      </c>
      <c r="O163" s="33" t="n">
        <f>51700</f>
        <v>51700.0</v>
      </c>
      <c r="P163" s="34" t="s">
        <v>93</v>
      </c>
      <c r="Q163" s="33" t="n">
        <f>52120</f>
        <v>52120.0</v>
      </c>
      <c r="R163" s="34" t="s">
        <v>50</v>
      </c>
      <c r="S163" s="35" t="n">
        <f>51943.18</f>
        <v>51943.18</v>
      </c>
      <c r="T163" s="32" t="n">
        <f>8570</f>
        <v>8570.0</v>
      </c>
      <c r="U163" s="32" t="n">
        <f>110</f>
        <v>110.0</v>
      </c>
      <c r="V163" s="32" t="n">
        <f>444997700</f>
        <v>4.449977E8</v>
      </c>
      <c r="W163" s="32" t="n">
        <f>5711300</f>
        <v>5711300.0</v>
      </c>
      <c r="X163" s="36" t="n">
        <f>22</f>
        <v>22.0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100.0</v>
      </c>
      <c r="K164" s="33" t="n">
        <f>229.4</f>
        <v>229.4</v>
      </c>
      <c r="L164" s="34" t="s">
        <v>48</v>
      </c>
      <c r="M164" s="33" t="n">
        <f>236.9</f>
        <v>236.9</v>
      </c>
      <c r="N164" s="34" t="s">
        <v>50</v>
      </c>
      <c r="O164" s="33" t="n">
        <f>219.1</f>
        <v>219.1</v>
      </c>
      <c r="P164" s="34" t="s">
        <v>97</v>
      </c>
      <c r="Q164" s="33" t="n">
        <f>236.9</f>
        <v>236.9</v>
      </c>
      <c r="R164" s="34" t="s">
        <v>50</v>
      </c>
      <c r="S164" s="35" t="n">
        <f>230.65</f>
        <v>230.65</v>
      </c>
      <c r="T164" s="32" t="n">
        <f>20199100</f>
        <v>2.01991E7</v>
      </c>
      <c r="U164" s="32" t="n">
        <f>900000</f>
        <v>900000.0</v>
      </c>
      <c r="V164" s="32" t="n">
        <f>4641695360</f>
        <v>4.64169536E9</v>
      </c>
      <c r="W164" s="32" t="n">
        <f>211365000</f>
        <v>2.11365E8</v>
      </c>
      <c r="X164" s="36" t="n">
        <f>22</f>
        <v>22.0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34500</f>
        <v>34500.0</v>
      </c>
      <c r="L165" s="34" t="s">
        <v>48</v>
      </c>
      <c r="M165" s="33" t="n">
        <f>36310</f>
        <v>36310.0</v>
      </c>
      <c r="N165" s="34" t="s">
        <v>50</v>
      </c>
      <c r="O165" s="33" t="n">
        <f>33700</f>
        <v>33700.0</v>
      </c>
      <c r="P165" s="34" t="s">
        <v>81</v>
      </c>
      <c r="Q165" s="33" t="n">
        <f>36200</f>
        <v>36200.0</v>
      </c>
      <c r="R165" s="34" t="s">
        <v>50</v>
      </c>
      <c r="S165" s="35" t="n">
        <f>35076.36</f>
        <v>35076.36</v>
      </c>
      <c r="T165" s="32" t="n">
        <f>21040</f>
        <v>21040.0</v>
      </c>
      <c r="U165" s="32" t="n">
        <f>20</f>
        <v>20.0</v>
      </c>
      <c r="V165" s="32" t="n">
        <f>730185800</f>
        <v>7.301858E8</v>
      </c>
      <c r="W165" s="32" t="n">
        <f>705800</f>
        <v>705800.0</v>
      </c>
      <c r="X165" s="36" t="n">
        <f>22</f>
        <v>22.0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3755</f>
        <v>3755.0</v>
      </c>
      <c r="L166" s="34" t="s">
        <v>48</v>
      </c>
      <c r="M166" s="33" t="n">
        <f>3980</f>
        <v>3980.0</v>
      </c>
      <c r="N166" s="34" t="s">
        <v>50</v>
      </c>
      <c r="O166" s="33" t="n">
        <f>3695</f>
        <v>3695.0</v>
      </c>
      <c r="P166" s="34" t="s">
        <v>67</v>
      </c>
      <c r="Q166" s="33" t="n">
        <f>3979</f>
        <v>3979.0</v>
      </c>
      <c r="R166" s="34" t="s">
        <v>50</v>
      </c>
      <c r="S166" s="35" t="n">
        <f>3839</f>
        <v>3839.0</v>
      </c>
      <c r="T166" s="32" t="n">
        <f>142750</f>
        <v>142750.0</v>
      </c>
      <c r="U166" s="32" t="n">
        <f>10</f>
        <v>10.0</v>
      </c>
      <c r="V166" s="32" t="n">
        <f>545733450</f>
        <v>5.4573345E8</v>
      </c>
      <c r="W166" s="32" t="n">
        <f>39760</f>
        <v>39760.0</v>
      </c>
      <c r="X166" s="36" t="n">
        <f>22</f>
        <v>22.0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1750.5</f>
        <v>1750.5</v>
      </c>
      <c r="L167" s="34" t="s">
        <v>48</v>
      </c>
      <c r="M167" s="33" t="n">
        <f>1813.5</f>
        <v>1813.5</v>
      </c>
      <c r="N167" s="34" t="s">
        <v>92</v>
      </c>
      <c r="O167" s="33" t="n">
        <f>1716</f>
        <v>1716.0</v>
      </c>
      <c r="P167" s="34" t="s">
        <v>71</v>
      </c>
      <c r="Q167" s="33" t="n">
        <f>1777</f>
        <v>1777.0</v>
      </c>
      <c r="R167" s="34" t="s">
        <v>50</v>
      </c>
      <c r="S167" s="35" t="n">
        <f>1770.34</f>
        <v>1770.34</v>
      </c>
      <c r="T167" s="32" t="n">
        <f>301090</f>
        <v>301090.0</v>
      </c>
      <c r="U167" s="32" t="n">
        <f>20</f>
        <v>20.0</v>
      </c>
      <c r="V167" s="32" t="n">
        <f>536916925</f>
        <v>5.36916925E8</v>
      </c>
      <c r="W167" s="32" t="n">
        <f>35315</f>
        <v>35315.0</v>
      </c>
      <c r="X167" s="36" t="n">
        <f>22</f>
        <v>22.0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100.0</v>
      </c>
      <c r="K168" s="33" t="n">
        <f>181.2</f>
        <v>181.2</v>
      </c>
      <c r="L168" s="34" t="s">
        <v>48</v>
      </c>
      <c r="M168" s="33" t="n">
        <f>190.9</f>
        <v>190.9</v>
      </c>
      <c r="N168" s="34" t="s">
        <v>101</v>
      </c>
      <c r="O168" s="33" t="n">
        <f>181.1</f>
        <v>181.1</v>
      </c>
      <c r="P168" s="34" t="s">
        <v>49</v>
      </c>
      <c r="Q168" s="33" t="n">
        <f>187.9</f>
        <v>187.9</v>
      </c>
      <c r="R168" s="34" t="s">
        <v>50</v>
      </c>
      <c r="S168" s="35" t="n">
        <f>185.44</f>
        <v>185.44</v>
      </c>
      <c r="T168" s="32" t="n">
        <f>184400</f>
        <v>184400.0</v>
      </c>
      <c r="U168" s="32" t="str">
        <f>"－"</f>
        <v>－</v>
      </c>
      <c r="V168" s="32" t="n">
        <f>34194990</f>
        <v>3.419499E7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1137</f>
        <v>1137.0</v>
      </c>
      <c r="L169" s="34" t="s">
        <v>48</v>
      </c>
      <c r="M169" s="33" t="n">
        <f>1159.5</f>
        <v>1159.5</v>
      </c>
      <c r="N169" s="34" t="s">
        <v>92</v>
      </c>
      <c r="O169" s="33" t="n">
        <f>1093</f>
        <v>1093.0</v>
      </c>
      <c r="P169" s="34" t="s">
        <v>97</v>
      </c>
      <c r="Q169" s="33" t="n">
        <f>1142</f>
        <v>1142.0</v>
      </c>
      <c r="R169" s="34" t="s">
        <v>279</v>
      </c>
      <c r="S169" s="35" t="n">
        <f>1135</f>
        <v>1135.0</v>
      </c>
      <c r="T169" s="32" t="n">
        <f>1330</f>
        <v>1330.0</v>
      </c>
      <c r="U169" s="32" t="str">
        <f>"－"</f>
        <v>－</v>
      </c>
      <c r="V169" s="32" t="n">
        <f>1508350</f>
        <v>1508350.0</v>
      </c>
      <c r="W169" s="32" t="str">
        <f>"－"</f>
        <v>－</v>
      </c>
      <c r="X169" s="36" t="n">
        <f>16</f>
        <v>16.0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357.1</f>
        <v>357.1</v>
      </c>
      <c r="L170" s="34" t="s">
        <v>48</v>
      </c>
      <c r="M170" s="33" t="n">
        <f>394</f>
        <v>394.0</v>
      </c>
      <c r="N170" s="34" t="s">
        <v>50</v>
      </c>
      <c r="O170" s="33" t="n">
        <f>344.6</f>
        <v>344.6</v>
      </c>
      <c r="P170" s="34" t="s">
        <v>88</v>
      </c>
      <c r="Q170" s="33" t="n">
        <f>386.2</f>
        <v>386.2</v>
      </c>
      <c r="R170" s="34" t="s">
        <v>50</v>
      </c>
      <c r="S170" s="35" t="n">
        <f>365.09</f>
        <v>365.09</v>
      </c>
      <c r="T170" s="32" t="n">
        <f>31550</f>
        <v>31550.0</v>
      </c>
      <c r="U170" s="32" t="str">
        <f>"－"</f>
        <v>－</v>
      </c>
      <c r="V170" s="32" t="n">
        <f>11563071</f>
        <v>1.1563071E7</v>
      </c>
      <c r="W170" s="32" t="str">
        <f>"－"</f>
        <v>－</v>
      </c>
      <c r="X170" s="36" t="n">
        <f>22</f>
        <v>22.0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1820</f>
        <v>1820.0</v>
      </c>
      <c r="L171" s="34" t="s">
        <v>48</v>
      </c>
      <c r="M171" s="33" t="n">
        <f>1945</f>
        <v>1945.0</v>
      </c>
      <c r="N171" s="34" t="s">
        <v>101</v>
      </c>
      <c r="O171" s="33" t="n">
        <f>1764</f>
        <v>1764.0</v>
      </c>
      <c r="P171" s="34" t="s">
        <v>60</v>
      </c>
      <c r="Q171" s="33" t="n">
        <f>1930</f>
        <v>1930.0</v>
      </c>
      <c r="R171" s="34" t="s">
        <v>50</v>
      </c>
      <c r="S171" s="35" t="n">
        <f>1846.32</f>
        <v>1846.32</v>
      </c>
      <c r="T171" s="32" t="n">
        <f>4800</f>
        <v>4800.0</v>
      </c>
      <c r="U171" s="32" t="str">
        <f>"－"</f>
        <v>－</v>
      </c>
      <c r="V171" s="32" t="n">
        <f>8808885</f>
        <v>8808885.0</v>
      </c>
      <c r="W171" s="32" t="str">
        <f>"－"</f>
        <v>－</v>
      </c>
      <c r="X171" s="36" t="n">
        <f>22</f>
        <v>22.0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643.4</f>
        <v>643.4</v>
      </c>
      <c r="L172" s="34" t="s">
        <v>48</v>
      </c>
      <c r="M172" s="33" t="n">
        <f>700</f>
        <v>700.0</v>
      </c>
      <c r="N172" s="34" t="s">
        <v>50</v>
      </c>
      <c r="O172" s="33" t="n">
        <f>640.8</f>
        <v>640.8</v>
      </c>
      <c r="P172" s="34" t="s">
        <v>67</v>
      </c>
      <c r="Q172" s="33" t="n">
        <f>694</f>
        <v>694.0</v>
      </c>
      <c r="R172" s="34" t="s">
        <v>50</v>
      </c>
      <c r="S172" s="35" t="n">
        <f>667.04</f>
        <v>667.04</v>
      </c>
      <c r="T172" s="32" t="n">
        <f>52770</f>
        <v>52770.0</v>
      </c>
      <c r="U172" s="32" t="str">
        <f>"－"</f>
        <v>－</v>
      </c>
      <c r="V172" s="32" t="n">
        <f>35238895</f>
        <v>3.5238895E7</v>
      </c>
      <c r="W172" s="32" t="str">
        <f>"－"</f>
        <v>－</v>
      </c>
      <c r="X172" s="36" t="n">
        <f>22</f>
        <v>22.0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465</f>
        <v>465.0</v>
      </c>
      <c r="L173" s="34" t="s">
        <v>48</v>
      </c>
      <c r="M173" s="33" t="n">
        <f>510</f>
        <v>510.0</v>
      </c>
      <c r="N173" s="34" t="s">
        <v>50</v>
      </c>
      <c r="O173" s="33" t="n">
        <f>455.7</f>
        <v>455.7</v>
      </c>
      <c r="P173" s="34" t="s">
        <v>48</v>
      </c>
      <c r="Q173" s="33" t="n">
        <f>510</f>
        <v>510.0</v>
      </c>
      <c r="R173" s="34" t="s">
        <v>50</v>
      </c>
      <c r="S173" s="35" t="n">
        <f>477.43</f>
        <v>477.43</v>
      </c>
      <c r="T173" s="32" t="n">
        <f>130450</f>
        <v>130450.0</v>
      </c>
      <c r="U173" s="32" t="str">
        <f>"－"</f>
        <v>－</v>
      </c>
      <c r="V173" s="32" t="n">
        <f>62850839</f>
        <v>6.2850839E7</v>
      </c>
      <c r="W173" s="32" t="str">
        <f>"－"</f>
        <v>－</v>
      </c>
      <c r="X173" s="36" t="n">
        <f>22</f>
        <v>22.0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2.1</f>
        <v>2.1</v>
      </c>
      <c r="L174" s="34" t="s">
        <v>48</v>
      </c>
      <c r="M174" s="33" t="n">
        <f>2.2</f>
        <v>2.2</v>
      </c>
      <c r="N174" s="34" t="s">
        <v>48</v>
      </c>
      <c r="O174" s="33" t="n">
        <f>1.7</f>
        <v>1.7</v>
      </c>
      <c r="P174" s="34" t="s">
        <v>88</v>
      </c>
      <c r="Q174" s="33" t="n">
        <f>1.8</f>
        <v>1.8</v>
      </c>
      <c r="R174" s="34" t="s">
        <v>50</v>
      </c>
      <c r="S174" s="35" t="n">
        <f>1.79</f>
        <v>1.79</v>
      </c>
      <c r="T174" s="32" t="n">
        <f>606011000</f>
        <v>6.06011E8</v>
      </c>
      <c r="U174" s="32" t="n">
        <f>263700</f>
        <v>263700.0</v>
      </c>
      <c r="V174" s="32" t="n">
        <f>1105127230</f>
        <v>1.10512723E9</v>
      </c>
      <c r="W174" s="32" t="n">
        <f>471280</f>
        <v>471280.0</v>
      </c>
      <c r="X174" s="36" t="n">
        <f>22</f>
        <v>22.0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719.6</f>
        <v>719.6</v>
      </c>
      <c r="L175" s="34" t="s">
        <v>48</v>
      </c>
      <c r="M175" s="33" t="n">
        <f>839.8</f>
        <v>839.8</v>
      </c>
      <c r="N175" s="34" t="s">
        <v>50</v>
      </c>
      <c r="O175" s="33" t="n">
        <f>702.6</f>
        <v>702.6</v>
      </c>
      <c r="P175" s="34" t="s">
        <v>67</v>
      </c>
      <c r="Q175" s="33" t="n">
        <f>837.5</f>
        <v>837.5</v>
      </c>
      <c r="R175" s="34" t="s">
        <v>50</v>
      </c>
      <c r="S175" s="35" t="n">
        <f>772.38</f>
        <v>772.38</v>
      </c>
      <c r="T175" s="32" t="n">
        <f>379330</f>
        <v>379330.0</v>
      </c>
      <c r="U175" s="32" t="str">
        <f>"－"</f>
        <v>－</v>
      </c>
      <c r="V175" s="32" t="n">
        <f>293481915</f>
        <v>2.93481915E8</v>
      </c>
      <c r="W175" s="32" t="str">
        <f>"－"</f>
        <v>－</v>
      </c>
      <c r="X175" s="36" t="n">
        <f>22</f>
        <v>22.0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1.0</v>
      </c>
      <c r="K176" s="33" t="n">
        <f>3195</f>
        <v>3195.0</v>
      </c>
      <c r="L176" s="34" t="s">
        <v>48</v>
      </c>
      <c r="M176" s="33" t="n">
        <f>3750</f>
        <v>3750.0</v>
      </c>
      <c r="N176" s="34" t="s">
        <v>101</v>
      </c>
      <c r="O176" s="33" t="n">
        <f>3185</f>
        <v>3185.0</v>
      </c>
      <c r="P176" s="34" t="s">
        <v>48</v>
      </c>
      <c r="Q176" s="33" t="n">
        <f>3710</f>
        <v>3710.0</v>
      </c>
      <c r="R176" s="34" t="s">
        <v>50</v>
      </c>
      <c r="S176" s="35" t="n">
        <f>3456.67</f>
        <v>3456.67</v>
      </c>
      <c r="T176" s="32" t="n">
        <f>1621</f>
        <v>1621.0</v>
      </c>
      <c r="U176" s="32" t="str">
        <f>"－"</f>
        <v>－</v>
      </c>
      <c r="V176" s="32" t="n">
        <f>5585900</f>
        <v>5585900.0</v>
      </c>
      <c r="W176" s="32" t="str">
        <f>"－"</f>
        <v>－</v>
      </c>
      <c r="X176" s="36" t="n">
        <f>21</f>
        <v>21.0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413.8</f>
        <v>413.8</v>
      </c>
      <c r="L177" s="34" t="s">
        <v>48</v>
      </c>
      <c r="M177" s="33" t="n">
        <f>455.8</f>
        <v>455.8</v>
      </c>
      <c r="N177" s="34" t="s">
        <v>101</v>
      </c>
      <c r="O177" s="33" t="n">
        <f>408.8</f>
        <v>408.8</v>
      </c>
      <c r="P177" s="34" t="s">
        <v>81</v>
      </c>
      <c r="Q177" s="33" t="n">
        <f>452.2</f>
        <v>452.2</v>
      </c>
      <c r="R177" s="34" t="s">
        <v>50</v>
      </c>
      <c r="S177" s="35" t="n">
        <f>428.1</f>
        <v>428.1</v>
      </c>
      <c r="T177" s="32" t="n">
        <f>110700</f>
        <v>110700.0</v>
      </c>
      <c r="U177" s="32" t="str">
        <f>"－"</f>
        <v>－</v>
      </c>
      <c r="V177" s="32" t="n">
        <f>48100350</f>
        <v>4.810035E7</v>
      </c>
      <c r="W177" s="32" t="str">
        <f>"－"</f>
        <v>－</v>
      </c>
      <c r="X177" s="36" t="n">
        <f>22</f>
        <v>22.0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4350</f>
        <v>4350.0</v>
      </c>
      <c r="L178" s="34" t="s">
        <v>48</v>
      </c>
      <c r="M178" s="33" t="n">
        <f>4524</f>
        <v>4524.0</v>
      </c>
      <c r="N178" s="34" t="s">
        <v>50</v>
      </c>
      <c r="O178" s="33" t="n">
        <f>4251</f>
        <v>4251.0</v>
      </c>
      <c r="P178" s="34" t="s">
        <v>67</v>
      </c>
      <c r="Q178" s="33" t="n">
        <f>4463</f>
        <v>4463.0</v>
      </c>
      <c r="R178" s="34" t="s">
        <v>50</v>
      </c>
      <c r="S178" s="35" t="n">
        <f>4367.36</f>
        <v>4367.36</v>
      </c>
      <c r="T178" s="32" t="n">
        <f>13210</f>
        <v>13210.0</v>
      </c>
      <c r="U178" s="32" t="str">
        <f>"－"</f>
        <v>－</v>
      </c>
      <c r="V178" s="32" t="n">
        <f>57587350</f>
        <v>5.758735E7</v>
      </c>
      <c r="W178" s="32" t="str">
        <f>"－"</f>
        <v>－</v>
      </c>
      <c r="X178" s="36" t="n">
        <f>22</f>
        <v>22.0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2108.5</f>
        <v>2108.5</v>
      </c>
      <c r="L179" s="34" t="s">
        <v>48</v>
      </c>
      <c r="M179" s="33" t="n">
        <f>2190</f>
        <v>2190.0</v>
      </c>
      <c r="N179" s="34" t="s">
        <v>50</v>
      </c>
      <c r="O179" s="33" t="n">
        <f>2032</f>
        <v>2032.0</v>
      </c>
      <c r="P179" s="34" t="s">
        <v>49</v>
      </c>
      <c r="Q179" s="33" t="n">
        <f>2187</f>
        <v>2187.0</v>
      </c>
      <c r="R179" s="34" t="s">
        <v>50</v>
      </c>
      <c r="S179" s="35" t="n">
        <f>2110.05</f>
        <v>2110.05</v>
      </c>
      <c r="T179" s="32" t="n">
        <f>23860</f>
        <v>23860.0</v>
      </c>
      <c r="U179" s="32" t="str">
        <f>"－"</f>
        <v>－</v>
      </c>
      <c r="V179" s="32" t="n">
        <f>50523165</f>
        <v>5.0523165E7</v>
      </c>
      <c r="W179" s="32" t="str">
        <f>"－"</f>
        <v>－</v>
      </c>
      <c r="X179" s="36" t="n">
        <f>22</f>
        <v>22.0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95.8</f>
        <v>95.8</v>
      </c>
      <c r="L180" s="34" t="s">
        <v>48</v>
      </c>
      <c r="M180" s="33" t="n">
        <f>100</f>
        <v>100.0</v>
      </c>
      <c r="N180" s="34" t="s">
        <v>101</v>
      </c>
      <c r="O180" s="33" t="n">
        <f>91.2</f>
        <v>91.2</v>
      </c>
      <c r="P180" s="34" t="s">
        <v>49</v>
      </c>
      <c r="Q180" s="33" t="n">
        <f>96</f>
        <v>96.0</v>
      </c>
      <c r="R180" s="34" t="s">
        <v>50</v>
      </c>
      <c r="S180" s="35" t="n">
        <f>95.65</f>
        <v>95.65</v>
      </c>
      <c r="T180" s="32" t="n">
        <f>1966800</f>
        <v>1966800.0</v>
      </c>
      <c r="U180" s="32" t="str">
        <f>"－"</f>
        <v>－</v>
      </c>
      <c r="V180" s="32" t="n">
        <f>187311280</f>
        <v>1.8731128E8</v>
      </c>
      <c r="W180" s="32" t="str">
        <f>"－"</f>
        <v>－</v>
      </c>
      <c r="X180" s="36" t="n">
        <f>22</f>
        <v>22.0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100.0</v>
      </c>
      <c r="K181" s="33" t="n">
        <f>122.5</f>
        <v>122.5</v>
      </c>
      <c r="L181" s="34" t="s">
        <v>48</v>
      </c>
      <c r="M181" s="33" t="n">
        <f>133.2</f>
        <v>133.2</v>
      </c>
      <c r="N181" s="34" t="s">
        <v>105</v>
      </c>
      <c r="O181" s="33" t="n">
        <f>120.2</f>
        <v>120.2</v>
      </c>
      <c r="P181" s="34" t="s">
        <v>48</v>
      </c>
      <c r="Q181" s="33" t="n">
        <f>130.7</f>
        <v>130.7</v>
      </c>
      <c r="R181" s="34" t="s">
        <v>50</v>
      </c>
      <c r="S181" s="35" t="n">
        <f>126.24</f>
        <v>126.24</v>
      </c>
      <c r="T181" s="32" t="n">
        <f>1086900</f>
        <v>1086900.0</v>
      </c>
      <c r="U181" s="32" t="str">
        <f>"－"</f>
        <v>－</v>
      </c>
      <c r="V181" s="32" t="n">
        <f>137155040</f>
        <v>1.3715504E8</v>
      </c>
      <c r="W181" s="32" t="str">
        <f>"－"</f>
        <v>－</v>
      </c>
      <c r="X181" s="36" t="n">
        <f>22</f>
        <v>22.0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2520</f>
        <v>2520.0</v>
      </c>
      <c r="L182" s="34" t="s">
        <v>48</v>
      </c>
      <c r="M182" s="33" t="n">
        <f>2900</f>
        <v>2900.0</v>
      </c>
      <c r="N182" s="34" t="s">
        <v>93</v>
      </c>
      <c r="O182" s="33" t="n">
        <f>2500.5</f>
        <v>2500.5</v>
      </c>
      <c r="P182" s="34" t="s">
        <v>48</v>
      </c>
      <c r="Q182" s="33" t="n">
        <f>2842.5</f>
        <v>2842.5</v>
      </c>
      <c r="R182" s="34" t="s">
        <v>50</v>
      </c>
      <c r="S182" s="35" t="n">
        <f>2680.41</f>
        <v>2680.41</v>
      </c>
      <c r="T182" s="32" t="n">
        <f>44870</f>
        <v>44870.0</v>
      </c>
      <c r="U182" s="32" t="str">
        <f>"－"</f>
        <v>－</v>
      </c>
      <c r="V182" s="32" t="n">
        <f>122025760</f>
        <v>1.2202576E8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1776.5</f>
        <v>1776.5</v>
      </c>
      <c r="L183" s="34" t="s">
        <v>48</v>
      </c>
      <c r="M183" s="33" t="n">
        <f>1882.5</f>
        <v>1882.5</v>
      </c>
      <c r="N183" s="34" t="s">
        <v>80</v>
      </c>
      <c r="O183" s="33" t="n">
        <f>1760</f>
        <v>1760.0</v>
      </c>
      <c r="P183" s="34" t="s">
        <v>67</v>
      </c>
      <c r="Q183" s="33" t="n">
        <f>1868.5</f>
        <v>1868.5</v>
      </c>
      <c r="R183" s="34" t="s">
        <v>50</v>
      </c>
      <c r="S183" s="35" t="n">
        <f>1844.75</f>
        <v>1844.75</v>
      </c>
      <c r="T183" s="32" t="n">
        <f>30440</f>
        <v>30440.0</v>
      </c>
      <c r="U183" s="32" t="str">
        <f>"－"</f>
        <v>－</v>
      </c>
      <c r="V183" s="32" t="n">
        <f>55866170</f>
        <v>5.586617E7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191.4</f>
        <v>191.4</v>
      </c>
      <c r="L184" s="34" t="s">
        <v>48</v>
      </c>
      <c r="M184" s="33" t="n">
        <f>224</f>
        <v>224.0</v>
      </c>
      <c r="N184" s="34" t="s">
        <v>50</v>
      </c>
      <c r="O184" s="33" t="n">
        <f>186.9</f>
        <v>186.9</v>
      </c>
      <c r="P184" s="34" t="s">
        <v>67</v>
      </c>
      <c r="Q184" s="33" t="n">
        <f>223.1</f>
        <v>223.1</v>
      </c>
      <c r="R184" s="34" t="s">
        <v>50</v>
      </c>
      <c r="S184" s="35" t="n">
        <f>205.75</f>
        <v>205.75</v>
      </c>
      <c r="T184" s="32" t="n">
        <f>78050450</f>
        <v>7.805045E7</v>
      </c>
      <c r="U184" s="32" t="n">
        <f>3651530</f>
        <v>3651530.0</v>
      </c>
      <c r="V184" s="32" t="n">
        <f>16023882731</f>
        <v>1.6023882731E10</v>
      </c>
      <c r="W184" s="32" t="n">
        <f>802211657</f>
        <v>8.02211657E8</v>
      </c>
      <c r="X184" s="36" t="n">
        <f>22</f>
        <v>22.0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603</v>
      </c>
      <c r="J185" s="32" t="n">
        <v>1.0</v>
      </c>
      <c r="K185" s="33" t="n">
        <f>7882</f>
        <v>7882.0</v>
      </c>
      <c r="L185" s="34" t="s">
        <v>48</v>
      </c>
      <c r="M185" s="33" t="n">
        <f>8607</f>
        <v>8607.0</v>
      </c>
      <c r="N185" s="34" t="s">
        <v>92</v>
      </c>
      <c r="O185" s="33" t="n">
        <f>7441</f>
        <v>7441.0</v>
      </c>
      <c r="P185" s="34" t="s">
        <v>97</v>
      </c>
      <c r="Q185" s="33" t="n">
        <f>7810</f>
        <v>7810.0</v>
      </c>
      <c r="R185" s="34" t="s">
        <v>50</v>
      </c>
      <c r="S185" s="35" t="n">
        <f>7986.82</f>
        <v>7986.82</v>
      </c>
      <c r="T185" s="32" t="n">
        <f>15236</f>
        <v>15236.0</v>
      </c>
      <c r="U185" s="32" t="str">
        <f>"－"</f>
        <v>－</v>
      </c>
      <c r="V185" s="32" t="n">
        <f>120965567</f>
        <v>1.20965567E8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604</v>
      </c>
      <c r="C186" s="27" t="s">
        <v>605</v>
      </c>
      <c r="D186" s="27" t="s">
        <v>606</v>
      </c>
      <c r="E186" s="28" t="s">
        <v>46</v>
      </c>
      <c r="F186" s="29" t="s">
        <v>46</v>
      </c>
      <c r="G186" s="30" t="s">
        <v>46</v>
      </c>
      <c r="H186" s="31"/>
      <c r="I186" s="31" t="s">
        <v>603</v>
      </c>
      <c r="J186" s="32" t="n">
        <v>1.0</v>
      </c>
      <c r="K186" s="33" t="n">
        <f>6240</f>
        <v>6240.0</v>
      </c>
      <c r="L186" s="34" t="s">
        <v>48</v>
      </c>
      <c r="M186" s="33" t="n">
        <f>6500</f>
        <v>6500.0</v>
      </c>
      <c r="N186" s="34" t="s">
        <v>71</v>
      </c>
      <c r="O186" s="33" t="n">
        <f>6020</f>
        <v>6020.0</v>
      </c>
      <c r="P186" s="34" t="s">
        <v>75</v>
      </c>
      <c r="Q186" s="33" t="n">
        <f>6490</f>
        <v>6490.0</v>
      </c>
      <c r="R186" s="34" t="s">
        <v>50</v>
      </c>
      <c r="S186" s="35" t="n">
        <f>6325.77</f>
        <v>6325.77</v>
      </c>
      <c r="T186" s="32" t="n">
        <f>4755</f>
        <v>4755.0</v>
      </c>
      <c r="U186" s="32" t="n">
        <f>1</f>
        <v>1.0</v>
      </c>
      <c r="V186" s="32" t="n">
        <f>29940783</f>
        <v>2.9940783E7</v>
      </c>
      <c r="W186" s="32" t="n">
        <f>6310</f>
        <v>6310.0</v>
      </c>
      <c r="X186" s="36" t="n">
        <f>22</f>
        <v>22.0</v>
      </c>
    </row>
    <row r="187">
      <c r="A187" s="27" t="s">
        <v>42</v>
      </c>
      <c r="B187" s="27" t="s">
        <v>607</v>
      </c>
      <c r="C187" s="27" t="s">
        <v>608</v>
      </c>
      <c r="D187" s="27" t="s">
        <v>609</v>
      </c>
      <c r="E187" s="28" t="s">
        <v>46</v>
      </c>
      <c r="F187" s="29" t="s">
        <v>46</v>
      </c>
      <c r="G187" s="30" t="s">
        <v>46</v>
      </c>
      <c r="H187" s="31"/>
      <c r="I187" s="31" t="s">
        <v>603</v>
      </c>
      <c r="J187" s="32" t="n">
        <v>1.0</v>
      </c>
      <c r="K187" s="33" t="n">
        <f>15265</f>
        <v>15265.0</v>
      </c>
      <c r="L187" s="34" t="s">
        <v>48</v>
      </c>
      <c r="M187" s="33" t="n">
        <f>17145</f>
        <v>17145.0</v>
      </c>
      <c r="N187" s="34" t="s">
        <v>75</v>
      </c>
      <c r="O187" s="33" t="n">
        <f>15180</f>
        <v>15180.0</v>
      </c>
      <c r="P187" s="34" t="s">
        <v>67</v>
      </c>
      <c r="Q187" s="33" t="n">
        <f>16505</f>
        <v>16505.0</v>
      </c>
      <c r="R187" s="34" t="s">
        <v>50</v>
      </c>
      <c r="S187" s="35" t="n">
        <f>16392.06</f>
        <v>16392.06</v>
      </c>
      <c r="T187" s="32" t="n">
        <f>499</f>
        <v>499.0</v>
      </c>
      <c r="U187" s="32" t="str">
        <f>"－"</f>
        <v>－</v>
      </c>
      <c r="V187" s="32" t="n">
        <f>8175390</f>
        <v>8175390.0</v>
      </c>
      <c r="W187" s="32" t="str">
        <f>"－"</f>
        <v>－</v>
      </c>
      <c r="X187" s="36" t="n">
        <f>17</f>
        <v>17.0</v>
      </c>
    </row>
    <row r="188">
      <c r="A188" s="27" t="s">
        <v>42</v>
      </c>
      <c r="B188" s="27" t="s">
        <v>610</v>
      </c>
      <c r="C188" s="27" t="s">
        <v>611</v>
      </c>
      <c r="D188" s="27" t="s">
        <v>612</v>
      </c>
      <c r="E188" s="28" t="s">
        <v>46</v>
      </c>
      <c r="F188" s="29" t="s">
        <v>46</v>
      </c>
      <c r="G188" s="30" t="s">
        <v>46</v>
      </c>
      <c r="H188" s="31"/>
      <c r="I188" s="31" t="s">
        <v>603</v>
      </c>
      <c r="J188" s="32" t="n">
        <v>1.0</v>
      </c>
      <c r="K188" s="33" t="n">
        <f>6403</f>
        <v>6403.0</v>
      </c>
      <c r="L188" s="34" t="s">
        <v>48</v>
      </c>
      <c r="M188" s="33" t="n">
        <f>6527</f>
        <v>6527.0</v>
      </c>
      <c r="N188" s="34" t="s">
        <v>48</v>
      </c>
      <c r="O188" s="33" t="n">
        <f>6035</f>
        <v>6035.0</v>
      </c>
      <c r="P188" s="34" t="s">
        <v>60</v>
      </c>
      <c r="Q188" s="33" t="n">
        <f>6190</f>
        <v>6190.0</v>
      </c>
      <c r="R188" s="34" t="s">
        <v>50</v>
      </c>
      <c r="S188" s="35" t="n">
        <f>6172</f>
        <v>6172.0</v>
      </c>
      <c r="T188" s="32" t="n">
        <f>15048</f>
        <v>15048.0</v>
      </c>
      <c r="U188" s="32" t="str">
        <f>"－"</f>
        <v>－</v>
      </c>
      <c r="V188" s="32" t="n">
        <f>93774496</f>
        <v>9.3774496E7</v>
      </c>
      <c r="W188" s="32" t="str">
        <f>"－"</f>
        <v>－</v>
      </c>
      <c r="X188" s="36" t="n">
        <f>22</f>
        <v>22.0</v>
      </c>
    </row>
    <row r="189">
      <c r="A189" s="27" t="s">
        <v>42</v>
      </c>
      <c r="B189" s="27" t="s">
        <v>613</v>
      </c>
      <c r="C189" s="27" t="s">
        <v>614</v>
      </c>
      <c r="D189" s="27" t="s">
        <v>615</v>
      </c>
      <c r="E189" s="28" t="s">
        <v>46</v>
      </c>
      <c r="F189" s="29" t="s">
        <v>46</v>
      </c>
      <c r="G189" s="30" t="s">
        <v>46</v>
      </c>
      <c r="H189" s="31" t="s">
        <v>347</v>
      </c>
      <c r="I189" s="31" t="s">
        <v>603</v>
      </c>
      <c r="J189" s="32" t="n">
        <v>1.0</v>
      </c>
      <c r="K189" s="33" t="n">
        <f>125</f>
        <v>125.0</v>
      </c>
      <c r="L189" s="34" t="s">
        <v>48</v>
      </c>
      <c r="M189" s="33" t="n">
        <f>131</f>
        <v>131.0</v>
      </c>
      <c r="N189" s="34" t="s">
        <v>88</v>
      </c>
      <c r="O189" s="33" t="n">
        <f>100</f>
        <v>100.0</v>
      </c>
      <c r="P189" s="34" t="s">
        <v>80</v>
      </c>
      <c r="Q189" s="33" t="n">
        <f>103</f>
        <v>103.0</v>
      </c>
      <c r="R189" s="34" t="s">
        <v>50</v>
      </c>
      <c r="S189" s="35" t="n">
        <f>111.86</f>
        <v>111.86</v>
      </c>
      <c r="T189" s="32" t="n">
        <f>18887046</f>
        <v>1.8887046E7</v>
      </c>
      <c r="U189" s="32" t="n">
        <f>15001</f>
        <v>15001.0</v>
      </c>
      <c r="V189" s="32" t="n">
        <f>2133858387</f>
        <v>2.133858387E9</v>
      </c>
      <c r="W189" s="32" t="n">
        <f>1694108</f>
        <v>1694108.0</v>
      </c>
      <c r="X189" s="36" t="n">
        <f>22</f>
        <v>22.0</v>
      </c>
    </row>
    <row r="190">
      <c r="A190" s="27" t="s">
        <v>42</v>
      </c>
      <c r="B190" s="27" t="s">
        <v>616</v>
      </c>
      <c r="C190" s="27" t="s">
        <v>617</v>
      </c>
      <c r="D190" s="27" t="s">
        <v>618</v>
      </c>
      <c r="E190" s="28" t="s">
        <v>46</v>
      </c>
      <c r="F190" s="29" t="s">
        <v>46</v>
      </c>
      <c r="G190" s="30" t="s">
        <v>46</v>
      </c>
      <c r="H190" s="31"/>
      <c r="I190" s="31" t="s">
        <v>603</v>
      </c>
      <c r="J190" s="32" t="n">
        <v>1.0</v>
      </c>
      <c r="K190" s="33" t="n">
        <f>17980</f>
        <v>17980.0</v>
      </c>
      <c r="L190" s="34" t="s">
        <v>48</v>
      </c>
      <c r="M190" s="33" t="n">
        <f>19260</f>
        <v>19260.0</v>
      </c>
      <c r="N190" s="34" t="s">
        <v>105</v>
      </c>
      <c r="O190" s="33" t="n">
        <f>17805</f>
        <v>17805.0</v>
      </c>
      <c r="P190" s="34" t="s">
        <v>81</v>
      </c>
      <c r="Q190" s="33" t="n">
        <f>19015</f>
        <v>19015.0</v>
      </c>
      <c r="R190" s="34" t="s">
        <v>50</v>
      </c>
      <c r="S190" s="35" t="n">
        <f>18499.77</f>
        <v>18499.77</v>
      </c>
      <c r="T190" s="32" t="n">
        <f>33451</f>
        <v>33451.0</v>
      </c>
      <c r="U190" s="32" t="n">
        <f>2</f>
        <v>2.0</v>
      </c>
      <c r="V190" s="32" t="n">
        <f>622425935</f>
        <v>6.22425935E8</v>
      </c>
      <c r="W190" s="32" t="n">
        <f>36000</f>
        <v>36000.0</v>
      </c>
      <c r="X190" s="36" t="n">
        <f>22</f>
        <v>22.0</v>
      </c>
    </row>
    <row r="191">
      <c r="A191" s="27" t="s">
        <v>42</v>
      </c>
      <c r="B191" s="27" t="s">
        <v>619</v>
      </c>
      <c r="C191" s="27" t="s">
        <v>620</v>
      </c>
      <c r="D191" s="27" t="s">
        <v>621</v>
      </c>
      <c r="E191" s="28" t="s">
        <v>46</v>
      </c>
      <c r="F191" s="29" t="s">
        <v>46</v>
      </c>
      <c r="G191" s="30" t="s">
        <v>46</v>
      </c>
      <c r="H191" s="31"/>
      <c r="I191" s="31" t="s">
        <v>603</v>
      </c>
      <c r="J191" s="32" t="n">
        <v>1.0</v>
      </c>
      <c r="K191" s="33" t="n">
        <f>5377</f>
        <v>5377.0</v>
      </c>
      <c r="L191" s="34" t="s">
        <v>48</v>
      </c>
      <c r="M191" s="33" t="n">
        <f>5420</f>
        <v>5420.0</v>
      </c>
      <c r="N191" s="34" t="s">
        <v>81</v>
      </c>
      <c r="O191" s="33" t="n">
        <f>5179</f>
        <v>5179.0</v>
      </c>
      <c r="P191" s="34" t="s">
        <v>105</v>
      </c>
      <c r="Q191" s="33" t="n">
        <f>5219</f>
        <v>5219.0</v>
      </c>
      <c r="R191" s="34" t="s">
        <v>50</v>
      </c>
      <c r="S191" s="35" t="n">
        <f>5298.73</f>
        <v>5298.73</v>
      </c>
      <c r="T191" s="32" t="n">
        <f>9725</f>
        <v>9725.0</v>
      </c>
      <c r="U191" s="32" t="str">
        <f>"－"</f>
        <v>－</v>
      </c>
      <c r="V191" s="32" t="n">
        <f>51482393</f>
        <v>5.1482393E7</v>
      </c>
      <c r="W191" s="32" t="str">
        <f>"－"</f>
        <v>－</v>
      </c>
      <c r="X191" s="36" t="n">
        <f>22</f>
        <v>22.0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603</v>
      </c>
      <c r="J192" s="32" t="n">
        <v>1.0</v>
      </c>
      <c r="K192" s="33" t="n">
        <f>615</f>
        <v>615.0</v>
      </c>
      <c r="L192" s="34" t="s">
        <v>48</v>
      </c>
      <c r="M192" s="33" t="n">
        <f>801</f>
        <v>801.0</v>
      </c>
      <c r="N192" s="34" t="s">
        <v>50</v>
      </c>
      <c r="O192" s="33" t="n">
        <f>594</f>
        <v>594.0</v>
      </c>
      <c r="P192" s="34" t="s">
        <v>67</v>
      </c>
      <c r="Q192" s="33" t="n">
        <f>796</f>
        <v>796.0</v>
      </c>
      <c r="R192" s="34" t="s">
        <v>50</v>
      </c>
      <c r="S192" s="35" t="n">
        <f>697.73</f>
        <v>697.73</v>
      </c>
      <c r="T192" s="32" t="n">
        <f>140482589</f>
        <v>1.40482589E8</v>
      </c>
      <c r="U192" s="32" t="n">
        <f>1450710</f>
        <v>1450710.0</v>
      </c>
      <c r="V192" s="32" t="n">
        <f>97332792451</f>
        <v>9.7332792451E10</v>
      </c>
      <c r="W192" s="32" t="n">
        <f>1124642192</f>
        <v>1.124642192E9</v>
      </c>
      <c r="X192" s="36" t="n">
        <f>22</f>
        <v>22.0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603</v>
      </c>
      <c r="J193" s="32" t="n">
        <v>1.0</v>
      </c>
      <c r="K193" s="33" t="n">
        <f>2982</f>
        <v>2982.0</v>
      </c>
      <c r="L193" s="34" t="s">
        <v>48</v>
      </c>
      <c r="M193" s="33" t="n">
        <f>3050</f>
        <v>3050.0</v>
      </c>
      <c r="N193" s="34" t="s">
        <v>67</v>
      </c>
      <c r="O193" s="33" t="n">
        <f>2612</f>
        <v>2612.0</v>
      </c>
      <c r="P193" s="34" t="s">
        <v>50</v>
      </c>
      <c r="Q193" s="33" t="n">
        <f>2625</f>
        <v>2625.0</v>
      </c>
      <c r="R193" s="34" t="s">
        <v>50</v>
      </c>
      <c r="S193" s="35" t="n">
        <f>2800.32</f>
        <v>2800.32</v>
      </c>
      <c r="T193" s="32" t="n">
        <f>1064314</f>
        <v>1064314.0</v>
      </c>
      <c r="U193" s="32" t="n">
        <f>4245</f>
        <v>4245.0</v>
      </c>
      <c r="V193" s="32" t="n">
        <f>3004567107</f>
        <v>3.004567107E9</v>
      </c>
      <c r="W193" s="32" t="n">
        <f>10456707</f>
        <v>1.0456707E7</v>
      </c>
      <c r="X193" s="36" t="n">
        <f>22</f>
        <v>22.0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46</v>
      </c>
      <c r="F194" s="29" t="s">
        <v>46</v>
      </c>
      <c r="G194" s="30" t="s">
        <v>46</v>
      </c>
      <c r="H194" s="31"/>
      <c r="I194" s="31" t="s">
        <v>603</v>
      </c>
      <c r="J194" s="32" t="n">
        <v>1.0</v>
      </c>
      <c r="K194" s="33" t="n">
        <f>30990</f>
        <v>30990.0</v>
      </c>
      <c r="L194" s="34" t="s">
        <v>48</v>
      </c>
      <c r="M194" s="33" t="n">
        <f>33870</f>
        <v>33870.0</v>
      </c>
      <c r="N194" s="34" t="s">
        <v>50</v>
      </c>
      <c r="O194" s="33" t="n">
        <f>30190</f>
        <v>30190.0</v>
      </c>
      <c r="P194" s="34" t="s">
        <v>67</v>
      </c>
      <c r="Q194" s="33" t="n">
        <f>33750</f>
        <v>33750.0</v>
      </c>
      <c r="R194" s="34" t="s">
        <v>50</v>
      </c>
      <c r="S194" s="35" t="n">
        <f>32409.09</f>
        <v>32409.09</v>
      </c>
      <c r="T194" s="32" t="n">
        <f>191003</f>
        <v>191003.0</v>
      </c>
      <c r="U194" s="32" t="n">
        <f>3</f>
        <v>3.0</v>
      </c>
      <c r="V194" s="32" t="n">
        <f>6154761030</f>
        <v>6.15476103E9</v>
      </c>
      <c r="W194" s="32" t="n">
        <f>96490</f>
        <v>96490.0</v>
      </c>
      <c r="X194" s="36" t="n">
        <f>22</f>
        <v>22.0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603</v>
      </c>
      <c r="J195" s="32" t="n">
        <v>1.0</v>
      </c>
      <c r="K195" s="33" t="n">
        <f>2913</f>
        <v>2913.0</v>
      </c>
      <c r="L195" s="34" t="s">
        <v>48</v>
      </c>
      <c r="M195" s="33" t="n">
        <f>2937</f>
        <v>2937.0</v>
      </c>
      <c r="N195" s="34" t="s">
        <v>67</v>
      </c>
      <c r="O195" s="33" t="n">
        <f>2752</f>
        <v>2752.0</v>
      </c>
      <c r="P195" s="34" t="s">
        <v>80</v>
      </c>
      <c r="Q195" s="33" t="n">
        <f>2760</f>
        <v>2760.0</v>
      </c>
      <c r="R195" s="34" t="s">
        <v>50</v>
      </c>
      <c r="S195" s="35" t="n">
        <f>2823.95</f>
        <v>2823.95</v>
      </c>
      <c r="T195" s="32" t="n">
        <f>512940</f>
        <v>512940.0</v>
      </c>
      <c r="U195" s="32" t="str">
        <f>"－"</f>
        <v>－</v>
      </c>
      <c r="V195" s="32" t="n">
        <f>1453215024</f>
        <v>1.453215024E9</v>
      </c>
      <c r="W195" s="32" t="str">
        <f>"－"</f>
        <v>－</v>
      </c>
      <c r="X195" s="36" t="n">
        <f>22</f>
        <v>22.0</v>
      </c>
    </row>
    <row r="196">
      <c r="A196" s="27" t="s">
        <v>42</v>
      </c>
      <c r="B196" s="27" t="s">
        <v>634</v>
      </c>
      <c r="C196" s="27" t="s">
        <v>635</v>
      </c>
      <c r="D196" s="27" t="s">
        <v>636</v>
      </c>
      <c r="E196" s="28" t="s">
        <v>46</v>
      </c>
      <c r="F196" s="29" t="s">
        <v>46</v>
      </c>
      <c r="G196" s="30" t="s">
        <v>46</v>
      </c>
      <c r="H196" s="31"/>
      <c r="I196" s="31" t="s">
        <v>603</v>
      </c>
      <c r="J196" s="32" t="n">
        <v>1.0</v>
      </c>
      <c r="K196" s="33" t="n">
        <f>11505</f>
        <v>11505.0</v>
      </c>
      <c r="L196" s="34" t="s">
        <v>48</v>
      </c>
      <c r="M196" s="33" t="n">
        <f>11590</f>
        <v>11590.0</v>
      </c>
      <c r="N196" s="34" t="s">
        <v>48</v>
      </c>
      <c r="O196" s="33" t="n">
        <f>10170</f>
        <v>10170.0</v>
      </c>
      <c r="P196" s="34" t="s">
        <v>97</v>
      </c>
      <c r="Q196" s="33" t="n">
        <f>10675</f>
        <v>10675.0</v>
      </c>
      <c r="R196" s="34" t="s">
        <v>50</v>
      </c>
      <c r="S196" s="35" t="n">
        <f>10867.05</f>
        <v>10867.05</v>
      </c>
      <c r="T196" s="32" t="n">
        <f>170218</f>
        <v>170218.0</v>
      </c>
      <c r="U196" s="32" t="n">
        <f>13003</f>
        <v>13003.0</v>
      </c>
      <c r="V196" s="32" t="n">
        <f>1825657380</f>
        <v>1.82565738E9</v>
      </c>
      <c r="W196" s="32" t="n">
        <f>139672205</f>
        <v>1.39672205E8</v>
      </c>
      <c r="X196" s="36" t="n">
        <f>22</f>
        <v>22.0</v>
      </c>
    </row>
    <row r="197">
      <c r="A197" s="27" t="s">
        <v>42</v>
      </c>
      <c r="B197" s="27" t="s">
        <v>637</v>
      </c>
      <c r="C197" s="27" t="s">
        <v>638</v>
      </c>
      <c r="D197" s="27" t="s">
        <v>639</v>
      </c>
      <c r="E197" s="28" t="s">
        <v>46</v>
      </c>
      <c r="F197" s="29" t="s">
        <v>46</v>
      </c>
      <c r="G197" s="30" t="s">
        <v>46</v>
      </c>
      <c r="H197" s="31"/>
      <c r="I197" s="31" t="s">
        <v>603</v>
      </c>
      <c r="J197" s="32" t="n">
        <v>1.0</v>
      </c>
      <c r="K197" s="33" t="n">
        <f>13200</f>
        <v>13200.0</v>
      </c>
      <c r="L197" s="34" t="s">
        <v>48</v>
      </c>
      <c r="M197" s="33" t="n">
        <f>13995</f>
        <v>13995.0</v>
      </c>
      <c r="N197" s="34" t="s">
        <v>50</v>
      </c>
      <c r="O197" s="33" t="n">
        <f>13010</f>
        <v>13010.0</v>
      </c>
      <c r="P197" s="34" t="s">
        <v>67</v>
      </c>
      <c r="Q197" s="33" t="n">
        <f>13750</f>
        <v>13750.0</v>
      </c>
      <c r="R197" s="34" t="s">
        <v>50</v>
      </c>
      <c r="S197" s="35" t="n">
        <f>13347.5</f>
        <v>13347.5</v>
      </c>
      <c r="T197" s="32" t="n">
        <f>362</f>
        <v>362.0</v>
      </c>
      <c r="U197" s="32" t="str">
        <f>"－"</f>
        <v>－</v>
      </c>
      <c r="V197" s="32" t="n">
        <f>4836760</f>
        <v>4836760.0</v>
      </c>
      <c r="W197" s="32" t="str">
        <f>"－"</f>
        <v>－</v>
      </c>
      <c r="X197" s="36" t="n">
        <f>14</f>
        <v>14.0</v>
      </c>
    </row>
    <row r="198">
      <c r="A198" s="27" t="s">
        <v>42</v>
      </c>
      <c r="B198" s="27" t="s">
        <v>640</v>
      </c>
      <c r="C198" s="27" t="s">
        <v>641</v>
      </c>
      <c r="D198" s="27" t="s">
        <v>642</v>
      </c>
      <c r="E198" s="28" t="s">
        <v>46</v>
      </c>
      <c r="F198" s="29" t="s">
        <v>46</v>
      </c>
      <c r="G198" s="30" t="s">
        <v>46</v>
      </c>
      <c r="H198" s="31"/>
      <c r="I198" s="31" t="s">
        <v>603</v>
      </c>
      <c r="J198" s="32" t="n">
        <v>1.0</v>
      </c>
      <c r="K198" s="33" t="n">
        <f>19625</f>
        <v>19625.0</v>
      </c>
      <c r="L198" s="34" t="s">
        <v>48</v>
      </c>
      <c r="M198" s="33" t="n">
        <f>21225</f>
        <v>21225.0</v>
      </c>
      <c r="N198" s="34" t="s">
        <v>50</v>
      </c>
      <c r="O198" s="33" t="n">
        <f>19325</f>
        <v>19325.0</v>
      </c>
      <c r="P198" s="34" t="s">
        <v>67</v>
      </c>
      <c r="Q198" s="33" t="n">
        <f>21200</f>
        <v>21200.0</v>
      </c>
      <c r="R198" s="34" t="s">
        <v>50</v>
      </c>
      <c r="S198" s="35" t="n">
        <f>20329.55</f>
        <v>20329.55</v>
      </c>
      <c r="T198" s="32" t="n">
        <f>19291</f>
        <v>19291.0</v>
      </c>
      <c r="U198" s="32" t="n">
        <f>1</f>
        <v>1.0</v>
      </c>
      <c r="V198" s="32" t="n">
        <f>392433155</f>
        <v>3.92433155E8</v>
      </c>
      <c r="W198" s="32" t="n">
        <f>19670</f>
        <v>19670.0</v>
      </c>
      <c r="X198" s="36" t="n">
        <f>22</f>
        <v>22.0</v>
      </c>
    </row>
    <row r="199">
      <c r="A199" s="27" t="s">
        <v>42</v>
      </c>
      <c r="B199" s="27" t="s">
        <v>643</v>
      </c>
      <c r="C199" s="27" t="s">
        <v>644</v>
      </c>
      <c r="D199" s="27" t="s">
        <v>645</v>
      </c>
      <c r="E199" s="28" t="s">
        <v>46</v>
      </c>
      <c r="F199" s="29" t="s">
        <v>46</v>
      </c>
      <c r="G199" s="30" t="s">
        <v>46</v>
      </c>
      <c r="H199" s="31"/>
      <c r="I199" s="31" t="s">
        <v>603</v>
      </c>
      <c r="J199" s="32" t="n">
        <v>1.0</v>
      </c>
      <c r="K199" s="33" t="n">
        <f>13935</f>
        <v>13935.0</v>
      </c>
      <c r="L199" s="34" t="s">
        <v>48</v>
      </c>
      <c r="M199" s="33" t="n">
        <f>14200</f>
        <v>14200.0</v>
      </c>
      <c r="N199" s="34" t="s">
        <v>279</v>
      </c>
      <c r="O199" s="33" t="n">
        <f>13345</f>
        <v>13345.0</v>
      </c>
      <c r="P199" s="34" t="s">
        <v>93</v>
      </c>
      <c r="Q199" s="33" t="n">
        <f>14125</f>
        <v>14125.0</v>
      </c>
      <c r="R199" s="34" t="s">
        <v>50</v>
      </c>
      <c r="S199" s="35" t="n">
        <f>13792.67</f>
        <v>13792.67</v>
      </c>
      <c r="T199" s="32" t="n">
        <f>643</f>
        <v>643.0</v>
      </c>
      <c r="U199" s="32" t="str">
        <f>"－"</f>
        <v>－</v>
      </c>
      <c r="V199" s="32" t="n">
        <f>8799955</f>
        <v>8799955.0</v>
      </c>
      <c r="W199" s="32" t="str">
        <f>"－"</f>
        <v>－</v>
      </c>
      <c r="X199" s="36" t="n">
        <f>15</f>
        <v>15.0</v>
      </c>
    </row>
    <row r="200">
      <c r="A200" s="27" t="s">
        <v>42</v>
      </c>
      <c r="B200" s="27" t="s">
        <v>646</v>
      </c>
      <c r="C200" s="27" t="s">
        <v>647</v>
      </c>
      <c r="D200" s="27" t="s">
        <v>648</v>
      </c>
      <c r="E200" s="28" t="s">
        <v>46</v>
      </c>
      <c r="F200" s="29" t="s">
        <v>46</v>
      </c>
      <c r="G200" s="30" t="s">
        <v>46</v>
      </c>
      <c r="H200" s="31"/>
      <c r="I200" s="31" t="s">
        <v>603</v>
      </c>
      <c r="J200" s="32" t="n">
        <v>1.0</v>
      </c>
      <c r="K200" s="33" t="n">
        <f>17075</f>
        <v>17075.0</v>
      </c>
      <c r="L200" s="34" t="s">
        <v>48</v>
      </c>
      <c r="M200" s="33" t="n">
        <f>18390</f>
        <v>18390.0</v>
      </c>
      <c r="N200" s="34" t="s">
        <v>81</v>
      </c>
      <c r="O200" s="33" t="n">
        <f>15930</f>
        <v>15930.0</v>
      </c>
      <c r="P200" s="34" t="s">
        <v>97</v>
      </c>
      <c r="Q200" s="33" t="n">
        <f>17660</f>
        <v>17660.0</v>
      </c>
      <c r="R200" s="34" t="s">
        <v>50</v>
      </c>
      <c r="S200" s="35" t="n">
        <f>17327.73</f>
        <v>17327.73</v>
      </c>
      <c r="T200" s="32" t="n">
        <f>63995</f>
        <v>63995.0</v>
      </c>
      <c r="U200" s="32" t="n">
        <f>1</f>
        <v>1.0</v>
      </c>
      <c r="V200" s="32" t="n">
        <f>1105236300</f>
        <v>1.1052363E9</v>
      </c>
      <c r="W200" s="32" t="n">
        <f>17835</f>
        <v>17835.0</v>
      </c>
      <c r="X200" s="36" t="n">
        <f>22</f>
        <v>22.0</v>
      </c>
    </row>
    <row r="201">
      <c r="A201" s="27" t="s">
        <v>42</v>
      </c>
      <c r="B201" s="27" t="s">
        <v>649</v>
      </c>
      <c r="C201" s="27" t="s">
        <v>650</v>
      </c>
      <c r="D201" s="27" t="s">
        <v>651</v>
      </c>
      <c r="E201" s="28" t="s">
        <v>46</v>
      </c>
      <c r="F201" s="29" t="s">
        <v>46</v>
      </c>
      <c r="G201" s="30" t="s">
        <v>46</v>
      </c>
      <c r="H201" s="31"/>
      <c r="I201" s="31" t="s">
        <v>603</v>
      </c>
      <c r="J201" s="32" t="n">
        <v>1.0</v>
      </c>
      <c r="K201" s="33" t="n">
        <f>4120</f>
        <v>4120.0</v>
      </c>
      <c r="L201" s="34" t="s">
        <v>48</v>
      </c>
      <c r="M201" s="33" t="n">
        <f>4200</f>
        <v>4200.0</v>
      </c>
      <c r="N201" s="34" t="s">
        <v>71</v>
      </c>
      <c r="O201" s="33" t="n">
        <f>3850</f>
        <v>3850.0</v>
      </c>
      <c r="P201" s="34" t="s">
        <v>60</v>
      </c>
      <c r="Q201" s="33" t="n">
        <f>4065</f>
        <v>4065.0</v>
      </c>
      <c r="R201" s="34" t="s">
        <v>50</v>
      </c>
      <c r="S201" s="35" t="n">
        <f>4028.18</f>
        <v>4028.18</v>
      </c>
      <c r="T201" s="32" t="n">
        <f>5742</f>
        <v>5742.0</v>
      </c>
      <c r="U201" s="32" t="str">
        <f>"－"</f>
        <v>－</v>
      </c>
      <c r="V201" s="32" t="n">
        <f>23073955</f>
        <v>2.3073955E7</v>
      </c>
      <c r="W201" s="32" t="str">
        <f>"－"</f>
        <v>－</v>
      </c>
      <c r="X201" s="36" t="n">
        <f>22</f>
        <v>22.0</v>
      </c>
    </row>
    <row r="202">
      <c r="A202" s="27" t="s">
        <v>42</v>
      </c>
      <c r="B202" s="27" t="s">
        <v>652</v>
      </c>
      <c r="C202" s="27" t="s">
        <v>653</v>
      </c>
      <c r="D202" s="27" t="s">
        <v>654</v>
      </c>
      <c r="E202" s="28" t="s">
        <v>46</v>
      </c>
      <c r="F202" s="29" t="s">
        <v>46</v>
      </c>
      <c r="G202" s="30" t="s">
        <v>46</v>
      </c>
      <c r="H202" s="31"/>
      <c r="I202" s="31" t="s">
        <v>603</v>
      </c>
      <c r="J202" s="32" t="n">
        <v>1.0</v>
      </c>
      <c r="K202" s="33" t="n">
        <f>11115</f>
        <v>11115.0</v>
      </c>
      <c r="L202" s="34" t="s">
        <v>48</v>
      </c>
      <c r="M202" s="33" t="n">
        <f>11555</f>
        <v>11555.0</v>
      </c>
      <c r="N202" s="34" t="s">
        <v>105</v>
      </c>
      <c r="O202" s="33" t="n">
        <f>10960</f>
        <v>10960.0</v>
      </c>
      <c r="P202" s="34" t="s">
        <v>67</v>
      </c>
      <c r="Q202" s="33" t="n">
        <f>11535</f>
        <v>11535.0</v>
      </c>
      <c r="R202" s="34" t="s">
        <v>105</v>
      </c>
      <c r="S202" s="35" t="n">
        <f>11348.18</f>
        <v>11348.18</v>
      </c>
      <c r="T202" s="32" t="n">
        <f>910</f>
        <v>910.0</v>
      </c>
      <c r="U202" s="32" t="str">
        <f>"－"</f>
        <v>－</v>
      </c>
      <c r="V202" s="32" t="n">
        <f>10445860</f>
        <v>1.044586E7</v>
      </c>
      <c r="W202" s="32" t="str">
        <f>"－"</f>
        <v>－</v>
      </c>
      <c r="X202" s="36" t="n">
        <f>11</f>
        <v>11.0</v>
      </c>
    </row>
    <row r="203">
      <c r="A203" s="27" t="s">
        <v>42</v>
      </c>
      <c r="B203" s="27" t="s">
        <v>655</v>
      </c>
      <c r="C203" s="27" t="s">
        <v>656</v>
      </c>
      <c r="D203" s="27" t="s">
        <v>657</v>
      </c>
      <c r="E203" s="28" t="s">
        <v>46</v>
      </c>
      <c r="F203" s="29" t="s">
        <v>46</v>
      </c>
      <c r="G203" s="30" t="s">
        <v>46</v>
      </c>
      <c r="H203" s="31"/>
      <c r="I203" s="31" t="s">
        <v>603</v>
      </c>
      <c r="J203" s="32" t="n">
        <v>1.0</v>
      </c>
      <c r="K203" s="33" t="n">
        <f>11910</f>
        <v>11910.0</v>
      </c>
      <c r="L203" s="34" t="s">
        <v>48</v>
      </c>
      <c r="M203" s="33" t="n">
        <f>12405</f>
        <v>12405.0</v>
      </c>
      <c r="N203" s="34" t="s">
        <v>76</v>
      </c>
      <c r="O203" s="33" t="n">
        <f>11910</f>
        <v>11910.0</v>
      </c>
      <c r="P203" s="34" t="s">
        <v>48</v>
      </c>
      <c r="Q203" s="33" t="n">
        <f>12385</f>
        <v>12385.0</v>
      </c>
      <c r="R203" s="34" t="s">
        <v>105</v>
      </c>
      <c r="S203" s="35" t="n">
        <f>12143</f>
        <v>12143.0</v>
      </c>
      <c r="T203" s="32" t="n">
        <f>20</f>
        <v>20.0</v>
      </c>
      <c r="U203" s="32" t="str">
        <f>"－"</f>
        <v>－</v>
      </c>
      <c r="V203" s="32" t="n">
        <f>240035</f>
        <v>240035.0</v>
      </c>
      <c r="W203" s="32" t="str">
        <f>"－"</f>
        <v>－</v>
      </c>
      <c r="X203" s="36" t="n">
        <f>5</f>
        <v>5.0</v>
      </c>
    </row>
    <row r="204">
      <c r="A204" s="27" t="s">
        <v>42</v>
      </c>
      <c r="B204" s="27" t="s">
        <v>658</v>
      </c>
      <c r="C204" s="27" t="s">
        <v>659</v>
      </c>
      <c r="D204" s="27" t="s">
        <v>660</v>
      </c>
      <c r="E204" s="28" t="s">
        <v>46</v>
      </c>
      <c r="F204" s="29" t="s">
        <v>46</v>
      </c>
      <c r="G204" s="30" t="s">
        <v>46</v>
      </c>
      <c r="H204" s="31"/>
      <c r="I204" s="31" t="s">
        <v>603</v>
      </c>
      <c r="J204" s="32" t="n">
        <v>1.0</v>
      </c>
      <c r="K204" s="33" t="n">
        <f>12770</f>
        <v>12770.0</v>
      </c>
      <c r="L204" s="34" t="s">
        <v>81</v>
      </c>
      <c r="M204" s="33" t="n">
        <f>13265</f>
        <v>13265.0</v>
      </c>
      <c r="N204" s="34" t="s">
        <v>49</v>
      </c>
      <c r="O204" s="33" t="n">
        <f>12770</f>
        <v>12770.0</v>
      </c>
      <c r="P204" s="34" t="s">
        <v>81</v>
      </c>
      <c r="Q204" s="33" t="n">
        <f>13055</f>
        <v>13055.0</v>
      </c>
      <c r="R204" s="34" t="s">
        <v>93</v>
      </c>
      <c r="S204" s="35" t="n">
        <f>12997.86</f>
        <v>12997.86</v>
      </c>
      <c r="T204" s="32" t="n">
        <f>251</f>
        <v>251.0</v>
      </c>
      <c r="U204" s="32" t="str">
        <f>"－"</f>
        <v>－</v>
      </c>
      <c r="V204" s="32" t="n">
        <f>3256965</f>
        <v>3256965.0</v>
      </c>
      <c r="W204" s="32" t="str">
        <f>"－"</f>
        <v>－</v>
      </c>
      <c r="X204" s="36" t="n">
        <f>7</f>
        <v>7.0</v>
      </c>
    </row>
    <row r="205">
      <c r="A205" s="27" t="s">
        <v>42</v>
      </c>
      <c r="B205" s="27" t="s">
        <v>661</v>
      </c>
      <c r="C205" s="27" t="s">
        <v>662</v>
      </c>
      <c r="D205" s="27" t="s">
        <v>663</v>
      </c>
      <c r="E205" s="28" t="s">
        <v>46</v>
      </c>
      <c r="F205" s="29" t="s">
        <v>46</v>
      </c>
      <c r="G205" s="30" t="s">
        <v>46</v>
      </c>
      <c r="H205" s="31"/>
      <c r="I205" s="31" t="s">
        <v>603</v>
      </c>
      <c r="J205" s="32" t="n">
        <v>1.0</v>
      </c>
      <c r="K205" s="33" t="n">
        <f>13855</f>
        <v>13855.0</v>
      </c>
      <c r="L205" s="34" t="s">
        <v>67</v>
      </c>
      <c r="M205" s="33" t="n">
        <f>14220</f>
        <v>14220.0</v>
      </c>
      <c r="N205" s="34" t="s">
        <v>75</v>
      </c>
      <c r="O205" s="33" t="n">
        <f>13855</f>
        <v>13855.0</v>
      </c>
      <c r="P205" s="34" t="s">
        <v>67</v>
      </c>
      <c r="Q205" s="33" t="n">
        <f>14155</f>
        <v>14155.0</v>
      </c>
      <c r="R205" s="34" t="s">
        <v>664</v>
      </c>
      <c r="S205" s="35" t="n">
        <f>14112.5</f>
        <v>14112.5</v>
      </c>
      <c r="T205" s="32" t="n">
        <f>2062</f>
        <v>2062.0</v>
      </c>
      <c r="U205" s="32" t="n">
        <f>1007</f>
        <v>1007.0</v>
      </c>
      <c r="V205" s="32" t="n">
        <f>29058540</f>
        <v>2.905854E7</v>
      </c>
      <c r="W205" s="32" t="n">
        <f>14118140</f>
        <v>1.411814E7</v>
      </c>
      <c r="X205" s="36" t="n">
        <f>4</f>
        <v>4.0</v>
      </c>
    </row>
    <row r="206">
      <c r="A206" s="27" t="s">
        <v>42</v>
      </c>
      <c r="B206" s="27" t="s">
        <v>665</v>
      </c>
      <c r="C206" s="27" t="s">
        <v>666</v>
      </c>
      <c r="D206" s="27" t="s">
        <v>667</v>
      </c>
      <c r="E206" s="28" t="s">
        <v>46</v>
      </c>
      <c r="F206" s="29" t="s">
        <v>46</v>
      </c>
      <c r="G206" s="30" t="s">
        <v>46</v>
      </c>
      <c r="H206" s="31"/>
      <c r="I206" s="31" t="s">
        <v>603</v>
      </c>
      <c r="J206" s="32" t="n">
        <v>1.0</v>
      </c>
      <c r="K206" s="33" t="n">
        <f>12410</f>
        <v>12410.0</v>
      </c>
      <c r="L206" s="34" t="s">
        <v>48</v>
      </c>
      <c r="M206" s="33" t="n">
        <f>12780</f>
        <v>12780.0</v>
      </c>
      <c r="N206" s="34" t="s">
        <v>49</v>
      </c>
      <c r="O206" s="33" t="n">
        <f>12300</f>
        <v>12300.0</v>
      </c>
      <c r="P206" s="34" t="s">
        <v>67</v>
      </c>
      <c r="Q206" s="33" t="n">
        <f>12690</f>
        <v>12690.0</v>
      </c>
      <c r="R206" s="34" t="s">
        <v>50</v>
      </c>
      <c r="S206" s="35" t="n">
        <f>12593.95</f>
        <v>12593.95</v>
      </c>
      <c r="T206" s="32" t="n">
        <f>959</f>
        <v>959.0</v>
      </c>
      <c r="U206" s="32" t="str">
        <f>"－"</f>
        <v>－</v>
      </c>
      <c r="V206" s="32" t="n">
        <f>12093200</f>
        <v>1.20932E7</v>
      </c>
      <c r="W206" s="32" t="str">
        <f>"－"</f>
        <v>－</v>
      </c>
      <c r="X206" s="36" t="n">
        <f>19</f>
        <v>19.0</v>
      </c>
    </row>
    <row r="207">
      <c r="A207" s="27" t="s">
        <v>42</v>
      </c>
      <c r="B207" s="27" t="s">
        <v>668</v>
      </c>
      <c r="C207" s="27" t="s">
        <v>669</v>
      </c>
      <c r="D207" s="27" t="s">
        <v>670</v>
      </c>
      <c r="E207" s="28" t="s">
        <v>46</v>
      </c>
      <c r="F207" s="29" t="s">
        <v>46</v>
      </c>
      <c r="G207" s="30" t="s">
        <v>46</v>
      </c>
      <c r="H207" s="31"/>
      <c r="I207" s="31" t="s">
        <v>603</v>
      </c>
      <c r="J207" s="32" t="n">
        <v>1.0</v>
      </c>
      <c r="K207" s="33" t="n">
        <f>13440</f>
        <v>13440.0</v>
      </c>
      <c r="L207" s="34" t="s">
        <v>67</v>
      </c>
      <c r="M207" s="33" t="n">
        <f>14200</f>
        <v>14200.0</v>
      </c>
      <c r="N207" s="34" t="s">
        <v>49</v>
      </c>
      <c r="O207" s="33" t="n">
        <f>13440</f>
        <v>13440.0</v>
      </c>
      <c r="P207" s="34" t="s">
        <v>67</v>
      </c>
      <c r="Q207" s="33" t="n">
        <f>13895</f>
        <v>13895.0</v>
      </c>
      <c r="R207" s="34" t="s">
        <v>71</v>
      </c>
      <c r="S207" s="35" t="n">
        <f>13898.75</f>
        <v>13898.75</v>
      </c>
      <c r="T207" s="32" t="n">
        <f>550</f>
        <v>550.0</v>
      </c>
      <c r="U207" s="32" t="str">
        <f>"－"</f>
        <v>－</v>
      </c>
      <c r="V207" s="32" t="n">
        <f>7417085</f>
        <v>7417085.0</v>
      </c>
      <c r="W207" s="32" t="str">
        <f>"－"</f>
        <v>－</v>
      </c>
      <c r="X207" s="36" t="n">
        <f>8</f>
        <v>8.0</v>
      </c>
    </row>
    <row r="208">
      <c r="A208" s="27" t="s">
        <v>42</v>
      </c>
      <c r="B208" s="27" t="s">
        <v>671</v>
      </c>
      <c r="C208" s="27" t="s">
        <v>672</v>
      </c>
      <c r="D208" s="27" t="s">
        <v>673</v>
      </c>
      <c r="E208" s="28" t="s">
        <v>46</v>
      </c>
      <c r="F208" s="29" t="s">
        <v>46</v>
      </c>
      <c r="G208" s="30" t="s">
        <v>46</v>
      </c>
      <c r="H208" s="31"/>
      <c r="I208" s="31" t="s">
        <v>603</v>
      </c>
      <c r="J208" s="32" t="n">
        <v>1.0</v>
      </c>
      <c r="K208" s="33" t="n">
        <f>13160</f>
        <v>13160.0</v>
      </c>
      <c r="L208" s="34" t="s">
        <v>130</v>
      </c>
      <c r="M208" s="33" t="n">
        <f>13360</f>
        <v>13360.0</v>
      </c>
      <c r="N208" s="34" t="s">
        <v>49</v>
      </c>
      <c r="O208" s="33" t="n">
        <f>13160</f>
        <v>13160.0</v>
      </c>
      <c r="P208" s="34" t="s">
        <v>130</v>
      </c>
      <c r="Q208" s="33" t="n">
        <f>13220</f>
        <v>13220.0</v>
      </c>
      <c r="R208" s="34" t="s">
        <v>97</v>
      </c>
      <c r="S208" s="35" t="n">
        <f>13224.17</f>
        <v>13224.17</v>
      </c>
      <c r="T208" s="32" t="n">
        <f>42</f>
        <v>42.0</v>
      </c>
      <c r="U208" s="32" t="str">
        <f>"－"</f>
        <v>－</v>
      </c>
      <c r="V208" s="32" t="n">
        <f>555415</f>
        <v>555415.0</v>
      </c>
      <c r="W208" s="32" t="str">
        <f>"－"</f>
        <v>－</v>
      </c>
      <c r="X208" s="36" t="n">
        <f>6</f>
        <v>6.0</v>
      </c>
    </row>
    <row r="209">
      <c r="A209" s="27" t="s">
        <v>42</v>
      </c>
      <c r="B209" s="27" t="s">
        <v>674</v>
      </c>
      <c r="C209" s="27" t="s">
        <v>675</v>
      </c>
      <c r="D209" s="27" t="s">
        <v>676</v>
      </c>
      <c r="E209" s="28" t="s">
        <v>46</v>
      </c>
      <c r="F209" s="29" t="s">
        <v>46</v>
      </c>
      <c r="G209" s="30" t="s">
        <v>46</v>
      </c>
      <c r="H209" s="31"/>
      <c r="I209" s="31" t="s">
        <v>603</v>
      </c>
      <c r="J209" s="32" t="n">
        <v>1.0</v>
      </c>
      <c r="K209" s="33" t="n">
        <f>9878</f>
        <v>9878.0</v>
      </c>
      <c r="L209" s="34" t="s">
        <v>48</v>
      </c>
      <c r="M209" s="33" t="n">
        <f>10340</f>
        <v>10340.0</v>
      </c>
      <c r="N209" s="34" t="s">
        <v>75</v>
      </c>
      <c r="O209" s="33" t="n">
        <f>9816</f>
        <v>9816.0</v>
      </c>
      <c r="P209" s="34" t="s">
        <v>48</v>
      </c>
      <c r="Q209" s="33" t="n">
        <f>10235</f>
        <v>10235.0</v>
      </c>
      <c r="R209" s="34" t="s">
        <v>50</v>
      </c>
      <c r="S209" s="35" t="n">
        <f>10200.6</f>
        <v>10200.6</v>
      </c>
      <c r="T209" s="32" t="n">
        <f>7368</f>
        <v>7368.0</v>
      </c>
      <c r="U209" s="32" t="n">
        <f>1</f>
        <v>1.0</v>
      </c>
      <c r="V209" s="32" t="n">
        <f>75130377</f>
        <v>7.5130377E7</v>
      </c>
      <c r="W209" s="32" t="n">
        <f>10340</f>
        <v>10340.0</v>
      </c>
      <c r="X209" s="36" t="n">
        <f>15</f>
        <v>15.0</v>
      </c>
    </row>
    <row r="210">
      <c r="A210" s="27" t="s">
        <v>42</v>
      </c>
      <c r="B210" s="27" t="s">
        <v>677</v>
      </c>
      <c r="C210" s="27" t="s">
        <v>678</v>
      </c>
      <c r="D210" s="27" t="s">
        <v>679</v>
      </c>
      <c r="E210" s="28" t="s">
        <v>46</v>
      </c>
      <c r="F210" s="29" t="s">
        <v>46</v>
      </c>
      <c r="G210" s="30" t="s">
        <v>46</v>
      </c>
      <c r="H210" s="31"/>
      <c r="I210" s="31" t="s">
        <v>603</v>
      </c>
      <c r="J210" s="32" t="n">
        <v>1.0</v>
      </c>
      <c r="K210" s="33" t="n">
        <f>11560</f>
        <v>11560.0</v>
      </c>
      <c r="L210" s="34" t="s">
        <v>48</v>
      </c>
      <c r="M210" s="33" t="n">
        <f>12120</f>
        <v>12120.0</v>
      </c>
      <c r="N210" s="34" t="s">
        <v>75</v>
      </c>
      <c r="O210" s="33" t="n">
        <f>11475</f>
        <v>11475.0</v>
      </c>
      <c r="P210" s="34" t="s">
        <v>48</v>
      </c>
      <c r="Q210" s="33" t="n">
        <f>11895</f>
        <v>11895.0</v>
      </c>
      <c r="R210" s="34" t="s">
        <v>50</v>
      </c>
      <c r="S210" s="35" t="n">
        <f>11822.05</f>
        <v>11822.05</v>
      </c>
      <c r="T210" s="32" t="n">
        <f>76260</f>
        <v>76260.0</v>
      </c>
      <c r="U210" s="32" t="str">
        <f>"－"</f>
        <v>－</v>
      </c>
      <c r="V210" s="32" t="n">
        <f>902612005</f>
        <v>9.02612005E8</v>
      </c>
      <c r="W210" s="32" t="str">
        <f>"－"</f>
        <v>－</v>
      </c>
      <c r="X210" s="36" t="n">
        <f>22</f>
        <v>22.0</v>
      </c>
    </row>
    <row r="211">
      <c r="A211" s="27" t="s">
        <v>42</v>
      </c>
      <c r="B211" s="27" t="s">
        <v>680</v>
      </c>
      <c r="C211" s="27" t="s">
        <v>681</v>
      </c>
      <c r="D211" s="27" t="s">
        <v>682</v>
      </c>
      <c r="E211" s="28" t="s">
        <v>46</v>
      </c>
      <c r="F211" s="29" t="s">
        <v>46</v>
      </c>
      <c r="G211" s="30" t="s">
        <v>46</v>
      </c>
      <c r="H211" s="31"/>
      <c r="I211" s="31" t="s">
        <v>603</v>
      </c>
      <c r="J211" s="32" t="n">
        <v>1.0</v>
      </c>
      <c r="K211" s="33" t="n">
        <f>9760</f>
        <v>9760.0</v>
      </c>
      <c r="L211" s="34" t="s">
        <v>48</v>
      </c>
      <c r="M211" s="33" t="n">
        <f>10150</f>
        <v>10150.0</v>
      </c>
      <c r="N211" s="34" t="s">
        <v>75</v>
      </c>
      <c r="O211" s="33" t="n">
        <f>9638</f>
        <v>9638.0</v>
      </c>
      <c r="P211" s="34" t="s">
        <v>48</v>
      </c>
      <c r="Q211" s="33" t="n">
        <f>9825</f>
        <v>9825.0</v>
      </c>
      <c r="R211" s="34" t="s">
        <v>50</v>
      </c>
      <c r="S211" s="35" t="n">
        <f>9916.67</f>
        <v>9916.67</v>
      </c>
      <c r="T211" s="32" t="n">
        <f>8509</f>
        <v>8509.0</v>
      </c>
      <c r="U211" s="32" t="str">
        <f>"－"</f>
        <v>－</v>
      </c>
      <c r="V211" s="32" t="n">
        <f>84379367</f>
        <v>8.4379367E7</v>
      </c>
      <c r="W211" s="32" t="str">
        <f>"－"</f>
        <v>－</v>
      </c>
      <c r="X211" s="36" t="n">
        <f>15</f>
        <v>15.0</v>
      </c>
    </row>
    <row r="212">
      <c r="A212" s="27" t="s">
        <v>42</v>
      </c>
      <c r="B212" s="27" t="s">
        <v>683</v>
      </c>
      <c r="C212" s="27" t="s">
        <v>684</v>
      </c>
      <c r="D212" s="27" t="s">
        <v>685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995</f>
        <v>995.0</v>
      </c>
      <c r="L212" s="34" t="s">
        <v>48</v>
      </c>
      <c r="M212" s="33" t="n">
        <f>996</f>
        <v>996.0</v>
      </c>
      <c r="N212" s="34" t="s">
        <v>88</v>
      </c>
      <c r="O212" s="33" t="n">
        <f>992.1</f>
        <v>992.1</v>
      </c>
      <c r="P212" s="34" t="s">
        <v>50</v>
      </c>
      <c r="Q212" s="33" t="n">
        <f>993.2</f>
        <v>993.2</v>
      </c>
      <c r="R212" s="34" t="s">
        <v>50</v>
      </c>
      <c r="S212" s="35" t="n">
        <f>994.28</f>
        <v>994.28</v>
      </c>
      <c r="T212" s="32" t="n">
        <f>10542040</f>
        <v>1.054204E7</v>
      </c>
      <c r="U212" s="32" t="n">
        <f>7507530</f>
        <v>7507530.0</v>
      </c>
      <c r="V212" s="32" t="n">
        <f>10474783596</f>
        <v>1.0474783596E10</v>
      </c>
      <c r="W212" s="32" t="n">
        <f>7456620037</f>
        <v>7.456620037E9</v>
      </c>
      <c r="X212" s="36" t="n">
        <f>22</f>
        <v>22.0</v>
      </c>
    </row>
    <row r="213">
      <c r="A213" s="27" t="s">
        <v>42</v>
      </c>
      <c r="B213" s="27" t="s">
        <v>686</v>
      </c>
      <c r="C213" s="27" t="s">
        <v>687</v>
      </c>
      <c r="D213" s="27" t="s">
        <v>688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1019</f>
        <v>1019.0</v>
      </c>
      <c r="L213" s="34" t="s">
        <v>48</v>
      </c>
      <c r="M213" s="33" t="n">
        <f>1033</f>
        <v>1033.0</v>
      </c>
      <c r="N213" s="34" t="s">
        <v>105</v>
      </c>
      <c r="O213" s="33" t="n">
        <f>1015</f>
        <v>1015.0</v>
      </c>
      <c r="P213" s="34" t="s">
        <v>67</v>
      </c>
      <c r="Q213" s="33" t="n">
        <f>1028.5</f>
        <v>1028.5</v>
      </c>
      <c r="R213" s="34" t="s">
        <v>50</v>
      </c>
      <c r="S213" s="35" t="n">
        <f>1022.91</f>
        <v>1022.91</v>
      </c>
      <c r="T213" s="32" t="n">
        <f>2420150</f>
        <v>2420150.0</v>
      </c>
      <c r="U213" s="32" t="n">
        <f>1572690</f>
        <v>1572690.0</v>
      </c>
      <c r="V213" s="32" t="n">
        <f>2475935031</f>
        <v>2.475935031E9</v>
      </c>
      <c r="W213" s="32" t="n">
        <f>1609547526</f>
        <v>1.609547526E9</v>
      </c>
      <c r="X213" s="36" t="n">
        <f>22</f>
        <v>22.0</v>
      </c>
    </row>
    <row r="214">
      <c r="A214" s="27" t="s">
        <v>42</v>
      </c>
      <c r="B214" s="27" t="s">
        <v>689</v>
      </c>
      <c r="C214" s="27" t="s">
        <v>690</v>
      </c>
      <c r="D214" s="27" t="s">
        <v>691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1021.5</f>
        <v>1021.5</v>
      </c>
      <c r="L214" s="34" t="s">
        <v>48</v>
      </c>
      <c r="M214" s="33" t="n">
        <f>1029.5</f>
        <v>1029.5</v>
      </c>
      <c r="N214" s="34" t="s">
        <v>88</v>
      </c>
      <c r="O214" s="33" t="n">
        <f>1010</f>
        <v>1010.0</v>
      </c>
      <c r="P214" s="34" t="s">
        <v>50</v>
      </c>
      <c r="Q214" s="33" t="n">
        <f>1011</f>
        <v>1011.0</v>
      </c>
      <c r="R214" s="34" t="s">
        <v>50</v>
      </c>
      <c r="S214" s="35" t="n">
        <f>1021.18</f>
        <v>1021.18</v>
      </c>
      <c r="T214" s="32" t="n">
        <f>12161420</f>
        <v>1.216142E7</v>
      </c>
      <c r="U214" s="32" t="n">
        <f>6940700</f>
        <v>6940700.0</v>
      </c>
      <c r="V214" s="32" t="n">
        <f>12376577762</f>
        <v>1.2376577762E10</v>
      </c>
      <c r="W214" s="32" t="n">
        <f>7055920047</f>
        <v>7.055920047E9</v>
      </c>
      <c r="X214" s="36" t="n">
        <f>22</f>
        <v>22.0</v>
      </c>
    </row>
    <row r="215">
      <c r="A215" s="27" t="s">
        <v>42</v>
      </c>
      <c r="B215" s="27" t="s">
        <v>692</v>
      </c>
      <c r="C215" s="27" t="s">
        <v>693</v>
      </c>
      <c r="D215" s="27" t="s">
        <v>694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1610</f>
        <v>1610.0</v>
      </c>
      <c r="L215" s="34" t="s">
        <v>48</v>
      </c>
      <c r="M215" s="33" t="n">
        <f>1692.5</f>
        <v>1692.5</v>
      </c>
      <c r="N215" s="34" t="s">
        <v>105</v>
      </c>
      <c r="O215" s="33" t="n">
        <f>1574.5</f>
        <v>1574.5</v>
      </c>
      <c r="P215" s="34" t="s">
        <v>67</v>
      </c>
      <c r="Q215" s="33" t="n">
        <f>1691.5</f>
        <v>1691.5</v>
      </c>
      <c r="R215" s="34" t="s">
        <v>50</v>
      </c>
      <c r="S215" s="35" t="n">
        <f>1635.98</f>
        <v>1635.98</v>
      </c>
      <c r="T215" s="32" t="n">
        <f>3513840</f>
        <v>3513840.0</v>
      </c>
      <c r="U215" s="32" t="n">
        <f>1530150</f>
        <v>1530150.0</v>
      </c>
      <c r="V215" s="32" t="n">
        <f>5739179052</f>
        <v>5.739179052E9</v>
      </c>
      <c r="W215" s="32" t="n">
        <f>2513206197</f>
        <v>2.513206197E9</v>
      </c>
      <c r="X215" s="36" t="n">
        <f>22</f>
        <v>22.0</v>
      </c>
    </row>
    <row r="216">
      <c r="A216" s="27" t="s">
        <v>42</v>
      </c>
      <c r="B216" s="27" t="s">
        <v>695</v>
      </c>
      <c r="C216" s="27" t="s">
        <v>696</v>
      </c>
      <c r="D216" s="27" t="s">
        <v>697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1540</f>
        <v>1540.0</v>
      </c>
      <c r="L216" s="34" t="s">
        <v>48</v>
      </c>
      <c r="M216" s="33" t="n">
        <f>1605</f>
        <v>1605.0</v>
      </c>
      <c r="N216" s="34" t="s">
        <v>80</v>
      </c>
      <c r="O216" s="33" t="n">
        <f>1520</f>
        <v>1520.0</v>
      </c>
      <c r="P216" s="34" t="s">
        <v>67</v>
      </c>
      <c r="Q216" s="33" t="n">
        <f>1599</f>
        <v>1599.0</v>
      </c>
      <c r="R216" s="34" t="s">
        <v>50</v>
      </c>
      <c r="S216" s="35" t="n">
        <f>1562.36</f>
        <v>1562.36</v>
      </c>
      <c r="T216" s="32" t="n">
        <f>2419990</f>
        <v>2419990.0</v>
      </c>
      <c r="U216" s="32" t="n">
        <f>1609020</f>
        <v>1609020.0</v>
      </c>
      <c r="V216" s="32" t="n">
        <f>3802026060</f>
        <v>3.80202606E9</v>
      </c>
      <c r="W216" s="32" t="n">
        <f>2541740120</f>
        <v>2.54174012E9</v>
      </c>
      <c r="X216" s="36" t="n">
        <f>22</f>
        <v>22.0</v>
      </c>
    </row>
    <row r="217">
      <c r="A217" s="27" t="s">
        <v>42</v>
      </c>
      <c r="B217" s="27" t="s">
        <v>698</v>
      </c>
      <c r="C217" s="27" t="s">
        <v>699</v>
      </c>
      <c r="D217" s="27" t="s">
        <v>700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1239</f>
        <v>1239.0</v>
      </c>
      <c r="L217" s="34" t="s">
        <v>48</v>
      </c>
      <c r="M217" s="33" t="n">
        <f>1323</f>
        <v>1323.0</v>
      </c>
      <c r="N217" s="34" t="s">
        <v>105</v>
      </c>
      <c r="O217" s="33" t="n">
        <f>1215.5</f>
        <v>1215.5</v>
      </c>
      <c r="P217" s="34" t="s">
        <v>67</v>
      </c>
      <c r="Q217" s="33" t="n">
        <f>1320</f>
        <v>1320.0</v>
      </c>
      <c r="R217" s="34" t="s">
        <v>50</v>
      </c>
      <c r="S217" s="35" t="n">
        <f>1278.07</f>
        <v>1278.07</v>
      </c>
      <c r="T217" s="32" t="n">
        <f>526650</f>
        <v>526650.0</v>
      </c>
      <c r="U217" s="32" t="n">
        <f>225630</f>
        <v>225630.0</v>
      </c>
      <c r="V217" s="32" t="n">
        <f>669746313</f>
        <v>6.69746313E8</v>
      </c>
      <c r="W217" s="32" t="n">
        <f>284298833</f>
        <v>2.84298833E8</v>
      </c>
      <c r="X217" s="36" t="n">
        <f>22</f>
        <v>22.0</v>
      </c>
    </row>
    <row r="218">
      <c r="A218" s="27" t="s">
        <v>42</v>
      </c>
      <c r="B218" s="27" t="s">
        <v>701</v>
      </c>
      <c r="C218" s="27" t="s">
        <v>702</v>
      </c>
      <c r="D218" s="27" t="s">
        <v>703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824.8</f>
        <v>824.8</v>
      </c>
      <c r="L218" s="34" t="s">
        <v>48</v>
      </c>
      <c r="M218" s="33" t="n">
        <f>832</f>
        <v>832.0</v>
      </c>
      <c r="N218" s="34" t="s">
        <v>75</v>
      </c>
      <c r="O218" s="33" t="n">
        <f>730</f>
        <v>730.0</v>
      </c>
      <c r="P218" s="34" t="s">
        <v>71</v>
      </c>
      <c r="Q218" s="33" t="n">
        <f>757</f>
        <v>757.0</v>
      </c>
      <c r="R218" s="34" t="s">
        <v>50</v>
      </c>
      <c r="S218" s="35" t="n">
        <f>781.5</f>
        <v>781.5</v>
      </c>
      <c r="T218" s="32" t="n">
        <f>29910010</f>
        <v>2.991001E7</v>
      </c>
      <c r="U218" s="32" t="n">
        <f>323930</f>
        <v>323930.0</v>
      </c>
      <c r="V218" s="32" t="n">
        <f>23211163147</f>
        <v>2.3211163147E10</v>
      </c>
      <c r="W218" s="32" t="n">
        <f>254392554</f>
        <v>2.54392554E8</v>
      </c>
      <c r="X218" s="36" t="n">
        <f>22</f>
        <v>22.0</v>
      </c>
    </row>
    <row r="219">
      <c r="A219" s="27" t="s">
        <v>42</v>
      </c>
      <c r="B219" s="27" t="s">
        <v>704</v>
      </c>
      <c r="C219" s="27" t="s">
        <v>705</v>
      </c>
      <c r="D219" s="27" t="s">
        <v>706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1171</f>
        <v>1171.0</v>
      </c>
      <c r="L219" s="34" t="s">
        <v>48</v>
      </c>
      <c r="M219" s="33" t="n">
        <f>1210</f>
        <v>1210.0</v>
      </c>
      <c r="N219" s="34" t="s">
        <v>50</v>
      </c>
      <c r="O219" s="33" t="n">
        <f>1167.5</f>
        <v>1167.5</v>
      </c>
      <c r="P219" s="34" t="s">
        <v>88</v>
      </c>
      <c r="Q219" s="33" t="n">
        <f>1206</f>
        <v>1206.0</v>
      </c>
      <c r="R219" s="34" t="s">
        <v>50</v>
      </c>
      <c r="S219" s="35" t="n">
        <f>1185.98</f>
        <v>1185.98</v>
      </c>
      <c r="T219" s="32" t="n">
        <f>757770</f>
        <v>757770.0</v>
      </c>
      <c r="U219" s="32" t="n">
        <f>582000</f>
        <v>582000.0</v>
      </c>
      <c r="V219" s="32" t="n">
        <f>894819212</f>
        <v>8.94819212E8</v>
      </c>
      <c r="W219" s="32" t="n">
        <f>687506842</f>
        <v>6.87506842E8</v>
      </c>
      <c r="X219" s="36" t="n">
        <f>22</f>
        <v>22.0</v>
      </c>
    </row>
    <row r="220">
      <c r="A220" s="27" t="s">
        <v>42</v>
      </c>
      <c r="B220" s="27" t="s">
        <v>707</v>
      </c>
      <c r="C220" s="27" t="s">
        <v>708</v>
      </c>
      <c r="D220" s="27" t="s">
        <v>709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1122</f>
        <v>1122.0</v>
      </c>
      <c r="L220" s="34" t="s">
        <v>48</v>
      </c>
      <c r="M220" s="33" t="n">
        <f>1175</f>
        <v>1175.0</v>
      </c>
      <c r="N220" s="34" t="s">
        <v>710</v>
      </c>
      <c r="O220" s="33" t="n">
        <f>1110</f>
        <v>1110.0</v>
      </c>
      <c r="P220" s="34" t="s">
        <v>48</v>
      </c>
      <c r="Q220" s="33" t="n">
        <f>1152</f>
        <v>1152.0</v>
      </c>
      <c r="R220" s="34" t="s">
        <v>50</v>
      </c>
      <c r="S220" s="35" t="n">
        <f>1145.55</f>
        <v>1145.55</v>
      </c>
      <c r="T220" s="32" t="n">
        <f>92979</f>
        <v>92979.0</v>
      </c>
      <c r="U220" s="32" t="n">
        <f>1</f>
        <v>1.0</v>
      </c>
      <c r="V220" s="32" t="n">
        <f>105889058</f>
        <v>1.05889058E8</v>
      </c>
      <c r="W220" s="32" t="n">
        <f>1155</f>
        <v>1155.0</v>
      </c>
      <c r="X220" s="36" t="n">
        <f>22</f>
        <v>22.0</v>
      </c>
    </row>
    <row r="221">
      <c r="A221" s="27" t="s">
        <v>42</v>
      </c>
      <c r="B221" s="27" t="s">
        <v>711</v>
      </c>
      <c r="C221" s="27" t="s">
        <v>712</v>
      </c>
      <c r="D221" s="27" t="s">
        <v>713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1030.5</f>
        <v>1030.5</v>
      </c>
      <c r="L221" s="34" t="s">
        <v>48</v>
      </c>
      <c r="M221" s="33" t="n">
        <f>1099</f>
        <v>1099.0</v>
      </c>
      <c r="N221" s="34" t="s">
        <v>48</v>
      </c>
      <c r="O221" s="33" t="n">
        <f>1024</f>
        <v>1024.0</v>
      </c>
      <c r="P221" s="34" t="s">
        <v>48</v>
      </c>
      <c r="Q221" s="33" t="n">
        <f>1056</f>
        <v>1056.0</v>
      </c>
      <c r="R221" s="34" t="s">
        <v>50</v>
      </c>
      <c r="S221" s="35" t="n">
        <f>1047.02</f>
        <v>1047.02</v>
      </c>
      <c r="T221" s="32" t="n">
        <f>231610</f>
        <v>231610.0</v>
      </c>
      <c r="U221" s="32" t="n">
        <f>155320</f>
        <v>155320.0</v>
      </c>
      <c r="V221" s="32" t="n">
        <f>241930156</f>
        <v>2.41930156E8</v>
      </c>
      <c r="W221" s="32" t="n">
        <f>162268251</f>
        <v>1.62268251E8</v>
      </c>
      <c r="X221" s="36" t="n">
        <f>22</f>
        <v>22.0</v>
      </c>
    </row>
    <row r="222">
      <c r="A222" s="27" t="s">
        <v>42</v>
      </c>
      <c r="B222" s="27" t="s">
        <v>714</v>
      </c>
      <c r="C222" s="27" t="s">
        <v>715</v>
      </c>
      <c r="D222" s="27" t="s">
        <v>716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1195.5</f>
        <v>1195.5</v>
      </c>
      <c r="L222" s="34" t="s">
        <v>48</v>
      </c>
      <c r="M222" s="33" t="n">
        <f>1232.5</f>
        <v>1232.5</v>
      </c>
      <c r="N222" s="34" t="s">
        <v>92</v>
      </c>
      <c r="O222" s="33" t="n">
        <f>1169</f>
        <v>1169.0</v>
      </c>
      <c r="P222" s="34" t="s">
        <v>71</v>
      </c>
      <c r="Q222" s="33" t="n">
        <f>1212</f>
        <v>1212.0</v>
      </c>
      <c r="R222" s="34" t="s">
        <v>50</v>
      </c>
      <c r="S222" s="35" t="n">
        <f>1205.7</f>
        <v>1205.7</v>
      </c>
      <c r="T222" s="32" t="n">
        <f>224180</f>
        <v>224180.0</v>
      </c>
      <c r="U222" s="32" t="n">
        <f>88270</f>
        <v>88270.0</v>
      </c>
      <c r="V222" s="32" t="n">
        <f>269175858</f>
        <v>2.69175858E8</v>
      </c>
      <c r="W222" s="32" t="n">
        <f>105940078</f>
        <v>1.05940078E8</v>
      </c>
      <c r="X222" s="36" t="n">
        <f>22</f>
        <v>22.0</v>
      </c>
    </row>
    <row r="223">
      <c r="A223" s="27" t="s">
        <v>42</v>
      </c>
      <c r="B223" s="27" t="s">
        <v>717</v>
      </c>
      <c r="C223" s="27" t="s">
        <v>718</v>
      </c>
      <c r="D223" s="27" t="s">
        <v>719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1606</f>
        <v>1606.0</v>
      </c>
      <c r="L223" s="34" t="s">
        <v>48</v>
      </c>
      <c r="M223" s="33" t="n">
        <f>1681</f>
        <v>1681.0</v>
      </c>
      <c r="N223" s="34" t="s">
        <v>80</v>
      </c>
      <c r="O223" s="33" t="n">
        <f>1583</f>
        <v>1583.0</v>
      </c>
      <c r="P223" s="34" t="s">
        <v>67</v>
      </c>
      <c r="Q223" s="33" t="n">
        <f>1677.5</f>
        <v>1677.5</v>
      </c>
      <c r="R223" s="34" t="s">
        <v>50</v>
      </c>
      <c r="S223" s="35" t="n">
        <f>1635.45</f>
        <v>1635.45</v>
      </c>
      <c r="T223" s="32" t="n">
        <f>11264450</f>
        <v>1.126445E7</v>
      </c>
      <c r="U223" s="32" t="n">
        <f>4498370</f>
        <v>4498370.0</v>
      </c>
      <c r="V223" s="32" t="n">
        <f>18316364044</f>
        <v>1.8316364044E10</v>
      </c>
      <c r="W223" s="32" t="n">
        <f>7313383404</f>
        <v>7.313383404E9</v>
      </c>
      <c r="X223" s="36" t="n">
        <f>22</f>
        <v>22.0</v>
      </c>
    </row>
    <row r="224">
      <c r="A224" s="27" t="s">
        <v>42</v>
      </c>
      <c r="B224" s="27" t="s">
        <v>720</v>
      </c>
      <c r="C224" s="27" t="s">
        <v>721</v>
      </c>
      <c r="D224" s="27" t="s">
        <v>722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4215</f>
        <v>4215.0</v>
      </c>
      <c r="L224" s="34" t="s">
        <v>48</v>
      </c>
      <c r="M224" s="33" t="n">
        <f>4470</f>
        <v>4470.0</v>
      </c>
      <c r="N224" s="34" t="s">
        <v>105</v>
      </c>
      <c r="O224" s="33" t="n">
        <f>4110</f>
        <v>4110.0</v>
      </c>
      <c r="P224" s="34" t="s">
        <v>97</v>
      </c>
      <c r="Q224" s="33" t="n">
        <f>4425</f>
        <v>4425.0</v>
      </c>
      <c r="R224" s="34" t="s">
        <v>50</v>
      </c>
      <c r="S224" s="35" t="n">
        <f>4302.95</f>
        <v>4302.95</v>
      </c>
      <c r="T224" s="32" t="n">
        <f>102754</f>
        <v>102754.0</v>
      </c>
      <c r="U224" s="32" t="str">
        <f>"－"</f>
        <v>－</v>
      </c>
      <c r="V224" s="32" t="n">
        <f>440815435</f>
        <v>4.40815435E8</v>
      </c>
      <c r="W224" s="32" t="str">
        <f>"－"</f>
        <v>－</v>
      </c>
      <c r="X224" s="36" t="n">
        <f>22</f>
        <v>22.0</v>
      </c>
    </row>
    <row r="225">
      <c r="A225" s="27" t="s">
        <v>42</v>
      </c>
      <c r="B225" s="27" t="s">
        <v>723</v>
      </c>
      <c r="C225" s="27" t="s">
        <v>724</v>
      </c>
      <c r="D225" s="27" t="s">
        <v>725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1668.5</f>
        <v>1668.5</v>
      </c>
      <c r="L225" s="34" t="s">
        <v>48</v>
      </c>
      <c r="M225" s="33" t="n">
        <f>1720.5</f>
        <v>1720.5</v>
      </c>
      <c r="N225" s="34" t="s">
        <v>105</v>
      </c>
      <c r="O225" s="33" t="n">
        <f>1636.5</f>
        <v>1636.5</v>
      </c>
      <c r="P225" s="34" t="s">
        <v>67</v>
      </c>
      <c r="Q225" s="33" t="n">
        <f>1703.5</f>
        <v>1703.5</v>
      </c>
      <c r="R225" s="34" t="s">
        <v>50</v>
      </c>
      <c r="S225" s="35" t="n">
        <f>1687.11</f>
        <v>1687.11</v>
      </c>
      <c r="T225" s="32" t="n">
        <f>7180</f>
        <v>7180.0</v>
      </c>
      <c r="U225" s="32" t="str">
        <f>"－"</f>
        <v>－</v>
      </c>
      <c r="V225" s="32" t="n">
        <f>12059710</f>
        <v>1.205971E7</v>
      </c>
      <c r="W225" s="32" t="str">
        <f>"－"</f>
        <v>－</v>
      </c>
      <c r="X225" s="36" t="n">
        <f>19</f>
        <v>19.0</v>
      </c>
    </row>
    <row r="226">
      <c r="A226" s="27" t="s">
        <v>42</v>
      </c>
      <c r="B226" s="27" t="s">
        <v>726</v>
      </c>
      <c r="C226" s="27" t="s">
        <v>727</v>
      </c>
      <c r="D226" s="27" t="s">
        <v>728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1979</f>
        <v>1979.0</v>
      </c>
      <c r="L226" s="34" t="s">
        <v>48</v>
      </c>
      <c r="M226" s="33" t="n">
        <f>2056.5</f>
        <v>2056.5</v>
      </c>
      <c r="N226" s="34" t="s">
        <v>49</v>
      </c>
      <c r="O226" s="33" t="n">
        <f>1953</f>
        <v>1953.0</v>
      </c>
      <c r="P226" s="34" t="s">
        <v>48</v>
      </c>
      <c r="Q226" s="33" t="n">
        <f>2038.5</f>
        <v>2038.5</v>
      </c>
      <c r="R226" s="34" t="s">
        <v>50</v>
      </c>
      <c r="S226" s="35" t="n">
        <f>2018.98</f>
        <v>2018.98</v>
      </c>
      <c r="T226" s="32" t="n">
        <f>1230800</f>
        <v>1230800.0</v>
      </c>
      <c r="U226" s="32" t="n">
        <f>125000</f>
        <v>125000.0</v>
      </c>
      <c r="V226" s="32" t="n">
        <f>2454793150</f>
        <v>2.45479315E9</v>
      </c>
      <c r="W226" s="32" t="n">
        <f>253775000</f>
        <v>2.53775E8</v>
      </c>
      <c r="X226" s="36" t="n">
        <f>22</f>
        <v>22.0</v>
      </c>
    </row>
    <row r="227">
      <c r="A227" s="27" t="s">
        <v>42</v>
      </c>
      <c r="B227" s="27" t="s">
        <v>729</v>
      </c>
      <c r="C227" s="27" t="s">
        <v>730</v>
      </c>
      <c r="D227" s="27" t="s">
        <v>731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28325</f>
        <v>28325.0</v>
      </c>
      <c r="L227" s="34" t="s">
        <v>48</v>
      </c>
      <c r="M227" s="33" t="n">
        <f>29485</f>
        <v>29485.0</v>
      </c>
      <c r="N227" s="34" t="s">
        <v>49</v>
      </c>
      <c r="O227" s="33" t="n">
        <f>27970</f>
        <v>27970.0</v>
      </c>
      <c r="P227" s="34" t="s">
        <v>48</v>
      </c>
      <c r="Q227" s="33" t="n">
        <f>29300</f>
        <v>29300.0</v>
      </c>
      <c r="R227" s="34" t="s">
        <v>50</v>
      </c>
      <c r="S227" s="35" t="n">
        <f>28887.73</f>
        <v>28887.73</v>
      </c>
      <c r="T227" s="32" t="n">
        <f>81676</f>
        <v>81676.0</v>
      </c>
      <c r="U227" s="32" t="str">
        <f>"－"</f>
        <v>－</v>
      </c>
      <c r="V227" s="32" t="n">
        <f>2309443930</f>
        <v>2.30944393E9</v>
      </c>
      <c r="W227" s="32" t="str">
        <f>"－"</f>
        <v>－</v>
      </c>
      <c r="X227" s="36" t="n">
        <f>22</f>
        <v>22.0</v>
      </c>
    </row>
    <row r="228">
      <c r="A228" s="27" t="s">
        <v>42</v>
      </c>
      <c r="B228" s="27" t="s">
        <v>732</v>
      </c>
      <c r="C228" s="27" t="s">
        <v>733</v>
      </c>
      <c r="D228" s="27" t="s">
        <v>734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17680</f>
        <v>17680.0</v>
      </c>
      <c r="L228" s="34" t="s">
        <v>48</v>
      </c>
      <c r="M228" s="33" t="n">
        <f>18485</f>
        <v>18485.0</v>
      </c>
      <c r="N228" s="34" t="s">
        <v>49</v>
      </c>
      <c r="O228" s="33" t="n">
        <f>17680</f>
        <v>17680.0</v>
      </c>
      <c r="P228" s="34" t="s">
        <v>48</v>
      </c>
      <c r="Q228" s="33" t="n">
        <f>18305</f>
        <v>18305.0</v>
      </c>
      <c r="R228" s="34" t="s">
        <v>50</v>
      </c>
      <c r="S228" s="35" t="n">
        <f>18118.44</f>
        <v>18118.44</v>
      </c>
      <c r="T228" s="32" t="n">
        <f>287497</f>
        <v>287497.0</v>
      </c>
      <c r="U228" s="32" t="n">
        <f>239200</f>
        <v>239200.0</v>
      </c>
      <c r="V228" s="32" t="n">
        <f>5207491960</f>
        <v>5.20749196E9</v>
      </c>
      <c r="W228" s="32" t="n">
        <f>4347935440</f>
        <v>4.34793544E9</v>
      </c>
      <c r="X228" s="36" t="n">
        <f>16</f>
        <v>16.0</v>
      </c>
    </row>
    <row r="229">
      <c r="A229" s="27" t="s">
        <v>42</v>
      </c>
      <c r="B229" s="27" t="s">
        <v>735</v>
      </c>
      <c r="C229" s="27" t="s">
        <v>736</v>
      </c>
      <c r="D229" s="27" t="s">
        <v>737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1201.5</f>
        <v>1201.5</v>
      </c>
      <c r="L229" s="34" t="s">
        <v>48</v>
      </c>
      <c r="M229" s="33" t="n">
        <f>1224.5</f>
        <v>1224.5</v>
      </c>
      <c r="N229" s="34" t="s">
        <v>50</v>
      </c>
      <c r="O229" s="33" t="n">
        <f>1183.5</f>
        <v>1183.5</v>
      </c>
      <c r="P229" s="34" t="s">
        <v>88</v>
      </c>
      <c r="Q229" s="33" t="n">
        <f>1224.5</f>
        <v>1224.5</v>
      </c>
      <c r="R229" s="34" t="s">
        <v>50</v>
      </c>
      <c r="S229" s="35" t="n">
        <f>1203</f>
        <v>1203.0</v>
      </c>
      <c r="T229" s="32" t="n">
        <f>655780</f>
        <v>655780.0</v>
      </c>
      <c r="U229" s="32" t="n">
        <f>152090</f>
        <v>152090.0</v>
      </c>
      <c r="V229" s="32" t="n">
        <f>787869940</f>
        <v>7.8786994E8</v>
      </c>
      <c r="W229" s="32" t="n">
        <f>182787510</f>
        <v>1.8278751E8</v>
      </c>
      <c r="X229" s="36" t="n">
        <f>21</f>
        <v>21.0</v>
      </c>
    </row>
    <row r="230">
      <c r="A230" s="27" t="s">
        <v>42</v>
      </c>
      <c r="B230" s="27" t="s">
        <v>738</v>
      </c>
      <c r="C230" s="27" t="s">
        <v>739</v>
      </c>
      <c r="D230" s="27" t="s">
        <v>740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1182</f>
        <v>1182.0</v>
      </c>
      <c r="L230" s="34" t="s">
        <v>48</v>
      </c>
      <c r="M230" s="33" t="n">
        <f>1208.5</f>
        <v>1208.5</v>
      </c>
      <c r="N230" s="34" t="s">
        <v>76</v>
      </c>
      <c r="O230" s="33" t="n">
        <f>1173</f>
        <v>1173.0</v>
      </c>
      <c r="P230" s="34" t="s">
        <v>97</v>
      </c>
      <c r="Q230" s="33" t="n">
        <f>1203.5</f>
        <v>1203.5</v>
      </c>
      <c r="R230" s="34" t="s">
        <v>50</v>
      </c>
      <c r="S230" s="35" t="n">
        <f>1186.05</f>
        <v>1186.05</v>
      </c>
      <c r="T230" s="32" t="n">
        <f>10570</f>
        <v>10570.0</v>
      </c>
      <c r="U230" s="32" t="str">
        <f>"－"</f>
        <v>－</v>
      </c>
      <c r="V230" s="32" t="n">
        <f>12534590</f>
        <v>1.253459E7</v>
      </c>
      <c r="W230" s="32" t="str">
        <f>"－"</f>
        <v>－</v>
      </c>
      <c r="X230" s="36" t="n">
        <f>22</f>
        <v>22.0</v>
      </c>
    </row>
    <row r="231">
      <c r="A231" s="27" t="s">
        <v>42</v>
      </c>
      <c r="B231" s="27" t="s">
        <v>741</v>
      </c>
      <c r="C231" s="27" t="s">
        <v>742</v>
      </c>
      <c r="D231" s="27" t="s">
        <v>743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1081</f>
        <v>1081.0</v>
      </c>
      <c r="L231" s="34" t="s">
        <v>48</v>
      </c>
      <c r="M231" s="33" t="n">
        <f>1140</f>
        <v>1140.0</v>
      </c>
      <c r="N231" s="34" t="s">
        <v>50</v>
      </c>
      <c r="O231" s="33" t="n">
        <f>1076</f>
        <v>1076.0</v>
      </c>
      <c r="P231" s="34" t="s">
        <v>48</v>
      </c>
      <c r="Q231" s="33" t="n">
        <f>1122</f>
        <v>1122.0</v>
      </c>
      <c r="R231" s="34" t="s">
        <v>50</v>
      </c>
      <c r="S231" s="35" t="n">
        <f>1107.95</f>
        <v>1107.95</v>
      </c>
      <c r="T231" s="32" t="n">
        <f>63712</f>
        <v>63712.0</v>
      </c>
      <c r="U231" s="32" t="n">
        <f>14</f>
        <v>14.0</v>
      </c>
      <c r="V231" s="32" t="n">
        <f>69824288</f>
        <v>6.9824288E7</v>
      </c>
      <c r="W231" s="32" t="n">
        <f>14304</f>
        <v>14304.0</v>
      </c>
      <c r="X231" s="36" t="n">
        <f>22</f>
        <v>22.0</v>
      </c>
    </row>
    <row r="232">
      <c r="A232" s="27" t="s">
        <v>42</v>
      </c>
      <c r="B232" s="27" t="s">
        <v>744</v>
      </c>
      <c r="C232" s="27" t="s">
        <v>745</v>
      </c>
      <c r="D232" s="27" t="s">
        <v>746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13885</f>
        <v>13885.0</v>
      </c>
      <c r="L232" s="34" t="s">
        <v>48</v>
      </c>
      <c r="M232" s="33" t="n">
        <f>14500</f>
        <v>14500.0</v>
      </c>
      <c r="N232" s="34" t="s">
        <v>49</v>
      </c>
      <c r="O232" s="33" t="n">
        <f>13505</f>
        <v>13505.0</v>
      </c>
      <c r="P232" s="34" t="s">
        <v>48</v>
      </c>
      <c r="Q232" s="33" t="n">
        <f>14390</f>
        <v>14390.0</v>
      </c>
      <c r="R232" s="34" t="s">
        <v>50</v>
      </c>
      <c r="S232" s="35" t="n">
        <f>14167.05</f>
        <v>14167.05</v>
      </c>
      <c r="T232" s="32" t="n">
        <f>1303</f>
        <v>1303.0</v>
      </c>
      <c r="U232" s="32" t="str">
        <f>"－"</f>
        <v>－</v>
      </c>
      <c r="V232" s="32" t="n">
        <f>18444060</f>
        <v>1.844406E7</v>
      </c>
      <c r="W232" s="32" t="str">
        <f>"－"</f>
        <v>－</v>
      </c>
      <c r="X232" s="36" t="n">
        <f>22</f>
        <v>22.0</v>
      </c>
    </row>
    <row r="233">
      <c r="A233" s="27" t="s">
        <v>42</v>
      </c>
      <c r="B233" s="27" t="s">
        <v>747</v>
      </c>
      <c r="C233" s="27" t="s">
        <v>748</v>
      </c>
      <c r="D233" s="27" t="s">
        <v>749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2163</f>
        <v>2163.0</v>
      </c>
      <c r="L233" s="34" t="s">
        <v>48</v>
      </c>
      <c r="M233" s="33" t="n">
        <f>2216</f>
        <v>2216.0</v>
      </c>
      <c r="N233" s="34" t="s">
        <v>50</v>
      </c>
      <c r="O233" s="33" t="n">
        <f>2142</f>
        <v>2142.0</v>
      </c>
      <c r="P233" s="34" t="s">
        <v>76</v>
      </c>
      <c r="Q233" s="33" t="n">
        <f>2213</f>
        <v>2213.0</v>
      </c>
      <c r="R233" s="34" t="s">
        <v>50</v>
      </c>
      <c r="S233" s="35" t="n">
        <f>2181.73</f>
        <v>2181.73</v>
      </c>
      <c r="T233" s="32" t="n">
        <f>12814</f>
        <v>12814.0</v>
      </c>
      <c r="U233" s="32" t="str">
        <f>"－"</f>
        <v>－</v>
      </c>
      <c r="V233" s="32" t="n">
        <f>27979606</f>
        <v>2.7979606E7</v>
      </c>
      <c r="W233" s="32" t="str">
        <f>"－"</f>
        <v>－</v>
      </c>
      <c r="X233" s="36" t="n">
        <f>22</f>
        <v>22.0</v>
      </c>
    </row>
    <row r="234">
      <c r="A234" s="27" t="s">
        <v>42</v>
      </c>
      <c r="B234" s="27" t="s">
        <v>750</v>
      </c>
      <c r="C234" s="27" t="s">
        <v>751</v>
      </c>
      <c r="D234" s="27" t="s">
        <v>752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1756.5</f>
        <v>1756.5</v>
      </c>
      <c r="L234" s="34" t="s">
        <v>48</v>
      </c>
      <c r="M234" s="33" t="n">
        <f>1764</f>
        <v>1764.0</v>
      </c>
      <c r="N234" s="34" t="s">
        <v>75</v>
      </c>
      <c r="O234" s="33" t="n">
        <f>1624.5</f>
        <v>1624.5</v>
      </c>
      <c r="P234" s="34" t="s">
        <v>88</v>
      </c>
      <c r="Q234" s="33" t="n">
        <f>1705</f>
        <v>1705.0</v>
      </c>
      <c r="R234" s="34" t="s">
        <v>50</v>
      </c>
      <c r="S234" s="35" t="n">
        <f>1735.83</f>
        <v>1735.83</v>
      </c>
      <c r="T234" s="32" t="n">
        <f>1750</f>
        <v>1750.0</v>
      </c>
      <c r="U234" s="32" t="str">
        <f>"－"</f>
        <v>－</v>
      </c>
      <c r="V234" s="32" t="n">
        <f>3005980</f>
        <v>3005980.0</v>
      </c>
      <c r="W234" s="32" t="str">
        <f>"－"</f>
        <v>－</v>
      </c>
      <c r="X234" s="36" t="n">
        <f>15</f>
        <v>15.0</v>
      </c>
    </row>
    <row r="235">
      <c r="A235" s="27" t="s">
        <v>42</v>
      </c>
      <c r="B235" s="27" t="s">
        <v>753</v>
      </c>
      <c r="C235" s="27" t="s">
        <v>754</v>
      </c>
      <c r="D235" s="27" t="s">
        <v>755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994.8</f>
        <v>994.8</v>
      </c>
      <c r="L235" s="34" t="s">
        <v>48</v>
      </c>
      <c r="M235" s="33" t="n">
        <f>1001</f>
        <v>1001.0</v>
      </c>
      <c r="N235" s="34" t="s">
        <v>67</v>
      </c>
      <c r="O235" s="33" t="n">
        <f>986.6</f>
        <v>986.6</v>
      </c>
      <c r="P235" s="34" t="s">
        <v>92</v>
      </c>
      <c r="Q235" s="33" t="n">
        <f>990.4</f>
        <v>990.4</v>
      </c>
      <c r="R235" s="34" t="s">
        <v>50</v>
      </c>
      <c r="S235" s="35" t="n">
        <f>991.17</f>
        <v>991.17</v>
      </c>
      <c r="T235" s="32" t="n">
        <f>1174940</f>
        <v>1174940.0</v>
      </c>
      <c r="U235" s="32" t="n">
        <f>895620</f>
        <v>895620.0</v>
      </c>
      <c r="V235" s="32" t="n">
        <f>1165230042</f>
        <v>1.165230042E9</v>
      </c>
      <c r="W235" s="32" t="n">
        <f>888207135</f>
        <v>8.88207135E8</v>
      </c>
      <c r="X235" s="36" t="n">
        <f>22</f>
        <v>22.0</v>
      </c>
    </row>
    <row r="236">
      <c r="A236" s="27" t="s">
        <v>42</v>
      </c>
      <c r="B236" s="27" t="s">
        <v>756</v>
      </c>
      <c r="C236" s="27" t="s">
        <v>757</v>
      </c>
      <c r="D236" s="27" t="s">
        <v>758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2064.5</f>
        <v>2064.5</v>
      </c>
      <c r="L236" s="34" t="s">
        <v>48</v>
      </c>
      <c r="M236" s="33" t="n">
        <f>2125</f>
        <v>2125.0</v>
      </c>
      <c r="N236" s="34" t="s">
        <v>50</v>
      </c>
      <c r="O236" s="33" t="n">
        <f>2053</f>
        <v>2053.0</v>
      </c>
      <c r="P236" s="34" t="s">
        <v>88</v>
      </c>
      <c r="Q236" s="33" t="n">
        <f>2115</f>
        <v>2115.0</v>
      </c>
      <c r="R236" s="34" t="s">
        <v>50</v>
      </c>
      <c r="S236" s="35" t="n">
        <f>2086.48</f>
        <v>2086.48</v>
      </c>
      <c r="T236" s="32" t="n">
        <f>12670</f>
        <v>12670.0</v>
      </c>
      <c r="U236" s="32" t="str">
        <f>"－"</f>
        <v>－</v>
      </c>
      <c r="V236" s="32" t="n">
        <f>26483315</f>
        <v>2.6483315E7</v>
      </c>
      <c r="W236" s="32" t="str">
        <f>"－"</f>
        <v>－</v>
      </c>
      <c r="X236" s="36" t="n">
        <f>22</f>
        <v>22.0</v>
      </c>
    </row>
    <row r="237">
      <c r="A237" s="27" t="s">
        <v>42</v>
      </c>
      <c r="B237" s="27" t="s">
        <v>759</v>
      </c>
      <c r="C237" s="27" t="s">
        <v>760</v>
      </c>
      <c r="D237" s="27" t="s">
        <v>761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2055</f>
        <v>2055.0</v>
      </c>
      <c r="L237" s="34" t="s">
        <v>48</v>
      </c>
      <c r="M237" s="33" t="n">
        <f>2121</f>
        <v>2121.0</v>
      </c>
      <c r="N237" s="34" t="s">
        <v>50</v>
      </c>
      <c r="O237" s="33" t="n">
        <f>2047</f>
        <v>2047.0</v>
      </c>
      <c r="P237" s="34" t="s">
        <v>67</v>
      </c>
      <c r="Q237" s="33" t="n">
        <f>2114.5</f>
        <v>2114.5</v>
      </c>
      <c r="R237" s="34" t="s">
        <v>50</v>
      </c>
      <c r="S237" s="35" t="n">
        <f>2082.36</f>
        <v>2082.36</v>
      </c>
      <c r="T237" s="32" t="n">
        <f>669450</f>
        <v>669450.0</v>
      </c>
      <c r="U237" s="32" t="n">
        <f>325000</f>
        <v>325000.0</v>
      </c>
      <c r="V237" s="32" t="n">
        <f>1395542285</f>
        <v>1.395542285E9</v>
      </c>
      <c r="W237" s="32" t="n">
        <f>677368850</f>
        <v>6.7736885E8</v>
      </c>
      <c r="X237" s="36" t="n">
        <f>22</f>
        <v>22.0</v>
      </c>
    </row>
    <row r="238">
      <c r="A238" s="27" t="s">
        <v>42</v>
      </c>
      <c r="B238" s="27" t="s">
        <v>762</v>
      </c>
      <c r="C238" s="27" t="s">
        <v>763</v>
      </c>
      <c r="D238" s="27" t="s">
        <v>764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1940</f>
        <v>1940.0</v>
      </c>
      <c r="L238" s="34" t="s">
        <v>48</v>
      </c>
      <c r="M238" s="33" t="n">
        <f>2024</f>
        <v>2024.0</v>
      </c>
      <c r="N238" s="34" t="s">
        <v>49</v>
      </c>
      <c r="O238" s="33" t="n">
        <f>1935</f>
        <v>1935.0</v>
      </c>
      <c r="P238" s="34" t="s">
        <v>67</v>
      </c>
      <c r="Q238" s="33" t="n">
        <f>2007</f>
        <v>2007.0</v>
      </c>
      <c r="R238" s="34" t="s">
        <v>105</v>
      </c>
      <c r="S238" s="35" t="n">
        <f>1988.67</f>
        <v>1988.67</v>
      </c>
      <c r="T238" s="32" t="n">
        <f>35310</f>
        <v>35310.0</v>
      </c>
      <c r="U238" s="32" t="str">
        <f>"－"</f>
        <v>－</v>
      </c>
      <c r="V238" s="32" t="n">
        <f>69390290</f>
        <v>6.939029E7</v>
      </c>
      <c r="W238" s="32" t="str">
        <f>"－"</f>
        <v>－</v>
      </c>
      <c r="X238" s="36" t="n">
        <f>9</f>
        <v>9.0</v>
      </c>
    </row>
    <row r="239">
      <c r="A239" s="27" t="s">
        <v>42</v>
      </c>
      <c r="B239" s="27" t="s">
        <v>765</v>
      </c>
      <c r="C239" s="27" t="s">
        <v>766</v>
      </c>
      <c r="D239" s="27" t="s">
        <v>767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14935</f>
        <v>14935.0</v>
      </c>
      <c r="L239" s="34" t="s">
        <v>48</v>
      </c>
      <c r="M239" s="33" t="n">
        <f>15800</f>
        <v>15800.0</v>
      </c>
      <c r="N239" s="34" t="s">
        <v>50</v>
      </c>
      <c r="O239" s="33" t="n">
        <f>14705</f>
        <v>14705.0</v>
      </c>
      <c r="P239" s="34" t="s">
        <v>67</v>
      </c>
      <c r="Q239" s="33" t="n">
        <f>15795</f>
        <v>15795.0</v>
      </c>
      <c r="R239" s="34" t="s">
        <v>50</v>
      </c>
      <c r="S239" s="35" t="n">
        <f>15262.5</f>
        <v>15262.5</v>
      </c>
      <c r="T239" s="32" t="n">
        <f>1292080</f>
        <v>1292080.0</v>
      </c>
      <c r="U239" s="32" t="n">
        <f>400002</f>
        <v>400002.0</v>
      </c>
      <c r="V239" s="32" t="n">
        <f>19787173210</f>
        <v>1.978717321E10</v>
      </c>
      <c r="W239" s="32" t="n">
        <f>6182667160</f>
        <v>6.18266716E9</v>
      </c>
      <c r="X239" s="36" t="n">
        <f>22</f>
        <v>22.0</v>
      </c>
    </row>
    <row r="240">
      <c r="A240" s="27" t="s">
        <v>42</v>
      </c>
      <c r="B240" s="27" t="s">
        <v>768</v>
      </c>
      <c r="C240" s="27" t="s">
        <v>769</v>
      </c>
      <c r="D240" s="27" t="s">
        <v>770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13650</f>
        <v>13650.0</v>
      </c>
      <c r="L240" s="34" t="s">
        <v>48</v>
      </c>
      <c r="M240" s="33" t="n">
        <f>14270</f>
        <v>14270.0</v>
      </c>
      <c r="N240" s="34" t="s">
        <v>105</v>
      </c>
      <c r="O240" s="33" t="n">
        <f>13500</f>
        <v>13500.0</v>
      </c>
      <c r="P240" s="34" t="s">
        <v>67</v>
      </c>
      <c r="Q240" s="33" t="n">
        <f>14245</f>
        <v>14245.0</v>
      </c>
      <c r="R240" s="34" t="s">
        <v>50</v>
      </c>
      <c r="S240" s="35" t="n">
        <f>13910.91</f>
        <v>13910.91</v>
      </c>
      <c r="T240" s="32" t="n">
        <f>217263</f>
        <v>217263.0</v>
      </c>
      <c r="U240" s="32" t="n">
        <f>3</f>
        <v>3.0</v>
      </c>
      <c r="V240" s="32" t="n">
        <f>3006098020</f>
        <v>3.00609802E9</v>
      </c>
      <c r="W240" s="32" t="n">
        <f>41915</f>
        <v>41915.0</v>
      </c>
      <c r="X240" s="36" t="n">
        <f>22</f>
        <v>22.0</v>
      </c>
    </row>
    <row r="241">
      <c r="A241" s="27" t="s">
        <v>42</v>
      </c>
      <c r="B241" s="27" t="s">
        <v>771</v>
      </c>
      <c r="C241" s="27" t="s">
        <v>772</v>
      </c>
      <c r="D241" s="27" t="s">
        <v>773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25845</f>
        <v>25845.0</v>
      </c>
      <c r="L241" s="34" t="s">
        <v>48</v>
      </c>
      <c r="M241" s="33" t="n">
        <f>26740</f>
        <v>26740.0</v>
      </c>
      <c r="N241" s="34" t="s">
        <v>254</v>
      </c>
      <c r="O241" s="33" t="n">
        <f>25755</f>
        <v>25755.0</v>
      </c>
      <c r="P241" s="34" t="s">
        <v>67</v>
      </c>
      <c r="Q241" s="33" t="n">
        <f>26690</f>
        <v>26690.0</v>
      </c>
      <c r="R241" s="34" t="s">
        <v>50</v>
      </c>
      <c r="S241" s="35" t="n">
        <f>26297.92</f>
        <v>26297.92</v>
      </c>
      <c r="T241" s="32" t="n">
        <f>78</f>
        <v>78.0</v>
      </c>
      <c r="U241" s="32" t="str">
        <f>"－"</f>
        <v>－</v>
      </c>
      <c r="V241" s="32" t="n">
        <f>2044135</f>
        <v>2044135.0</v>
      </c>
      <c r="W241" s="32" t="str">
        <f>"－"</f>
        <v>－</v>
      </c>
      <c r="X241" s="36" t="n">
        <f>12</f>
        <v>12.0</v>
      </c>
    </row>
    <row r="242">
      <c r="A242" s="27" t="s">
        <v>42</v>
      </c>
      <c r="B242" s="27" t="s">
        <v>774</v>
      </c>
      <c r="C242" s="27" t="s">
        <v>775</v>
      </c>
      <c r="D242" s="27" t="s">
        <v>776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2710</f>
        <v>2710.0</v>
      </c>
      <c r="L242" s="34" t="s">
        <v>48</v>
      </c>
      <c r="M242" s="33" t="n">
        <f>2717</f>
        <v>2717.0</v>
      </c>
      <c r="N242" s="34" t="s">
        <v>49</v>
      </c>
      <c r="O242" s="33" t="n">
        <f>2702</f>
        <v>2702.0</v>
      </c>
      <c r="P242" s="34" t="s">
        <v>50</v>
      </c>
      <c r="Q242" s="33" t="n">
        <f>2702</f>
        <v>2702.0</v>
      </c>
      <c r="R242" s="34" t="s">
        <v>50</v>
      </c>
      <c r="S242" s="35" t="n">
        <f>2710.41</f>
        <v>2710.41</v>
      </c>
      <c r="T242" s="32" t="n">
        <f>2096609</f>
        <v>2096609.0</v>
      </c>
      <c r="U242" s="32" t="n">
        <f>1426769</f>
        <v>1426769.0</v>
      </c>
      <c r="V242" s="32" t="n">
        <f>5682307748</f>
        <v>5.682307748E9</v>
      </c>
      <c r="W242" s="32" t="n">
        <f>3866491073</f>
        <v>3.866491073E9</v>
      </c>
      <c r="X242" s="36" t="n">
        <f>22</f>
        <v>22.0</v>
      </c>
    </row>
    <row r="243">
      <c r="A243" s="27" t="s">
        <v>42</v>
      </c>
      <c r="B243" s="27" t="s">
        <v>777</v>
      </c>
      <c r="C243" s="27" t="s">
        <v>778</v>
      </c>
      <c r="D243" s="27" t="s">
        <v>779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2987.5</f>
        <v>2987.5</v>
      </c>
      <c r="L243" s="34" t="s">
        <v>48</v>
      </c>
      <c r="M243" s="33" t="n">
        <f>3169</f>
        <v>3169.0</v>
      </c>
      <c r="N243" s="34" t="s">
        <v>50</v>
      </c>
      <c r="O243" s="33" t="n">
        <f>2955.5</f>
        <v>2955.5</v>
      </c>
      <c r="P243" s="34" t="s">
        <v>67</v>
      </c>
      <c r="Q243" s="33" t="n">
        <f>3164</f>
        <v>3164.0</v>
      </c>
      <c r="R243" s="34" t="s">
        <v>50</v>
      </c>
      <c r="S243" s="35" t="n">
        <f>3084.16</f>
        <v>3084.16</v>
      </c>
      <c r="T243" s="32" t="n">
        <f>4845610</f>
        <v>4845610.0</v>
      </c>
      <c r="U243" s="32" t="n">
        <f>2575700</f>
        <v>2575700.0</v>
      </c>
      <c r="V243" s="32" t="n">
        <f>14992570349</f>
        <v>1.4992570349E10</v>
      </c>
      <c r="W243" s="32" t="n">
        <f>8012135544</f>
        <v>8.012135544E9</v>
      </c>
      <c r="X243" s="36" t="n">
        <f>22</f>
        <v>22.0</v>
      </c>
    </row>
    <row r="244">
      <c r="A244" s="27" t="s">
        <v>42</v>
      </c>
      <c r="B244" s="27" t="s">
        <v>780</v>
      </c>
      <c r="C244" s="27" t="s">
        <v>781</v>
      </c>
      <c r="D244" s="27" t="s">
        <v>782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2987</f>
        <v>2987.0</v>
      </c>
      <c r="L244" s="34" t="s">
        <v>48</v>
      </c>
      <c r="M244" s="33" t="n">
        <f>3130</f>
        <v>3130.0</v>
      </c>
      <c r="N244" s="34" t="s">
        <v>80</v>
      </c>
      <c r="O244" s="33" t="n">
        <f>2945</f>
        <v>2945.0</v>
      </c>
      <c r="P244" s="34" t="s">
        <v>67</v>
      </c>
      <c r="Q244" s="33" t="n">
        <f>3120</f>
        <v>3120.0</v>
      </c>
      <c r="R244" s="34" t="s">
        <v>50</v>
      </c>
      <c r="S244" s="35" t="n">
        <f>3042.23</f>
        <v>3042.23</v>
      </c>
      <c r="T244" s="32" t="n">
        <f>4106804</f>
        <v>4106804.0</v>
      </c>
      <c r="U244" s="32" t="n">
        <f>724001</f>
        <v>724001.0</v>
      </c>
      <c r="V244" s="32" t="n">
        <f>12383199930</f>
        <v>1.238319993E10</v>
      </c>
      <c r="W244" s="32" t="n">
        <f>2181201300</f>
        <v>2.1812013E9</v>
      </c>
      <c r="X244" s="36" t="n">
        <f>22</f>
        <v>22.0</v>
      </c>
    </row>
    <row r="245">
      <c r="A245" s="27" t="s">
        <v>42</v>
      </c>
      <c r="B245" s="27" t="s">
        <v>783</v>
      </c>
      <c r="C245" s="27" t="s">
        <v>784</v>
      </c>
      <c r="D245" s="27" t="s">
        <v>785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1799</f>
        <v>1799.0</v>
      </c>
      <c r="L245" s="34" t="s">
        <v>48</v>
      </c>
      <c r="M245" s="33" t="n">
        <f>1956</f>
        <v>1956.0</v>
      </c>
      <c r="N245" s="34" t="s">
        <v>50</v>
      </c>
      <c r="O245" s="33" t="n">
        <f>1798</f>
        <v>1798.0</v>
      </c>
      <c r="P245" s="34" t="s">
        <v>48</v>
      </c>
      <c r="Q245" s="33" t="n">
        <f>1880</f>
        <v>1880.0</v>
      </c>
      <c r="R245" s="34" t="s">
        <v>50</v>
      </c>
      <c r="S245" s="35" t="n">
        <f>1859.64</f>
        <v>1859.64</v>
      </c>
      <c r="T245" s="32" t="n">
        <f>333552</f>
        <v>333552.0</v>
      </c>
      <c r="U245" s="32" t="n">
        <f>10672</f>
        <v>10672.0</v>
      </c>
      <c r="V245" s="32" t="n">
        <f>621303054</f>
        <v>6.21303054E8</v>
      </c>
      <c r="W245" s="32" t="n">
        <f>19980118</f>
        <v>1.9980118E7</v>
      </c>
      <c r="X245" s="36" t="n">
        <f>22</f>
        <v>22.0</v>
      </c>
    </row>
    <row r="246">
      <c r="A246" s="27" t="s">
        <v>42</v>
      </c>
      <c r="B246" s="27" t="s">
        <v>786</v>
      </c>
      <c r="C246" s="27" t="s">
        <v>787</v>
      </c>
      <c r="D246" s="27" t="s">
        <v>788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1180</f>
        <v>1180.0</v>
      </c>
      <c r="L246" s="34" t="s">
        <v>48</v>
      </c>
      <c r="M246" s="33" t="n">
        <f>1288</f>
        <v>1288.0</v>
      </c>
      <c r="N246" s="34" t="s">
        <v>80</v>
      </c>
      <c r="O246" s="33" t="n">
        <f>1180</f>
        <v>1180.0</v>
      </c>
      <c r="P246" s="34" t="s">
        <v>48</v>
      </c>
      <c r="Q246" s="33" t="n">
        <f>1274</f>
        <v>1274.0</v>
      </c>
      <c r="R246" s="34" t="s">
        <v>50</v>
      </c>
      <c r="S246" s="35" t="n">
        <f>1229.14</f>
        <v>1229.14</v>
      </c>
      <c r="T246" s="32" t="n">
        <f>101603</f>
        <v>101603.0</v>
      </c>
      <c r="U246" s="32" t="str">
        <f>"－"</f>
        <v>－</v>
      </c>
      <c r="V246" s="32" t="n">
        <f>125606482</f>
        <v>1.25606482E8</v>
      </c>
      <c r="W246" s="32" t="str">
        <f>"－"</f>
        <v>－</v>
      </c>
      <c r="X246" s="36" t="n">
        <f>22</f>
        <v>22.0</v>
      </c>
    </row>
    <row r="247">
      <c r="A247" s="27" t="s">
        <v>42</v>
      </c>
      <c r="B247" s="27" t="s">
        <v>789</v>
      </c>
      <c r="C247" s="27" t="s">
        <v>790</v>
      </c>
      <c r="D247" s="27" t="s">
        <v>791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1138</f>
        <v>1138.0</v>
      </c>
      <c r="L247" s="34" t="s">
        <v>48</v>
      </c>
      <c r="M247" s="33" t="n">
        <f>1182</f>
        <v>1182.0</v>
      </c>
      <c r="N247" s="34" t="s">
        <v>101</v>
      </c>
      <c r="O247" s="33" t="n">
        <f>1135</f>
        <v>1135.0</v>
      </c>
      <c r="P247" s="34" t="s">
        <v>88</v>
      </c>
      <c r="Q247" s="33" t="n">
        <f>1172.5</f>
        <v>1172.5</v>
      </c>
      <c r="R247" s="34" t="s">
        <v>50</v>
      </c>
      <c r="S247" s="35" t="n">
        <f>1152.73</f>
        <v>1152.73</v>
      </c>
      <c r="T247" s="32" t="n">
        <f>73950</f>
        <v>73950.0</v>
      </c>
      <c r="U247" s="32" t="n">
        <f>25000</f>
        <v>25000.0</v>
      </c>
      <c r="V247" s="32" t="n">
        <f>85328805</f>
        <v>8.5328805E7</v>
      </c>
      <c r="W247" s="32" t="n">
        <f>28982500</f>
        <v>2.89825E7</v>
      </c>
      <c r="X247" s="36" t="n">
        <f>22</f>
        <v>22.0</v>
      </c>
    </row>
    <row r="248">
      <c r="A248" s="27" t="s">
        <v>42</v>
      </c>
      <c r="B248" s="27" t="s">
        <v>792</v>
      </c>
      <c r="C248" s="27" t="s">
        <v>793</v>
      </c>
      <c r="D248" s="27" t="s">
        <v>794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252</f>
        <v>252.0</v>
      </c>
      <c r="L248" s="34" t="s">
        <v>48</v>
      </c>
      <c r="M248" s="33" t="n">
        <f>260</f>
        <v>260.0</v>
      </c>
      <c r="N248" s="34" t="s">
        <v>75</v>
      </c>
      <c r="O248" s="33" t="n">
        <f>242.6</f>
        <v>242.6</v>
      </c>
      <c r="P248" s="34" t="s">
        <v>254</v>
      </c>
      <c r="Q248" s="33" t="n">
        <f>253</f>
        <v>253.0</v>
      </c>
      <c r="R248" s="34" t="s">
        <v>50</v>
      </c>
      <c r="S248" s="35" t="n">
        <f>251.81</f>
        <v>251.81</v>
      </c>
      <c r="T248" s="32" t="n">
        <f>25750</f>
        <v>25750.0</v>
      </c>
      <c r="U248" s="32" t="str">
        <f>"－"</f>
        <v>－</v>
      </c>
      <c r="V248" s="32" t="n">
        <f>6432238</f>
        <v>6432238.0</v>
      </c>
      <c r="W248" s="32" t="str">
        <f>"－"</f>
        <v>－</v>
      </c>
      <c r="X248" s="36" t="n">
        <f>22</f>
        <v>22.0</v>
      </c>
    </row>
    <row r="249">
      <c r="A249" s="27" t="s">
        <v>42</v>
      </c>
      <c r="B249" s="27" t="s">
        <v>795</v>
      </c>
      <c r="C249" s="27" t="s">
        <v>796</v>
      </c>
      <c r="D249" s="27" t="s">
        <v>797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3164</f>
        <v>3164.0</v>
      </c>
      <c r="L249" s="34" t="s">
        <v>48</v>
      </c>
      <c r="M249" s="33" t="n">
        <f>3278</f>
        <v>3278.0</v>
      </c>
      <c r="N249" s="34" t="s">
        <v>105</v>
      </c>
      <c r="O249" s="33" t="n">
        <f>3046</f>
        <v>3046.0</v>
      </c>
      <c r="P249" s="34" t="s">
        <v>88</v>
      </c>
      <c r="Q249" s="33" t="n">
        <f>3265</f>
        <v>3265.0</v>
      </c>
      <c r="R249" s="34" t="s">
        <v>50</v>
      </c>
      <c r="S249" s="35" t="n">
        <f>3167.95</f>
        <v>3167.95</v>
      </c>
      <c r="T249" s="32" t="n">
        <f>1658710</f>
        <v>1658710.0</v>
      </c>
      <c r="U249" s="32" t="n">
        <f>32050</f>
        <v>32050.0</v>
      </c>
      <c r="V249" s="32" t="n">
        <f>5225606861</f>
        <v>5.225606861E9</v>
      </c>
      <c r="W249" s="32" t="n">
        <f>100095411</f>
        <v>1.00095411E8</v>
      </c>
      <c r="X249" s="36" t="n">
        <f>22</f>
        <v>22.0</v>
      </c>
    </row>
    <row r="250">
      <c r="A250" s="27" t="s">
        <v>42</v>
      </c>
      <c r="B250" s="27" t="s">
        <v>798</v>
      </c>
      <c r="C250" s="27" t="s">
        <v>799</v>
      </c>
      <c r="D250" s="27" t="s">
        <v>800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2919</f>
        <v>2919.0</v>
      </c>
      <c r="L250" s="34" t="s">
        <v>48</v>
      </c>
      <c r="M250" s="33" t="n">
        <f>2978</f>
        <v>2978.0</v>
      </c>
      <c r="N250" s="34" t="s">
        <v>105</v>
      </c>
      <c r="O250" s="33" t="n">
        <f>2802</f>
        <v>2802.0</v>
      </c>
      <c r="P250" s="34" t="s">
        <v>97</v>
      </c>
      <c r="Q250" s="33" t="n">
        <f>2962.5</f>
        <v>2962.5</v>
      </c>
      <c r="R250" s="34" t="s">
        <v>50</v>
      </c>
      <c r="S250" s="35" t="n">
        <f>2904.25</f>
        <v>2904.25</v>
      </c>
      <c r="T250" s="32" t="n">
        <f>3733800</f>
        <v>3733800.0</v>
      </c>
      <c r="U250" s="32" t="n">
        <f>304900</f>
        <v>304900.0</v>
      </c>
      <c r="V250" s="32" t="n">
        <f>10765428034</f>
        <v>1.0765428034E10</v>
      </c>
      <c r="W250" s="32" t="n">
        <f>871401874</f>
        <v>8.71401874E8</v>
      </c>
      <c r="X250" s="36" t="n">
        <f>22</f>
        <v>22.0</v>
      </c>
    </row>
    <row r="251">
      <c r="A251" s="27" t="s">
        <v>42</v>
      </c>
      <c r="B251" s="27" t="s">
        <v>801</v>
      </c>
      <c r="C251" s="27" t="s">
        <v>802</v>
      </c>
      <c r="D251" s="27" t="s">
        <v>803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2659</f>
        <v>2659.0</v>
      </c>
      <c r="L251" s="34" t="s">
        <v>48</v>
      </c>
      <c r="M251" s="33" t="n">
        <f>2691</f>
        <v>2691.0</v>
      </c>
      <c r="N251" s="34" t="s">
        <v>80</v>
      </c>
      <c r="O251" s="33" t="n">
        <f>2635</f>
        <v>2635.0</v>
      </c>
      <c r="P251" s="34" t="s">
        <v>88</v>
      </c>
      <c r="Q251" s="33" t="n">
        <f>2682</f>
        <v>2682.0</v>
      </c>
      <c r="R251" s="34" t="s">
        <v>50</v>
      </c>
      <c r="S251" s="35" t="n">
        <f>2655.64</f>
        <v>2655.64</v>
      </c>
      <c r="T251" s="32" t="n">
        <f>1056615</f>
        <v>1056615.0</v>
      </c>
      <c r="U251" s="32" t="n">
        <f>649000</f>
        <v>649000.0</v>
      </c>
      <c r="V251" s="32" t="n">
        <f>2791653940</f>
        <v>2.79165394E9</v>
      </c>
      <c r="W251" s="32" t="n">
        <f>1713491400</f>
        <v>1.7134914E9</v>
      </c>
      <c r="X251" s="36" t="n">
        <f>22</f>
        <v>22.0</v>
      </c>
    </row>
    <row r="252">
      <c r="A252" s="27" t="s">
        <v>42</v>
      </c>
      <c r="B252" s="27" t="s">
        <v>804</v>
      </c>
      <c r="C252" s="27" t="s">
        <v>805</v>
      </c>
      <c r="D252" s="27" t="s">
        <v>806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2310</f>
        <v>2310.0</v>
      </c>
      <c r="L252" s="34" t="s">
        <v>48</v>
      </c>
      <c r="M252" s="33" t="n">
        <f>2364</f>
        <v>2364.0</v>
      </c>
      <c r="N252" s="34" t="s">
        <v>88</v>
      </c>
      <c r="O252" s="33" t="n">
        <f>2243</f>
        <v>2243.0</v>
      </c>
      <c r="P252" s="34" t="s">
        <v>50</v>
      </c>
      <c r="Q252" s="33" t="n">
        <f>2245</f>
        <v>2245.0</v>
      </c>
      <c r="R252" s="34" t="s">
        <v>50</v>
      </c>
      <c r="S252" s="35" t="n">
        <f>2298.55</f>
        <v>2298.55</v>
      </c>
      <c r="T252" s="32" t="n">
        <f>1024123</f>
        <v>1024123.0</v>
      </c>
      <c r="U252" s="32" t="n">
        <f>250000</f>
        <v>250000.0</v>
      </c>
      <c r="V252" s="32" t="n">
        <f>2359772386</f>
        <v>2.359772386E9</v>
      </c>
      <c r="W252" s="32" t="n">
        <f>581425000</f>
        <v>5.81425E8</v>
      </c>
      <c r="X252" s="36" t="n">
        <f>22</f>
        <v>22.0</v>
      </c>
    </row>
    <row r="253">
      <c r="A253" s="27" t="s">
        <v>42</v>
      </c>
      <c r="B253" s="27" t="s">
        <v>807</v>
      </c>
      <c r="C253" s="27" t="s">
        <v>808</v>
      </c>
      <c r="D253" s="27" t="s">
        <v>809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2417</f>
        <v>2417.0</v>
      </c>
      <c r="L253" s="34" t="s">
        <v>48</v>
      </c>
      <c r="M253" s="33" t="n">
        <f>2468</f>
        <v>2468.0</v>
      </c>
      <c r="N253" s="34" t="s">
        <v>92</v>
      </c>
      <c r="O253" s="33" t="n">
        <f>2410</f>
        <v>2410.0</v>
      </c>
      <c r="P253" s="34" t="s">
        <v>48</v>
      </c>
      <c r="Q253" s="33" t="n">
        <f>2455</f>
        <v>2455.0</v>
      </c>
      <c r="R253" s="34" t="s">
        <v>50</v>
      </c>
      <c r="S253" s="35" t="n">
        <f>2443.59</f>
        <v>2443.59</v>
      </c>
      <c r="T253" s="32" t="n">
        <f>35820</f>
        <v>35820.0</v>
      </c>
      <c r="U253" s="32" t="str">
        <f>"－"</f>
        <v>－</v>
      </c>
      <c r="V253" s="32" t="n">
        <f>87558159</f>
        <v>8.7558159E7</v>
      </c>
      <c r="W253" s="32" t="str">
        <f>"－"</f>
        <v>－</v>
      </c>
      <c r="X253" s="36" t="n">
        <f>22</f>
        <v>22.0</v>
      </c>
    </row>
    <row r="254">
      <c r="A254" s="27" t="s">
        <v>42</v>
      </c>
      <c r="B254" s="27" t="s">
        <v>810</v>
      </c>
      <c r="C254" s="27" t="s">
        <v>811</v>
      </c>
      <c r="D254" s="27" t="s">
        <v>812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2492</f>
        <v>2492.0</v>
      </c>
      <c r="L254" s="34" t="s">
        <v>48</v>
      </c>
      <c r="M254" s="33" t="n">
        <f>2527</f>
        <v>2527.0</v>
      </c>
      <c r="N254" s="34" t="s">
        <v>75</v>
      </c>
      <c r="O254" s="33" t="n">
        <f>2486</f>
        <v>2486.0</v>
      </c>
      <c r="P254" s="34" t="s">
        <v>48</v>
      </c>
      <c r="Q254" s="33" t="n">
        <f>2498</f>
        <v>2498.0</v>
      </c>
      <c r="R254" s="34" t="s">
        <v>50</v>
      </c>
      <c r="S254" s="35" t="n">
        <f>2503.67</f>
        <v>2503.67</v>
      </c>
      <c r="T254" s="32" t="n">
        <f>7743</f>
        <v>7743.0</v>
      </c>
      <c r="U254" s="32" t="str">
        <f>"－"</f>
        <v>－</v>
      </c>
      <c r="V254" s="32" t="n">
        <f>19329347</f>
        <v>1.9329347E7</v>
      </c>
      <c r="W254" s="32" t="str">
        <f>"－"</f>
        <v>－</v>
      </c>
      <c r="X254" s="36" t="n">
        <f>18</f>
        <v>18.0</v>
      </c>
    </row>
    <row r="255">
      <c r="A255" s="27" t="s">
        <v>42</v>
      </c>
      <c r="B255" s="27" t="s">
        <v>813</v>
      </c>
      <c r="C255" s="27" t="s">
        <v>814</v>
      </c>
      <c r="D255" s="27" t="s">
        <v>815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2790</f>
        <v>2790.0</v>
      </c>
      <c r="L255" s="34" t="s">
        <v>48</v>
      </c>
      <c r="M255" s="33" t="n">
        <f>2957</f>
        <v>2957.0</v>
      </c>
      <c r="N255" s="34" t="s">
        <v>710</v>
      </c>
      <c r="O255" s="33" t="n">
        <f>2762</f>
        <v>2762.0</v>
      </c>
      <c r="P255" s="34" t="s">
        <v>81</v>
      </c>
      <c r="Q255" s="33" t="n">
        <f>2887</f>
        <v>2887.0</v>
      </c>
      <c r="R255" s="34" t="s">
        <v>50</v>
      </c>
      <c r="S255" s="35" t="n">
        <f>2860.32</f>
        <v>2860.32</v>
      </c>
      <c r="T255" s="32" t="n">
        <f>918264</f>
        <v>918264.0</v>
      </c>
      <c r="U255" s="32" t="n">
        <f>157710</f>
        <v>157710.0</v>
      </c>
      <c r="V255" s="32" t="n">
        <f>2604402362</f>
        <v>2.604402362E9</v>
      </c>
      <c r="W255" s="32" t="n">
        <f>445880951</f>
        <v>4.45880951E8</v>
      </c>
      <c r="X255" s="36" t="n">
        <f>22</f>
        <v>22.0</v>
      </c>
    </row>
    <row r="256">
      <c r="A256" s="27" t="s">
        <v>42</v>
      </c>
      <c r="B256" s="27" t="s">
        <v>816</v>
      </c>
      <c r="C256" s="27" t="s">
        <v>817</v>
      </c>
      <c r="D256" s="27" t="s">
        <v>818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1940</f>
        <v>1940.0</v>
      </c>
      <c r="L256" s="34" t="s">
        <v>48</v>
      </c>
      <c r="M256" s="33" t="n">
        <f>2015</f>
        <v>2015.0</v>
      </c>
      <c r="N256" s="34" t="s">
        <v>49</v>
      </c>
      <c r="O256" s="33" t="n">
        <f>1917</f>
        <v>1917.0</v>
      </c>
      <c r="P256" s="34" t="s">
        <v>48</v>
      </c>
      <c r="Q256" s="33" t="n">
        <f>1997</f>
        <v>1997.0</v>
      </c>
      <c r="R256" s="34" t="s">
        <v>50</v>
      </c>
      <c r="S256" s="35" t="n">
        <f>1977.91</f>
        <v>1977.91</v>
      </c>
      <c r="T256" s="32" t="n">
        <f>1930144</f>
        <v>1930144.0</v>
      </c>
      <c r="U256" s="32" t="n">
        <f>597943</f>
        <v>597943.0</v>
      </c>
      <c r="V256" s="32" t="n">
        <f>3813411107</f>
        <v>3.813411107E9</v>
      </c>
      <c r="W256" s="32" t="n">
        <f>1189500418</f>
        <v>1.189500418E9</v>
      </c>
      <c r="X256" s="36" t="n">
        <f>22</f>
        <v>22.0</v>
      </c>
    </row>
    <row r="257">
      <c r="A257" s="27" t="s">
        <v>42</v>
      </c>
      <c r="B257" s="27" t="s">
        <v>819</v>
      </c>
      <c r="C257" s="27" t="s">
        <v>820</v>
      </c>
      <c r="D257" s="27" t="s">
        <v>821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2071</f>
        <v>2071.0</v>
      </c>
      <c r="L257" s="34" t="s">
        <v>48</v>
      </c>
      <c r="M257" s="33" t="n">
        <f>2090</f>
        <v>2090.0</v>
      </c>
      <c r="N257" s="34" t="s">
        <v>75</v>
      </c>
      <c r="O257" s="33" t="n">
        <f>1971</f>
        <v>1971.0</v>
      </c>
      <c r="P257" s="34" t="s">
        <v>97</v>
      </c>
      <c r="Q257" s="33" t="n">
        <f>2022</f>
        <v>2022.0</v>
      </c>
      <c r="R257" s="34" t="s">
        <v>50</v>
      </c>
      <c r="S257" s="35" t="n">
        <f>2030.09</f>
        <v>2030.09</v>
      </c>
      <c r="T257" s="32" t="n">
        <f>179134</f>
        <v>179134.0</v>
      </c>
      <c r="U257" s="32" t="n">
        <f>2</f>
        <v>2.0</v>
      </c>
      <c r="V257" s="32" t="n">
        <f>363342333</f>
        <v>3.63342333E8</v>
      </c>
      <c r="W257" s="32" t="n">
        <f>4008</f>
        <v>4008.0</v>
      </c>
      <c r="X257" s="36" t="n">
        <f>22</f>
        <v>22.0</v>
      </c>
    </row>
    <row r="258">
      <c r="A258" s="27" t="s">
        <v>42</v>
      </c>
      <c r="B258" s="27" t="s">
        <v>822</v>
      </c>
      <c r="C258" s="27" t="s">
        <v>823</v>
      </c>
      <c r="D258" s="27" t="s">
        <v>824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2167</f>
        <v>2167.0</v>
      </c>
      <c r="L258" s="34" t="s">
        <v>48</v>
      </c>
      <c r="M258" s="33" t="n">
        <f>2191</f>
        <v>2191.0</v>
      </c>
      <c r="N258" s="34" t="s">
        <v>92</v>
      </c>
      <c r="O258" s="33" t="n">
        <f>1997</f>
        <v>1997.0</v>
      </c>
      <c r="P258" s="34" t="s">
        <v>71</v>
      </c>
      <c r="Q258" s="33" t="n">
        <f>2065</f>
        <v>2065.0</v>
      </c>
      <c r="R258" s="34" t="s">
        <v>50</v>
      </c>
      <c r="S258" s="35" t="n">
        <f>2091.82</f>
        <v>2091.82</v>
      </c>
      <c r="T258" s="32" t="n">
        <f>215158</f>
        <v>215158.0</v>
      </c>
      <c r="U258" s="32" t="str">
        <f>"－"</f>
        <v>－</v>
      </c>
      <c r="V258" s="32" t="n">
        <f>447606718</f>
        <v>4.47606718E8</v>
      </c>
      <c r="W258" s="32" t="str">
        <f>"－"</f>
        <v>－</v>
      </c>
      <c r="X258" s="36" t="n">
        <f>22</f>
        <v>22.0</v>
      </c>
    </row>
    <row r="259">
      <c r="A259" s="27" t="s">
        <v>42</v>
      </c>
      <c r="B259" s="27" t="s">
        <v>825</v>
      </c>
      <c r="C259" s="27" t="s">
        <v>826</v>
      </c>
      <c r="D259" s="27" t="s">
        <v>827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2645</f>
        <v>2645.0</v>
      </c>
      <c r="L259" s="34" t="s">
        <v>48</v>
      </c>
      <c r="M259" s="33" t="n">
        <f>2654</f>
        <v>2654.0</v>
      </c>
      <c r="N259" s="34" t="s">
        <v>60</v>
      </c>
      <c r="O259" s="33" t="n">
        <f>2452</f>
        <v>2452.0</v>
      </c>
      <c r="P259" s="34" t="s">
        <v>71</v>
      </c>
      <c r="Q259" s="33" t="n">
        <f>2528</f>
        <v>2528.0</v>
      </c>
      <c r="R259" s="34" t="s">
        <v>50</v>
      </c>
      <c r="S259" s="35" t="n">
        <f>2550.77</f>
        <v>2550.77</v>
      </c>
      <c r="T259" s="32" t="n">
        <f>29165</f>
        <v>29165.0</v>
      </c>
      <c r="U259" s="32" t="str">
        <f>"－"</f>
        <v>－</v>
      </c>
      <c r="V259" s="32" t="n">
        <f>74983833</f>
        <v>7.4983833E7</v>
      </c>
      <c r="W259" s="32" t="str">
        <f>"－"</f>
        <v>－</v>
      </c>
      <c r="X259" s="36" t="n">
        <f>22</f>
        <v>22.0</v>
      </c>
    </row>
    <row r="260">
      <c r="A260" s="27" t="s">
        <v>42</v>
      </c>
      <c r="B260" s="27" t="s">
        <v>828</v>
      </c>
      <c r="C260" s="27" t="s">
        <v>829</v>
      </c>
      <c r="D260" s="27" t="s">
        <v>830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2692</f>
        <v>2692.0</v>
      </c>
      <c r="L260" s="34" t="s">
        <v>48</v>
      </c>
      <c r="M260" s="33" t="n">
        <f>2837</f>
        <v>2837.0</v>
      </c>
      <c r="N260" s="34" t="s">
        <v>60</v>
      </c>
      <c r="O260" s="33" t="n">
        <f>2677</f>
        <v>2677.0</v>
      </c>
      <c r="P260" s="34" t="s">
        <v>97</v>
      </c>
      <c r="Q260" s="33" t="n">
        <f>2750</f>
        <v>2750.0</v>
      </c>
      <c r="R260" s="34" t="s">
        <v>50</v>
      </c>
      <c r="S260" s="35" t="n">
        <f>2745.14</f>
        <v>2745.14</v>
      </c>
      <c r="T260" s="32" t="n">
        <f>4652</f>
        <v>4652.0</v>
      </c>
      <c r="U260" s="32" t="str">
        <f>"－"</f>
        <v>－</v>
      </c>
      <c r="V260" s="32" t="n">
        <f>12877872</f>
        <v>1.2877872E7</v>
      </c>
      <c r="W260" s="32" t="str">
        <f>"－"</f>
        <v>－</v>
      </c>
      <c r="X260" s="36" t="n">
        <f>21</f>
        <v>21.0</v>
      </c>
    </row>
    <row r="261">
      <c r="A261" s="27" t="s">
        <v>42</v>
      </c>
      <c r="B261" s="27" t="s">
        <v>831</v>
      </c>
      <c r="C261" s="27" t="s">
        <v>832</v>
      </c>
      <c r="D261" s="27" t="s">
        <v>833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11875</f>
        <v>11875.0</v>
      </c>
      <c r="L261" s="34" t="s">
        <v>48</v>
      </c>
      <c r="M261" s="33" t="n">
        <f>12385</f>
        <v>12385.0</v>
      </c>
      <c r="N261" s="34" t="s">
        <v>80</v>
      </c>
      <c r="O261" s="33" t="n">
        <f>11705</f>
        <v>11705.0</v>
      </c>
      <c r="P261" s="34" t="s">
        <v>67</v>
      </c>
      <c r="Q261" s="33" t="n">
        <f>12365</f>
        <v>12365.0</v>
      </c>
      <c r="R261" s="34" t="s">
        <v>50</v>
      </c>
      <c r="S261" s="35" t="n">
        <f>12064.09</f>
        <v>12064.09</v>
      </c>
      <c r="T261" s="32" t="n">
        <f>718104</f>
        <v>718104.0</v>
      </c>
      <c r="U261" s="32" t="n">
        <f>515703</f>
        <v>515703.0</v>
      </c>
      <c r="V261" s="32" t="n">
        <f>8543565892</f>
        <v>8.543565892E9</v>
      </c>
      <c r="W261" s="32" t="n">
        <f>6122819122</f>
        <v>6.122819122E9</v>
      </c>
      <c r="X261" s="36" t="n">
        <f>22</f>
        <v>22.0</v>
      </c>
    </row>
    <row r="262">
      <c r="A262" s="27" t="s">
        <v>42</v>
      </c>
      <c r="B262" s="27" t="s">
        <v>834</v>
      </c>
      <c r="C262" s="27" t="s">
        <v>835</v>
      </c>
      <c r="D262" s="27" t="s">
        <v>836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13215</f>
        <v>13215.0</v>
      </c>
      <c r="L262" s="34" t="s">
        <v>48</v>
      </c>
      <c r="M262" s="33" t="n">
        <f>13675</f>
        <v>13675.0</v>
      </c>
      <c r="N262" s="34" t="s">
        <v>105</v>
      </c>
      <c r="O262" s="33" t="n">
        <f>12695</f>
        <v>12695.0</v>
      </c>
      <c r="P262" s="34" t="s">
        <v>97</v>
      </c>
      <c r="Q262" s="33" t="n">
        <f>13635</f>
        <v>13635.0</v>
      </c>
      <c r="R262" s="34" t="s">
        <v>50</v>
      </c>
      <c r="S262" s="35" t="n">
        <f>13223.41</f>
        <v>13223.41</v>
      </c>
      <c r="T262" s="32" t="n">
        <f>860163</f>
        <v>860163.0</v>
      </c>
      <c r="U262" s="32" t="n">
        <f>24175</f>
        <v>24175.0</v>
      </c>
      <c r="V262" s="32" t="n">
        <f>11322806000</f>
        <v>1.1322806E10</v>
      </c>
      <c r="W262" s="32" t="n">
        <f>316322715</f>
        <v>3.16322715E8</v>
      </c>
      <c r="X262" s="36" t="n">
        <f>22</f>
        <v>22.0</v>
      </c>
    </row>
    <row r="263">
      <c r="A263" s="27" t="s">
        <v>42</v>
      </c>
      <c r="B263" s="27" t="s">
        <v>837</v>
      </c>
      <c r="C263" s="27" t="s">
        <v>838</v>
      </c>
      <c r="D263" s="27" t="s">
        <v>839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12280</f>
        <v>12280.0</v>
      </c>
      <c r="L263" s="34" t="s">
        <v>48</v>
      </c>
      <c r="M263" s="33" t="n">
        <f>12550</f>
        <v>12550.0</v>
      </c>
      <c r="N263" s="34" t="s">
        <v>105</v>
      </c>
      <c r="O263" s="33" t="n">
        <f>11775</f>
        <v>11775.0</v>
      </c>
      <c r="P263" s="34" t="s">
        <v>97</v>
      </c>
      <c r="Q263" s="33" t="n">
        <f>12440</f>
        <v>12440.0</v>
      </c>
      <c r="R263" s="34" t="s">
        <v>50</v>
      </c>
      <c r="S263" s="35" t="n">
        <f>12210.45</f>
        <v>12210.45</v>
      </c>
      <c r="T263" s="32" t="n">
        <f>347139</f>
        <v>347139.0</v>
      </c>
      <c r="U263" s="32" t="n">
        <f>194302</f>
        <v>194302.0</v>
      </c>
      <c r="V263" s="32" t="n">
        <f>4251222076</f>
        <v>4.251222076E9</v>
      </c>
      <c r="W263" s="32" t="n">
        <f>2385114881</f>
        <v>2.385114881E9</v>
      </c>
      <c r="X263" s="36" t="n">
        <f>22</f>
        <v>22.0</v>
      </c>
    </row>
    <row r="264">
      <c r="A264" s="27" t="s">
        <v>42</v>
      </c>
      <c r="B264" s="27" t="s">
        <v>840</v>
      </c>
      <c r="C264" s="27" t="s">
        <v>841</v>
      </c>
      <c r="D264" s="27" t="s">
        <v>842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2407.5</f>
        <v>2407.5</v>
      </c>
      <c r="L264" s="34" t="s">
        <v>48</v>
      </c>
      <c r="M264" s="33" t="n">
        <f>2560</f>
        <v>2560.0</v>
      </c>
      <c r="N264" s="34" t="s">
        <v>50</v>
      </c>
      <c r="O264" s="33" t="n">
        <f>2362.5</f>
        <v>2362.5</v>
      </c>
      <c r="P264" s="34" t="s">
        <v>67</v>
      </c>
      <c r="Q264" s="33" t="n">
        <f>2554</f>
        <v>2554.0</v>
      </c>
      <c r="R264" s="34" t="s">
        <v>50</v>
      </c>
      <c r="S264" s="35" t="n">
        <f>2462.82</f>
        <v>2462.82</v>
      </c>
      <c r="T264" s="32" t="n">
        <f>1880310</f>
        <v>1880310.0</v>
      </c>
      <c r="U264" s="32" t="n">
        <f>482050</f>
        <v>482050.0</v>
      </c>
      <c r="V264" s="32" t="n">
        <f>4681724800</f>
        <v>4.6817248E9</v>
      </c>
      <c r="W264" s="32" t="n">
        <f>1224408575</f>
        <v>1.224408575E9</v>
      </c>
      <c r="X264" s="36" t="n">
        <f>22</f>
        <v>22.0</v>
      </c>
    </row>
    <row r="265">
      <c r="A265" s="27" t="s">
        <v>42</v>
      </c>
      <c r="B265" s="27" t="s">
        <v>843</v>
      </c>
      <c r="C265" s="27" t="s">
        <v>844</v>
      </c>
      <c r="D265" s="27" t="s">
        <v>845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2321</f>
        <v>2321.0</v>
      </c>
      <c r="L265" s="34" t="s">
        <v>48</v>
      </c>
      <c r="M265" s="33" t="n">
        <f>2428</f>
        <v>2428.0</v>
      </c>
      <c r="N265" s="34" t="s">
        <v>80</v>
      </c>
      <c r="O265" s="33" t="n">
        <f>2289</f>
        <v>2289.0</v>
      </c>
      <c r="P265" s="34" t="s">
        <v>67</v>
      </c>
      <c r="Q265" s="33" t="n">
        <f>2424.5</f>
        <v>2424.5</v>
      </c>
      <c r="R265" s="34" t="s">
        <v>50</v>
      </c>
      <c r="S265" s="35" t="n">
        <f>2362.73</f>
        <v>2362.73</v>
      </c>
      <c r="T265" s="32" t="n">
        <f>4577400</f>
        <v>4577400.0</v>
      </c>
      <c r="U265" s="32" t="n">
        <f>1420320</f>
        <v>1420320.0</v>
      </c>
      <c r="V265" s="32" t="n">
        <f>10813989814</f>
        <v>1.0813989814E10</v>
      </c>
      <c r="W265" s="32" t="n">
        <f>3355274884</f>
        <v>3.355274884E9</v>
      </c>
      <c r="X265" s="36" t="n">
        <f>22</f>
        <v>22.0</v>
      </c>
    </row>
    <row r="266">
      <c r="A266" s="27" t="s">
        <v>42</v>
      </c>
      <c r="B266" s="27" t="s">
        <v>846</v>
      </c>
      <c r="C266" s="27" t="s">
        <v>847</v>
      </c>
      <c r="D266" s="27" t="s">
        <v>848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2467</f>
        <v>2467.0</v>
      </c>
      <c r="L266" s="34" t="s">
        <v>48</v>
      </c>
      <c r="M266" s="33" t="n">
        <f>2611</f>
        <v>2611.0</v>
      </c>
      <c r="N266" s="34" t="s">
        <v>50</v>
      </c>
      <c r="O266" s="33" t="n">
        <f>2426</f>
        <v>2426.0</v>
      </c>
      <c r="P266" s="34" t="s">
        <v>67</v>
      </c>
      <c r="Q266" s="33" t="n">
        <f>2610</f>
        <v>2610.0</v>
      </c>
      <c r="R266" s="34" t="s">
        <v>50</v>
      </c>
      <c r="S266" s="35" t="n">
        <f>2520.45</f>
        <v>2520.45</v>
      </c>
      <c r="T266" s="32" t="n">
        <f>360740</f>
        <v>360740.0</v>
      </c>
      <c r="U266" s="32" t="n">
        <f>60000</f>
        <v>60000.0</v>
      </c>
      <c r="V266" s="32" t="n">
        <f>923341847</f>
        <v>9.23341847E8</v>
      </c>
      <c r="W266" s="32" t="n">
        <f>152996642</f>
        <v>1.52996642E8</v>
      </c>
      <c r="X266" s="36" t="n">
        <f>22</f>
        <v>22.0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2774</f>
        <v>2774.0</v>
      </c>
      <c r="L267" s="34" t="s">
        <v>48</v>
      </c>
      <c r="M267" s="33" t="n">
        <f>2862</f>
        <v>2862.0</v>
      </c>
      <c r="N267" s="34" t="s">
        <v>105</v>
      </c>
      <c r="O267" s="33" t="n">
        <f>2734</f>
        <v>2734.0</v>
      </c>
      <c r="P267" s="34" t="s">
        <v>48</v>
      </c>
      <c r="Q267" s="33" t="n">
        <f>2841</f>
        <v>2841.0</v>
      </c>
      <c r="R267" s="34" t="s">
        <v>50</v>
      </c>
      <c r="S267" s="35" t="n">
        <f>2812.05</f>
        <v>2812.05</v>
      </c>
      <c r="T267" s="32" t="n">
        <f>7876</f>
        <v>7876.0</v>
      </c>
      <c r="U267" s="32" t="str">
        <f>"－"</f>
        <v>－</v>
      </c>
      <c r="V267" s="32" t="n">
        <f>22162970</f>
        <v>2.216297E7</v>
      </c>
      <c r="W267" s="32" t="str">
        <f>"－"</f>
        <v>－</v>
      </c>
      <c r="X267" s="36" t="n">
        <f>22</f>
        <v>22.0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1744</f>
        <v>1744.0</v>
      </c>
      <c r="L268" s="34" t="s">
        <v>48</v>
      </c>
      <c r="M268" s="33" t="n">
        <f>1833</f>
        <v>1833.0</v>
      </c>
      <c r="N268" s="34" t="s">
        <v>75</v>
      </c>
      <c r="O268" s="33" t="n">
        <f>1715</f>
        <v>1715.0</v>
      </c>
      <c r="P268" s="34" t="s">
        <v>48</v>
      </c>
      <c r="Q268" s="33" t="n">
        <f>1754</f>
        <v>1754.0</v>
      </c>
      <c r="R268" s="34" t="s">
        <v>50</v>
      </c>
      <c r="S268" s="35" t="n">
        <f>1774.77</f>
        <v>1774.77</v>
      </c>
      <c r="T268" s="32" t="n">
        <f>120419</f>
        <v>120419.0</v>
      </c>
      <c r="U268" s="32" t="n">
        <f>15001</f>
        <v>15001.0</v>
      </c>
      <c r="V268" s="32" t="n">
        <f>212647819</f>
        <v>2.12647819E8</v>
      </c>
      <c r="W268" s="32" t="n">
        <f>26353504</f>
        <v>2.6353504E7</v>
      </c>
      <c r="X268" s="36" t="n">
        <f>22</f>
        <v>22.0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2252</f>
        <v>2252.0</v>
      </c>
      <c r="L269" s="34" t="s">
        <v>48</v>
      </c>
      <c r="M269" s="33" t="n">
        <f>2354</f>
        <v>2354.0</v>
      </c>
      <c r="N269" s="34" t="s">
        <v>49</v>
      </c>
      <c r="O269" s="33" t="n">
        <f>2216</f>
        <v>2216.0</v>
      </c>
      <c r="P269" s="34" t="s">
        <v>81</v>
      </c>
      <c r="Q269" s="33" t="n">
        <f>2307</f>
        <v>2307.0</v>
      </c>
      <c r="R269" s="34" t="s">
        <v>50</v>
      </c>
      <c r="S269" s="35" t="n">
        <f>2293.95</f>
        <v>2293.95</v>
      </c>
      <c r="T269" s="32" t="n">
        <f>40138</f>
        <v>40138.0</v>
      </c>
      <c r="U269" s="32" t="str">
        <f>"－"</f>
        <v>－</v>
      </c>
      <c r="V269" s="32" t="n">
        <f>91845546</f>
        <v>9.1845546E7</v>
      </c>
      <c r="W269" s="32" t="str">
        <f>"－"</f>
        <v>－</v>
      </c>
      <c r="X269" s="36" t="n">
        <f>22</f>
        <v>22.0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1768</f>
        <v>1768.0</v>
      </c>
      <c r="L270" s="34" t="s">
        <v>48</v>
      </c>
      <c r="M270" s="33" t="n">
        <f>1809</f>
        <v>1809.0</v>
      </c>
      <c r="N270" s="34" t="s">
        <v>80</v>
      </c>
      <c r="O270" s="33" t="n">
        <f>1727</f>
        <v>1727.0</v>
      </c>
      <c r="P270" s="34" t="s">
        <v>81</v>
      </c>
      <c r="Q270" s="33" t="n">
        <f>1809</f>
        <v>1809.0</v>
      </c>
      <c r="R270" s="34" t="s">
        <v>50</v>
      </c>
      <c r="S270" s="35" t="n">
        <f>1778.45</f>
        <v>1778.45</v>
      </c>
      <c r="T270" s="32" t="n">
        <f>309849</f>
        <v>309849.0</v>
      </c>
      <c r="U270" s="32" t="str">
        <f>"－"</f>
        <v>－</v>
      </c>
      <c r="V270" s="32" t="n">
        <f>554343323</f>
        <v>5.54343323E8</v>
      </c>
      <c r="W270" s="32" t="str">
        <f>"－"</f>
        <v>－</v>
      </c>
      <c r="X270" s="36" t="n">
        <f>22</f>
        <v>22.0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2571</f>
        <v>2571.0</v>
      </c>
      <c r="L271" s="34" t="s">
        <v>48</v>
      </c>
      <c r="M271" s="33" t="n">
        <f>2627</f>
        <v>2627.0</v>
      </c>
      <c r="N271" s="34" t="s">
        <v>75</v>
      </c>
      <c r="O271" s="33" t="n">
        <f>2464</f>
        <v>2464.0</v>
      </c>
      <c r="P271" s="34" t="s">
        <v>80</v>
      </c>
      <c r="Q271" s="33" t="n">
        <f>2505</f>
        <v>2505.0</v>
      </c>
      <c r="R271" s="34" t="s">
        <v>50</v>
      </c>
      <c r="S271" s="35" t="n">
        <f>2544.73</f>
        <v>2544.73</v>
      </c>
      <c r="T271" s="32" t="n">
        <f>633040</f>
        <v>633040.0</v>
      </c>
      <c r="U271" s="32" t="str">
        <f>"－"</f>
        <v>－</v>
      </c>
      <c r="V271" s="32" t="n">
        <f>1574585950</f>
        <v>1.57458595E9</v>
      </c>
      <c r="W271" s="32" t="str">
        <f>"－"</f>
        <v>－</v>
      </c>
      <c r="X271" s="36" t="n">
        <f>22</f>
        <v>22.0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2065</f>
        <v>2065.0</v>
      </c>
      <c r="L272" s="34" t="s">
        <v>48</v>
      </c>
      <c r="M272" s="33" t="n">
        <f>2178</f>
        <v>2178.0</v>
      </c>
      <c r="N272" s="34" t="s">
        <v>71</v>
      </c>
      <c r="O272" s="33" t="n">
        <f>2051</f>
        <v>2051.0</v>
      </c>
      <c r="P272" s="34" t="s">
        <v>48</v>
      </c>
      <c r="Q272" s="33" t="n">
        <f>2159</f>
        <v>2159.0</v>
      </c>
      <c r="R272" s="34" t="s">
        <v>50</v>
      </c>
      <c r="S272" s="35" t="n">
        <f>2122.86</f>
        <v>2122.86</v>
      </c>
      <c r="T272" s="32" t="n">
        <f>83572</f>
        <v>83572.0</v>
      </c>
      <c r="U272" s="32" t="n">
        <f>20000</f>
        <v>20000.0</v>
      </c>
      <c r="V272" s="32" t="n">
        <f>175423882</f>
        <v>1.75423882E8</v>
      </c>
      <c r="W272" s="32" t="n">
        <f>41340000</f>
        <v>4.134E7</v>
      </c>
      <c r="X272" s="36" t="n">
        <f>22</f>
        <v>22.0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25800</f>
        <v>25800.0</v>
      </c>
      <c r="L273" s="34" t="s">
        <v>48</v>
      </c>
      <c r="M273" s="33" t="n">
        <f>27080</f>
        <v>27080.0</v>
      </c>
      <c r="N273" s="34" t="s">
        <v>105</v>
      </c>
      <c r="O273" s="33" t="n">
        <f>25750</f>
        <v>25750.0</v>
      </c>
      <c r="P273" s="34" t="s">
        <v>48</v>
      </c>
      <c r="Q273" s="33" t="n">
        <f>26720</f>
        <v>26720.0</v>
      </c>
      <c r="R273" s="34" t="s">
        <v>50</v>
      </c>
      <c r="S273" s="35" t="n">
        <f>26356.18</f>
        <v>26356.18</v>
      </c>
      <c r="T273" s="32" t="n">
        <f>60</f>
        <v>60.0</v>
      </c>
      <c r="U273" s="32" t="str">
        <f>"－"</f>
        <v>－</v>
      </c>
      <c r="V273" s="32" t="n">
        <f>1582065</f>
        <v>1582065.0</v>
      </c>
      <c r="W273" s="32" t="str">
        <f>"－"</f>
        <v>－</v>
      </c>
      <c r="X273" s="36" t="n">
        <f>17</f>
        <v>17.0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2024</f>
        <v>2024.0</v>
      </c>
      <c r="L274" s="34" t="s">
        <v>48</v>
      </c>
      <c r="M274" s="33" t="n">
        <f>2117</f>
        <v>2117.0</v>
      </c>
      <c r="N274" s="34" t="s">
        <v>49</v>
      </c>
      <c r="O274" s="33" t="n">
        <f>2016</f>
        <v>2016.0</v>
      </c>
      <c r="P274" s="34" t="s">
        <v>48</v>
      </c>
      <c r="Q274" s="33" t="n">
        <f>2109</f>
        <v>2109.0</v>
      </c>
      <c r="R274" s="34" t="s">
        <v>50</v>
      </c>
      <c r="S274" s="35" t="n">
        <f>2077.23</f>
        <v>2077.23</v>
      </c>
      <c r="T274" s="32" t="n">
        <f>137021</f>
        <v>137021.0</v>
      </c>
      <c r="U274" s="32" t="str">
        <f>"－"</f>
        <v>－</v>
      </c>
      <c r="V274" s="32" t="n">
        <f>284775757</f>
        <v>2.84775757E8</v>
      </c>
      <c r="W274" s="32" t="str">
        <f>"－"</f>
        <v>－</v>
      </c>
      <c r="X274" s="36" t="n">
        <f>22</f>
        <v>22.0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2500</f>
        <v>2500.0</v>
      </c>
      <c r="L275" s="34" t="s">
        <v>48</v>
      </c>
      <c r="M275" s="33" t="n">
        <f>2694</f>
        <v>2694.0</v>
      </c>
      <c r="N275" s="34" t="s">
        <v>279</v>
      </c>
      <c r="O275" s="33" t="n">
        <f>2431</f>
        <v>2431.0</v>
      </c>
      <c r="P275" s="34" t="s">
        <v>81</v>
      </c>
      <c r="Q275" s="33" t="n">
        <f>2662</f>
        <v>2662.0</v>
      </c>
      <c r="R275" s="34" t="s">
        <v>50</v>
      </c>
      <c r="S275" s="35" t="n">
        <f>2560.77</f>
        <v>2560.77</v>
      </c>
      <c r="T275" s="32" t="n">
        <f>544544</f>
        <v>544544.0</v>
      </c>
      <c r="U275" s="32" t="n">
        <f>22</f>
        <v>22.0</v>
      </c>
      <c r="V275" s="32" t="n">
        <f>1393576662</f>
        <v>1.393576662E9</v>
      </c>
      <c r="W275" s="32" t="n">
        <f>53801</f>
        <v>53801.0</v>
      </c>
      <c r="X275" s="36" t="n">
        <f>22</f>
        <v>22.0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1965</f>
        <v>1965.0</v>
      </c>
      <c r="L276" s="34" t="s">
        <v>48</v>
      </c>
      <c r="M276" s="33" t="n">
        <f>2067</f>
        <v>2067.0</v>
      </c>
      <c r="N276" s="34" t="s">
        <v>92</v>
      </c>
      <c r="O276" s="33" t="n">
        <f>1935</f>
        <v>1935.0</v>
      </c>
      <c r="P276" s="34" t="s">
        <v>67</v>
      </c>
      <c r="Q276" s="33" t="n">
        <f>2003</f>
        <v>2003.0</v>
      </c>
      <c r="R276" s="34" t="s">
        <v>50</v>
      </c>
      <c r="S276" s="35" t="n">
        <f>1996.23</f>
        <v>1996.23</v>
      </c>
      <c r="T276" s="32" t="n">
        <f>124869</f>
        <v>124869.0</v>
      </c>
      <c r="U276" s="32" t="str">
        <f>"－"</f>
        <v>－</v>
      </c>
      <c r="V276" s="32" t="n">
        <f>249094229</f>
        <v>2.49094229E8</v>
      </c>
      <c r="W276" s="32" t="str">
        <f>"－"</f>
        <v>－</v>
      </c>
      <c r="X276" s="36" t="n">
        <f>22</f>
        <v>22.0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1314</f>
        <v>1314.0</v>
      </c>
      <c r="L277" s="34" t="s">
        <v>48</v>
      </c>
      <c r="M277" s="33" t="n">
        <f>1401</f>
        <v>1401.0</v>
      </c>
      <c r="N277" s="34" t="s">
        <v>50</v>
      </c>
      <c r="O277" s="33" t="n">
        <f>1305</f>
        <v>1305.0</v>
      </c>
      <c r="P277" s="34" t="s">
        <v>48</v>
      </c>
      <c r="Q277" s="33" t="n">
        <f>1399</f>
        <v>1399.0</v>
      </c>
      <c r="R277" s="34" t="s">
        <v>50</v>
      </c>
      <c r="S277" s="35" t="n">
        <f>1367.59</f>
        <v>1367.59</v>
      </c>
      <c r="T277" s="32" t="n">
        <f>43805</f>
        <v>43805.0</v>
      </c>
      <c r="U277" s="32" t="str">
        <f>"－"</f>
        <v>－</v>
      </c>
      <c r="V277" s="32" t="n">
        <f>60761438</f>
        <v>6.0761438E7</v>
      </c>
      <c r="W277" s="32" t="str">
        <f>"－"</f>
        <v>－</v>
      </c>
      <c r="X277" s="36" t="n">
        <f>22</f>
        <v>22.0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5033</f>
        <v>5033.0</v>
      </c>
      <c r="L278" s="34" t="s">
        <v>48</v>
      </c>
      <c r="M278" s="33" t="n">
        <f>5105</f>
        <v>5105.0</v>
      </c>
      <c r="N278" s="34" t="s">
        <v>80</v>
      </c>
      <c r="O278" s="33" t="n">
        <f>5033</f>
        <v>5033.0</v>
      </c>
      <c r="P278" s="34" t="s">
        <v>48</v>
      </c>
      <c r="Q278" s="33" t="n">
        <f>5105</f>
        <v>5105.0</v>
      </c>
      <c r="R278" s="34" t="s">
        <v>80</v>
      </c>
      <c r="S278" s="35" t="n">
        <f>5067.31</f>
        <v>5067.31</v>
      </c>
      <c r="T278" s="32" t="n">
        <f>226170</f>
        <v>226170.0</v>
      </c>
      <c r="U278" s="32" t="n">
        <f>80000</f>
        <v>80000.0</v>
      </c>
      <c r="V278" s="32" t="n">
        <f>1146512574</f>
        <v>1.146512574E9</v>
      </c>
      <c r="W278" s="32" t="n">
        <f>406328004</f>
        <v>4.06328004E8</v>
      </c>
      <c r="X278" s="36" t="n">
        <f>13</f>
        <v>13.0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5044</f>
        <v>5044.0</v>
      </c>
      <c r="L279" s="34" t="s">
        <v>48</v>
      </c>
      <c r="M279" s="33" t="n">
        <f>5090</f>
        <v>5090.0</v>
      </c>
      <c r="N279" s="34" t="s">
        <v>88</v>
      </c>
      <c r="O279" s="33" t="n">
        <f>5041</f>
        <v>5041.0</v>
      </c>
      <c r="P279" s="34" t="s">
        <v>60</v>
      </c>
      <c r="Q279" s="33" t="n">
        <f>5055</f>
        <v>5055.0</v>
      </c>
      <c r="R279" s="34" t="s">
        <v>93</v>
      </c>
      <c r="S279" s="35" t="n">
        <f>5059.75</f>
        <v>5059.75</v>
      </c>
      <c r="T279" s="32" t="n">
        <f>457390</f>
        <v>457390.0</v>
      </c>
      <c r="U279" s="32" t="str">
        <f>"－"</f>
        <v>－</v>
      </c>
      <c r="V279" s="32" t="n">
        <f>2318748440</f>
        <v>2.31874844E9</v>
      </c>
      <c r="W279" s="32" t="str">
        <f>"－"</f>
        <v>－</v>
      </c>
      <c r="X279" s="36" t="n">
        <f>12</f>
        <v>12.0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891</v>
      </c>
      <c r="F280" s="29" t="s">
        <v>892</v>
      </c>
      <c r="G280" s="30" t="s">
        <v>893</v>
      </c>
      <c r="H280" s="31"/>
      <c r="I280" s="31" t="s">
        <v>47</v>
      </c>
      <c r="J280" s="32" t="n">
        <v>1.0</v>
      </c>
      <c r="K280" s="33" t="n">
        <f>2786</f>
        <v>2786.0</v>
      </c>
      <c r="L280" s="34" t="s">
        <v>75</v>
      </c>
      <c r="M280" s="33" t="n">
        <f>2786</f>
        <v>2786.0</v>
      </c>
      <c r="N280" s="34" t="s">
        <v>75</v>
      </c>
      <c r="O280" s="33" t="n">
        <f>2502</f>
        <v>2502.0</v>
      </c>
      <c r="P280" s="34" t="s">
        <v>97</v>
      </c>
      <c r="Q280" s="33" t="n">
        <f>2613</f>
        <v>2613.0</v>
      </c>
      <c r="R280" s="34" t="s">
        <v>50</v>
      </c>
      <c r="S280" s="35" t="n">
        <f>2626.94</f>
        <v>2626.94</v>
      </c>
      <c r="T280" s="32" t="n">
        <f>149294</f>
        <v>149294.0</v>
      </c>
      <c r="U280" s="32" t="n">
        <f>128800</f>
        <v>128800.0</v>
      </c>
      <c r="V280" s="32" t="n">
        <f>406111135</f>
        <v>4.06111135E8</v>
      </c>
      <c r="W280" s="32" t="n">
        <f>351545544</f>
        <v>3.51545544E8</v>
      </c>
      <c r="X280" s="36" t="n">
        <f>17</f>
        <v>17.0</v>
      </c>
    </row>
    <row r="281">
      <c r="A281" s="27" t="s">
        <v>42</v>
      </c>
      <c r="B281" s="27" t="s">
        <v>894</v>
      </c>
      <c r="C281" s="27" t="s">
        <v>895</v>
      </c>
      <c r="D281" s="27" t="s">
        <v>896</v>
      </c>
      <c r="E281" s="28" t="s">
        <v>891</v>
      </c>
      <c r="F281" s="29" t="s">
        <v>892</v>
      </c>
      <c r="G281" s="30" t="s">
        <v>893</v>
      </c>
      <c r="H281" s="31"/>
      <c r="I281" s="31" t="s">
        <v>47</v>
      </c>
      <c r="J281" s="32" t="n">
        <v>1.0</v>
      </c>
      <c r="K281" s="33" t="n">
        <f>2194</f>
        <v>2194.0</v>
      </c>
      <c r="L281" s="34" t="s">
        <v>75</v>
      </c>
      <c r="M281" s="33" t="n">
        <f>2196</f>
        <v>2196.0</v>
      </c>
      <c r="N281" s="34" t="s">
        <v>92</v>
      </c>
      <c r="O281" s="33" t="n">
        <f>2030</f>
        <v>2030.0</v>
      </c>
      <c r="P281" s="34" t="s">
        <v>97</v>
      </c>
      <c r="Q281" s="33" t="n">
        <f>2068</f>
        <v>2068.0</v>
      </c>
      <c r="R281" s="34" t="s">
        <v>50</v>
      </c>
      <c r="S281" s="35" t="n">
        <f>2092.29</f>
        <v>2092.29</v>
      </c>
      <c r="T281" s="32" t="n">
        <f>93824</f>
        <v>93824.0</v>
      </c>
      <c r="U281" s="32" t="n">
        <f>68200</f>
        <v>68200.0</v>
      </c>
      <c r="V281" s="32" t="n">
        <f>202027977</f>
        <v>2.02027977E8</v>
      </c>
      <c r="W281" s="32" t="n">
        <f>147974290</f>
        <v>1.4797429E8</v>
      </c>
      <c r="X281" s="36" t="n">
        <f>17</f>
        <v>17.0</v>
      </c>
    </row>
    <row r="282">
      <c r="A282" s="27" t="s">
        <v>42</v>
      </c>
      <c r="B282" s="27" t="s">
        <v>897</v>
      </c>
      <c r="C282" s="27" t="s">
        <v>898</v>
      </c>
      <c r="D282" s="27" t="s">
        <v>899</v>
      </c>
      <c r="E282" s="28" t="s">
        <v>891</v>
      </c>
      <c r="F282" s="29" t="s">
        <v>892</v>
      </c>
      <c r="G282" s="30" t="s">
        <v>900</v>
      </c>
      <c r="H282" s="31"/>
      <c r="I282" s="31" t="s">
        <v>47</v>
      </c>
      <c r="J282" s="32" t="n">
        <v>1.0</v>
      </c>
      <c r="K282" s="33" t="n">
        <f>7557</f>
        <v>7557.0</v>
      </c>
      <c r="L282" s="34" t="s">
        <v>130</v>
      </c>
      <c r="M282" s="33" t="n">
        <f>7610</f>
        <v>7610.0</v>
      </c>
      <c r="N282" s="34" t="s">
        <v>105</v>
      </c>
      <c r="O282" s="33" t="n">
        <f>7539</f>
        <v>7539.0</v>
      </c>
      <c r="P282" s="34" t="s">
        <v>60</v>
      </c>
      <c r="Q282" s="33" t="n">
        <f>7582</f>
        <v>7582.0</v>
      </c>
      <c r="R282" s="34" t="s">
        <v>50</v>
      </c>
      <c r="S282" s="35" t="n">
        <f>7575.17</f>
        <v>7575.17</v>
      </c>
      <c r="T282" s="32" t="n">
        <f>228</f>
        <v>228.0</v>
      </c>
      <c r="U282" s="32" t="str">
        <f>"－"</f>
        <v>－</v>
      </c>
      <c r="V282" s="32" t="n">
        <f>1727176</f>
        <v>1727176.0</v>
      </c>
      <c r="W282" s="32" t="str">
        <f>"－"</f>
        <v>－</v>
      </c>
      <c r="X282" s="36" t="n">
        <f>12</f>
        <v>12.0</v>
      </c>
    </row>
    <row r="283">
      <c r="A283" s="27" t="s">
        <v>42</v>
      </c>
      <c r="B283" s="27" t="s">
        <v>901</v>
      </c>
      <c r="C283" s="27" t="s">
        <v>902</v>
      </c>
      <c r="D283" s="27" t="s">
        <v>903</v>
      </c>
      <c r="E283" s="28" t="s">
        <v>891</v>
      </c>
      <c r="F283" s="29" t="s">
        <v>892</v>
      </c>
      <c r="G283" s="30" t="s">
        <v>900</v>
      </c>
      <c r="H283" s="31"/>
      <c r="I283" s="31" t="s">
        <v>47</v>
      </c>
      <c r="J283" s="32" t="n">
        <v>1.0</v>
      </c>
      <c r="K283" s="33" t="n">
        <f>7562</f>
        <v>7562.0</v>
      </c>
      <c r="L283" s="34" t="s">
        <v>130</v>
      </c>
      <c r="M283" s="33" t="n">
        <f>7580</f>
        <v>7580.0</v>
      </c>
      <c r="N283" s="34" t="s">
        <v>130</v>
      </c>
      <c r="O283" s="33" t="n">
        <f>7470</f>
        <v>7470.0</v>
      </c>
      <c r="P283" s="34" t="s">
        <v>50</v>
      </c>
      <c r="Q283" s="33" t="n">
        <f>7470</f>
        <v>7470.0</v>
      </c>
      <c r="R283" s="34" t="s">
        <v>50</v>
      </c>
      <c r="S283" s="35" t="n">
        <f>7532</f>
        <v>7532.0</v>
      </c>
      <c r="T283" s="32" t="n">
        <f>2128</f>
        <v>2128.0</v>
      </c>
      <c r="U283" s="32" t="str">
        <f>"－"</f>
        <v>－</v>
      </c>
      <c r="V283" s="32" t="n">
        <f>16004817</f>
        <v>1.6004817E7</v>
      </c>
      <c r="W283" s="32" t="str">
        <f>"－"</f>
        <v>－</v>
      </c>
      <c r="X283" s="36" t="n">
        <f>11</f>
        <v>11.0</v>
      </c>
    </row>
    <row r="284">
      <c r="A284" s="27" t="s">
        <v>42</v>
      </c>
      <c r="B284" s="27" t="s">
        <v>904</v>
      </c>
      <c r="C284" s="27" t="s">
        <v>905</v>
      </c>
      <c r="D284" s="27" t="s">
        <v>906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136900</f>
        <v>136900.0</v>
      </c>
      <c r="L284" s="34" t="s">
        <v>48</v>
      </c>
      <c r="M284" s="33" t="n">
        <f>144000</f>
        <v>144000.0</v>
      </c>
      <c r="N284" s="34" t="s">
        <v>80</v>
      </c>
      <c r="O284" s="33" t="n">
        <f>135800</f>
        <v>135800.0</v>
      </c>
      <c r="P284" s="34" t="s">
        <v>88</v>
      </c>
      <c r="Q284" s="33" t="n">
        <f>143400</f>
        <v>143400.0</v>
      </c>
      <c r="R284" s="34" t="s">
        <v>50</v>
      </c>
      <c r="S284" s="35" t="n">
        <f>139663.64</f>
        <v>139663.64</v>
      </c>
      <c r="T284" s="32" t="n">
        <f>25862</f>
        <v>25862.0</v>
      </c>
      <c r="U284" s="32" t="n">
        <f>4379</f>
        <v>4379.0</v>
      </c>
      <c r="V284" s="32" t="n">
        <f>3611159633</f>
        <v>3.611159633E9</v>
      </c>
      <c r="W284" s="32" t="n">
        <f>610126633</f>
        <v>6.10126633E8</v>
      </c>
      <c r="X284" s="36" t="n">
        <f>22</f>
        <v>22.0</v>
      </c>
    </row>
    <row r="285">
      <c r="A285" s="27" t="s">
        <v>42</v>
      </c>
      <c r="B285" s="27" t="s">
        <v>907</v>
      </c>
      <c r="C285" s="27" t="s">
        <v>908</v>
      </c>
      <c r="D285" s="27" t="s">
        <v>909</v>
      </c>
      <c r="E285" s="28" t="s">
        <v>46</v>
      </c>
      <c r="F285" s="29" t="s">
        <v>46</v>
      </c>
      <c r="G285" s="30" t="s">
        <v>46</v>
      </c>
      <c r="H285" s="31"/>
      <c r="I285" s="31" t="s">
        <v>603</v>
      </c>
      <c r="J285" s="32" t="n">
        <v>1.0</v>
      </c>
      <c r="K285" s="33" t="n">
        <f>124100</f>
        <v>124100.0</v>
      </c>
      <c r="L285" s="34" t="s">
        <v>48</v>
      </c>
      <c r="M285" s="33" t="n">
        <f>128100</f>
        <v>128100.0</v>
      </c>
      <c r="N285" s="34" t="s">
        <v>88</v>
      </c>
      <c r="O285" s="33" t="n">
        <f>114200</f>
        <v>114200.0</v>
      </c>
      <c r="P285" s="34" t="s">
        <v>97</v>
      </c>
      <c r="Q285" s="33" t="n">
        <f>119500</f>
        <v>119500.0</v>
      </c>
      <c r="R285" s="34" t="s">
        <v>50</v>
      </c>
      <c r="S285" s="35" t="n">
        <f>120236.36</f>
        <v>120236.36</v>
      </c>
      <c r="T285" s="32" t="n">
        <f>92769</f>
        <v>92769.0</v>
      </c>
      <c r="U285" s="32" t="n">
        <f>21000</f>
        <v>21000.0</v>
      </c>
      <c r="V285" s="32" t="n">
        <f>11147754148</f>
        <v>1.1147754148E10</v>
      </c>
      <c r="W285" s="32" t="n">
        <f>2516198348</f>
        <v>2.516198348E9</v>
      </c>
      <c r="X285" s="36" t="n">
        <f>22</f>
        <v>22.0</v>
      </c>
    </row>
    <row r="286">
      <c r="A286" s="27" t="s">
        <v>42</v>
      </c>
      <c r="B286" s="27" t="s">
        <v>910</v>
      </c>
      <c r="C286" s="27" t="s">
        <v>911</v>
      </c>
      <c r="D286" s="27" t="s">
        <v>912</v>
      </c>
      <c r="E286" s="28" t="s">
        <v>46</v>
      </c>
      <c r="F286" s="29" t="s">
        <v>46</v>
      </c>
      <c r="G286" s="30" t="s">
        <v>46</v>
      </c>
      <c r="H286" s="31"/>
      <c r="I286" s="31" t="s">
        <v>603</v>
      </c>
      <c r="J286" s="32" t="n">
        <v>1.0</v>
      </c>
      <c r="K286" s="33" t="n">
        <f>161000</f>
        <v>161000.0</v>
      </c>
      <c r="L286" s="34" t="s">
        <v>48</v>
      </c>
      <c r="M286" s="33" t="n">
        <f>176800</f>
        <v>176800.0</v>
      </c>
      <c r="N286" s="34" t="s">
        <v>664</v>
      </c>
      <c r="O286" s="33" t="n">
        <f>158200</f>
        <v>158200.0</v>
      </c>
      <c r="P286" s="34" t="s">
        <v>48</v>
      </c>
      <c r="Q286" s="33" t="n">
        <f>176000</f>
        <v>176000.0</v>
      </c>
      <c r="R286" s="34" t="s">
        <v>50</v>
      </c>
      <c r="S286" s="35" t="n">
        <f>167759.09</f>
        <v>167759.09</v>
      </c>
      <c r="T286" s="32" t="n">
        <f>128603</f>
        <v>128603.0</v>
      </c>
      <c r="U286" s="32" t="n">
        <f>23353</f>
        <v>23353.0</v>
      </c>
      <c r="V286" s="32" t="n">
        <f>21202978853</f>
        <v>2.1202978853E10</v>
      </c>
      <c r="W286" s="32" t="n">
        <f>3840654853</f>
        <v>3.840654853E9</v>
      </c>
      <c r="X286" s="36" t="n">
        <f>22</f>
        <v>22.0</v>
      </c>
    </row>
    <row r="287">
      <c r="A287" s="27" t="s">
        <v>42</v>
      </c>
      <c r="B287" s="27" t="s">
        <v>913</v>
      </c>
      <c r="C287" s="27" t="s">
        <v>914</v>
      </c>
      <c r="D287" s="27" t="s">
        <v>915</v>
      </c>
      <c r="E287" s="28" t="s">
        <v>46</v>
      </c>
      <c r="F287" s="29" t="s">
        <v>46</v>
      </c>
      <c r="G287" s="30" t="s">
        <v>46</v>
      </c>
      <c r="H287" s="31"/>
      <c r="I287" s="31" t="s">
        <v>603</v>
      </c>
      <c r="J287" s="32" t="n">
        <v>1.0</v>
      </c>
      <c r="K287" s="33" t="n">
        <f>106100</f>
        <v>106100.0</v>
      </c>
      <c r="L287" s="34" t="s">
        <v>48</v>
      </c>
      <c r="M287" s="33" t="n">
        <f>111500</f>
        <v>111500.0</v>
      </c>
      <c r="N287" s="34" t="s">
        <v>50</v>
      </c>
      <c r="O287" s="33" t="n">
        <f>105400</f>
        <v>105400.0</v>
      </c>
      <c r="P287" s="34" t="s">
        <v>81</v>
      </c>
      <c r="Q287" s="33" t="n">
        <f>111200</f>
        <v>111200.0</v>
      </c>
      <c r="R287" s="34" t="s">
        <v>50</v>
      </c>
      <c r="S287" s="35" t="n">
        <f>107427.27</f>
        <v>107427.27</v>
      </c>
      <c r="T287" s="32" t="n">
        <f>23956</f>
        <v>23956.0</v>
      </c>
      <c r="U287" s="32" t="n">
        <f>4258</f>
        <v>4258.0</v>
      </c>
      <c r="V287" s="32" t="n">
        <f>2575221577</f>
        <v>2.575221577E9</v>
      </c>
      <c r="W287" s="32" t="n">
        <f>460307277</f>
        <v>4.60307277E8</v>
      </c>
      <c r="X287" s="36" t="n">
        <f>22</f>
        <v>22.0</v>
      </c>
    </row>
    <row r="288">
      <c r="A288" s="27" t="s">
        <v>42</v>
      </c>
      <c r="B288" s="27" t="s">
        <v>916</v>
      </c>
      <c r="C288" s="27" t="s">
        <v>917</v>
      </c>
      <c r="D288" s="27" t="s">
        <v>918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622000</f>
        <v>622000.0</v>
      </c>
      <c r="L288" s="34" t="s">
        <v>48</v>
      </c>
      <c r="M288" s="33" t="n">
        <f>669000</f>
        <v>669000.0</v>
      </c>
      <c r="N288" s="34" t="s">
        <v>101</v>
      </c>
      <c r="O288" s="33" t="n">
        <f>622000</f>
        <v>622000.0</v>
      </c>
      <c r="P288" s="34" t="s">
        <v>48</v>
      </c>
      <c r="Q288" s="33" t="n">
        <f>663000</f>
        <v>663000.0</v>
      </c>
      <c r="R288" s="34" t="s">
        <v>50</v>
      </c>
      <c r="S288" s="35" t="n">
        <f>644090.91</f>
        <v>644090.91</v>
      </c>
      <c r="T288" s="32" t="n">
        <f>37907</f>
        <v>37907.0</v>
      </c>
      <c r="U288" s="32" t="n">
        <f>7877</f>
        <v>7877.0</v>
      </c>
      <c r="V288" s="32" t="n">
        <f>24317420899</f>
        <v>2.4317420899E10</v>
      </c>
      <c r="W288" s="32" t="n">
        <f>5052439899</f>
        <v>5.052439899E9</v>
      </c>
      <c r="X288" s="36" t="n">
        <f>22</f>
        <v>22.0</v>
      </c>
    </row>
    <row r="289">
      <c r="A289" s="27" t="s">
        <v>42</v>
      </c>
      <c r="B289" s="27" t="s">
        <v>919</v>
      </c>
      <c r="C289" s="27" t="s">
        <v>920</v>
      </c>
      <c r="D289" s="27" t="s">
        <v>921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153200</f>
        <v>153200.0</v>
      </c>
      <c r="L289" s="34" t="s">
        <v>48</v>
      </c>
      <c r="M289" s="33" t="n">
        <f>157500</f>
        <v>157500.0</v>
      </c>
      <c r="N289" s="34" t="s">
        <v>254</v>
      </c>
      <c r="O289" s="33" t="n">
        <f>151100</f>
        <v>151100.0</v>
      </c>
      <c r="P289" s="34" t="s">
        <v>67</v>
      </c>
      <c r="Q289" s="33" t="n">
        <f>156100</f>
        <v>156100.0</v>
      </c>
      <c r="R289" s="34" t="s">
        <v>50</v>
      </c>
      <c r="S289" s="35" t="n">
        <f>153936.36</f>
        <v>153936.36</v>
      </c>
      <c r="T289" s="32" t="n">
        <f>102969</f>
        <v>102969.0</v>
      </c>
      <c r="U289" s="32" t="n">
        <f>23961</f>
        <v>23961.0</v>
      </c>
      <c r="V289" s="32" t="n">
        <f>15871833380</f>
        <v>1.587183338E10</v>
      </c>
      <c r="W289" s="32" t="n">
        <f>3695285080</f>
        <v>3.69528508E9</v>
      </c>
      <c r="X289" s="36" t="n">
        <f>22</f>
        <v>22.0</v>
      </c>
    </row>
    <row r="290">
      <c r="A290" s="27" t="s">
        <v>42</v>
      </c>
      <c r="B290" s="27" t="s">
        <v>922</v>
      </c>
      <c r="C290" s="27" t="s">
        <v>923</v>
      </c>
      <c r="D290" s="27" t="s">
        <v>924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206100</f>
        <v>206100.0</v>
      </c>
      <c r="L290" s="34" t="s">
        <v>48</v>
      </c>
      <c r="M290" s="33" t="n">
        <f>224000</f>
        <v>224000.0</v>
      </c>
      <c r="N290" s="34" t="s">
        <v>80</v>
      </c>
      <c r="O290" s="33" t="n">
        <f>204900</f>
        <v>204900.0</v>
      </c>
      <c r="P290" s="34" t="s">
        <v>88</v>
      </c>
      <c r="Q290" s="33" t="n">
        <f>222100</f>
        <v>222100.0</v>
      </c>
      <c r="R290" s="34" t="s">
        <v>50</v>
      </c>
      <c r="S290" s="35" t="n">
        <f>215000</f>
        <v>215000.0</v>
      </c>
      <c r="T290" s="32" t="n">
        <f>116660</f>
        <v>116660.0</v>
      </c>
      <c r="U290" s="32" t="n">
        <f>26812</f>
        <v>26812.0</v>
      </c>
      <c r="V290" s="32" t="n">
        <f>24979603332</f>
        <v>2.4979603332E10</v>
      </c>
      <c r="W290" s="32" t="n">
        <f>5745530532</f>
        <v>5.745530532E9</v>
      </c>
      <c r="X290" s="36" t="n">
        <f>22</f>
        <v>22.0</v>
      </c>
    </row>
    <row r="291">
      <c r="A291" s="27" t="s">
        <v>42</v>
      </c>
      <c r="B291" s="27" t="s">
        <v>925</v>
      </c>
      <c r="C291" s="27" t="s">
        <v>926</v>
      </c>
      <c r="D291" s="27" t="s">
        <v>927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350000</f>
        <v>350000.0</v>
      </c>
      <c r="L291" s="34" t="s">
        <v>48</v>
      </c>
      <c r="M291" s="33" t="n">
        <f>382500</f>
        <v>382500.0</v>
      </c>
      <c r="N291" s="34" t="s">
        <v>50</v>
      </c>
      <c r="O291" s="33" t="n">
        <f>343000</f>
        <v>343000.0</v>
      </c>
      <c r="P291" s="34" t="s">
        <v>76</v>
      </c>
      <c r="Q291" s="33" t="n">
        <f>380000</f>
        <v>380000.0</v>
      </c>
      <c r="R291" s="34" t="s">
        <v>50</v>
      </c>
      <c r="S291" s="35" t="n">
        <f>363409.09</f>
        <v>363409.09</v>
      </c>
      <c r="T291" s="32" t="n">
        <f>110691</f>
        <v>110691.0</v>
      </c>
      <c r="U291" s="32" t="n">
        <f>23390</f>
        <v>23390.0</v>
      </c>
      <c r="V291" s="32" t="n">
        <f>39829170828</f>
        <v>3.9829170828E10</v>
      </c>
      <c r="W291" s="32" t="n">
        <f>8442037828</f>
        <v>8.442037828E9</v>
      </c>
      <c r="X291" s="36" t="n">
        <f>22</f>
        <v>22.0</v>
      </c>
    </row>
    <row r="292">
      <c r="A292" s="27" t="s">
        <v>42</v>
      </c>
      <c r="B292" s="27" t="s">
        <v>928</v>
      </c>
      <c r="C292" s="27" t="s">
        <v>929</v>
      </c>
      <c r="D292" s="27" t="s">
        <v>930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209600</f>
        <v>209600.0</v>
      </c>
      <c r="L292" s="34" t="s">
        <v>48</v>
      </c>
      <c r="M292" s="33" t="n">
        <f>224100</f>
        <v>224100.0</v>
      </c>
      <c r="N292" s="34" t="s">
        <v>50</v>
      </c>
      <c r="O292" s="33" t="n">
        <f>209400</f>
        <v>209400.0</v>
      </c>
      <c r="P292" s="34" t="s">
        <v>48</v>
      </c>
      <c r="Q292" s="33" t="n">
        <f>222300</f>
        <v>222300.0</v>
      </c>
      <c r="R292" s="34" t="s">
        <v>50</v>
      </c>
      <c r="S292" s="35" t="n">
        <f>218290.91</f>
        <v>218290.91</v>
      </c>
      <c r="T292" s="32" t="n">
        <f>66682</f>
        <v>66682.0</v>
      </c>
      <c r="U292" s="32" t="n">
        <f>16358</f>
        <v>16358.0</v>
      </c>
      <c r="V292" s="32" t="n">
        <f>14537037087</f>
        <v>1.4537037087E10</v>
      </c>
      <c r="W292" s="32" t="n">
        <f>3561113087</f>
        <v>3.561113087E9</v>
      </c>
      <c r="X292" s="36" t="n">
        <f>22</f>
        <v>22.0</v>
      </c>
    </row>
    <row r="293">
      <c r="A293" s="27" t="s">
        <v>42</v>
      </c>
      <c r="B293" s="27" t="s">
        <v>931</v>
      </c>
      <c r="C293" s="27" t="s">
        <v>932</v>
      </c>
      <c r="D293" s="27" t="s">
        <v>933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439000</f>
        <v>439000.0</v>
      </c>
      <c r="L293" s="34" t="s">
        <v>48</v>
      </c>
      <c r="M293" s="33" t="n">
        <f>443000</f>
        <v>443000.0</v>
      </c>
      <c r="N293" s="34" t="s">
        <v>67</v>
      </c>
      <c r="O293" s="33" t="n">
        <f>402000</f>
        <v>402000.0</v>
      </c>
      <c r="P293" s="34" t="s">
        <v>93</v>
      </c>
      <c r="Q293" s="33" t="n">
        <f>416000</f>
        <v>416000.0</v>
      </c>
      <c r="R293" s="34" t="s">
        <v>50</v>
      </c>
      <c r="S293" s="35" t="n">
        <f>420272.73</f>
        <v>420272.73</v>
      </c>
      <c r="T293" s="32" t="n">
        <f>89387</f>
        <v>89387.0</v>
      </c>
      <c r="U293" s="32" t="n">
        <f>19979</f>
        <v>19979.0</v>
      </c>
      <c r="V293" s="32" t="n">
        <f>37682843079</f>
        <v>3.7682843079E10</v>
      </c>
      <c r="W293" s="32" t="n">
        <f>8377862579</f>
        <v>8.377862579E9</v>
      </c>
      <c r="X293" s="36" t="n">
        <f>22</f>
        <v>22.0</v>
      </c>
    </row>
    <row r="294">
      <c r="A294" s="27" t="s">
        <v>42</v>
      </c>
      <c r="B294" s="27" t="s">
        <v>934</v>
      </c>
      <c r="C294" s="27" t="s">
        <v>935</v>
      </c>
      <c r="D294" s="27" t="s">
        <v>936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183200</f>
        <v>183200.0</v>
      </c>
      <c r="L294" s="34" t="s">
        <v>48</v>
      </c>
      <c r="M294" s="33" t="n">
        <f>200000</f>
        <v>200000.0</v>
      </c>
      <c r="N294" s="34" t="s">
        <v>80</v>
      </c>
      <c r="O294" s="33" t="n">
        <f>181400</f>
        <v>181400.0</v>
      </c>
      <c r="P294" s="34" t="s">
        <v>88</v>
      </c>
      <c r="Q294" s="33" t="n">
        <f>198900</f>
        <v>198900.0</v>
      </c>
      <c r="R294" s="34" t="s">
        <v>50</v>
      </c>
      <c r="S294" s="35" t="n">
        <f>192550</f>
        <v>192550.0</v>
      </c>
      <c r="T294" s="32" t="n">
        <f>312772</f>
        <v>312772.0</v>
      </c>
      <c r="U294" s="32" t="n">
        <f>75409</f>
        <v>75409.0</v>
      </c>
      <c r="V294" s="32" t="n">
        <f>59869906083</f>
        <v>5.9869906083E10</v>
      </c>
      <c r="W294" s="32" t="n">
        <f>14436137183</f>
        <v>1.4436137183E10</v>
      </c>
      <c r="X294" s="36" t="n">
        <f>22</f>
        <v>22.0</v>
      </c>
    </row>
    <row r="295">
      <c r="A295" s="27" t="s">
        <v>42</v>
      </c>
      <c r="B295" s="27" t="s">
        <v>937</v>
      </c>
      <c r="C295" s="27" t="s">
        <v>938</v>
      </c>
      <c r="D295" s="27" t="s">
        <v>939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319000</f>
        <v>319000.0</v>
      </c>
      <c r="L295" s="34" t="s">
        <v>48</v>
      </c>
      <c r="M295" s="33" t="n">
        <f>343000</f>
        <v>343000.0</v>
      </c>
      <c r="N295" s="34" t="s">
        <v>101</v>
      </c>
      <c r="O295" s="33" t="n">
        <f>319000</f>
        <v>319000.0</v>
      </c>
      <c r="P295" s="34" t="s">
        <v>48</v>
      </c>
      <c r="Q295" s="33" t="n">
        <f>341500</f>
        <v>341500.0</v>
      </c>
      <c r="R295" s="34" t="s">
        <v>50</v>
      </c>
      <c r="S295" s="35" t="n">
        <f>332204.55</f>
        <v>332204.55</v>
      </c>
      <c r="T295" s="32" t="n">
        <f>44275</f>
        <v>44275.0</v>
      </c>
      <c r="U295" s="32" t="n">
        <f>9852</f>
        <v>9852.0</v>
      </c>
      <c r="V295" s="32" t="n">
        <f>14653454082</f>
        <v>1.4653454082E10</v>
      </c>
      <c r="W295" s="32" t="n">
        <f>3257551582</f>
        <v>3.257551582E9</v>
      </c>
      <c r="X295" s="36" t="n">
        <f>22</f>
        <v>22.0</v>
      </c>
    </row>
    <row r="296">
      <c r="A296" s="27" t="s">
        <v>42</v>
      </c>
      <c r="B296" s="27" t="s">
        <v>940</v>
      </c>
      <c r="C296" s="27" t="s">
        <v>941</v>
      </c>
      <c r="D296" s="27" t="s">
        <v>942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371500</f>
        <v>371500.0</v>
      </c>
      <c r="L296" s="34" t="s">
        <v>48</v>
      </c>
      <c r="M296" s="33" t="n">
        <f>412000</f>
        <v>412000.0</v>
      </c>
      <c r="N296" s="34" t="s">
        <v>80</v>
      </c>
      <c r="O296" s="33" t="n">
        <f>365000</f>
        <v>365000.0</v>
      </c>
      <c r="P296" s="34" t="s">
        <v>48</v>
      </c>
      <c r="Q296" s="33" t="n">
        <f>407000</f>
        <v>407000.0</v>
      </c>
      <c r="R296" s="34" t="s">
        <v>50</v>
      </c>
      <c r="S296" s="35" t="n">
        <f>387977.27</f>
        <v>387977.27</v>
      </c>
      <c r="T296" s="32" t="n">
        <f>242107</f>
        <v>242107.0</v>
      </c>
      <c r="U296" s="32" t="n">
        <f>46058</f>
        <v>46058.0</v>
      </c>
      <c r="V296" s="32" t="n">
        <f>92761240997</f>
        <v>9.2761240997E10</v>
      </c>
      <c r="W296" s="32" t="n">
        <f>17750008997</f>
        <v>1.7750008997E10</v>
      </c>
      <c r="X296" s="36" t="n">
        <f>22</f>
        <v>22.0</v>
      </c>
    </row>
    <row r="297">
      <c r="A297" s="27" t="s">
        <v>42</v>
      </c>
      <c r="B297" s="27" t="s">
        <v>943</v>
      </c>
      <c r="C297" s="27" t="s">
        <v>944</v>
      </c>
      <c r="D297" s="27" t="s">
        <v>945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633000</f>
        <v>633000.0</v>
      </c>
      <c r="L297" s="34" t="s">
        <v>48</v>
      </c>
      <c r="M297" s="33" t="n">
        <f>662000</f>
        <v>662000.0</v>
      </c>
      <c r="N297" s="34" t="s">
        <v>75</v>
      </c>
      <c r="O297" s="33" t="n">
        <f>622000</f>
        <v>622000.0</v>
      </c>
      <c r="P297" s="34" t="s">
        <v>67</v>
      </c>
      <c r="Q297" s="33" t="n">
        <f>653000</f>
        <v>653000.0</v>
      </c>
      <c r="R297" s="34" t="s">
        <v>50</v>
      </c>
      <c r="S297" s="35" t="n">
        <f>648318.18</f>
        <v>648318.18</v>
      </c>
      <c r="T297" s="32" t="n">
        <f>26956</f>
        <v>26956.0</v>
      </c>
      <c r="U297" s="32" t="n">
        <f>3663</f>
        <v>3663.0</v>
      </c>
      <c r="V297" s="32" t="n">
        <f>17433328859</f>
        <v>1.7433328859E10</v>
      </c>
      <c r="W297" s="32" t="n">
        <f>2366053859</f>
        <v>2.366053859E9</v>
      </c>
      <c r="X297" s="36" t="n">
        <f>22</f>
        <v>22.0</v>
      </c>
    </row>
    <row r="298">
      <c r="A298" s="27" t="s">
        <v>42</v>
      </c>
      <c r="B298" s="27" t="s">
        <v>946</v>
      </c>
      <c r="C298" s="27" t="s">
        <v>947</v>
      </c>
      <c r="D298" s="27" t="s">
        <v>948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298200</f>
        <v>298200.0</v>
      </c>
      <c r="L298" s="34" t="s">
        <v>48</v>
      </c>
      <c r="M298" s="33" t="n">
        <f>307000</f>
        <v>307000.0</v>
      </c>
      <c r="N298" s="34" t="s">
        <v>92</v>
      </c>
      <c r="O298" s="33" t="n">
        <f>293600</f>
        <v>293600.0</v>
      </c>
      <c r="P298" s="34" t="s">
        <v>93</v>
      </c>
      <c r="Q298" s="33" t="n">
        <f>302000</f>
        <v>302000.0</v>
      </c>
      <c r="R298" s="34" t="s">
        <v>50</v>
      </c>
      <c r="S298" s="35" t="n">
        <f>299027.27</f>
        <v>299027.27</v>
      </c>
      <c r="T298" s="32" t="n">
        <f>18139</f>
        <v>18139.0</v>
      </c>
      <c r="U298" s="32" t="n">
        <f>3649</f>
        <v>3649.0</v>
      </c>
      <c r="V298" s="32" t="n">
        <f>5431826298</f>
        <v>5.431826298E9</v>
      </c>
      <c r="W298" s="32" t="n">
        <f>1091407998</f>
        <v>1.091407998E9</v>
      </c>
      <c r="X298" s="36" t="n">
        <f>22</f>
        <v>22.0</v>
      </c>
    </row>
    <row r="299">
      <c r="A299" s="27" t="s">
        <v>42</v>
      </c>
      <c r="B299" s="27" t="s">
        <v>949</v>
      </c>
      <c r="C299" s="27" t="s">
        <v>950</v>
      </c>
      <c r="D299" s="27" t="s">
        <v>951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155000</f>
        <v>155000.0</v>
      </c>
      <c r="L299" s="34" t="s">
        <v>48</v>
      </c>
      <c r="M299" s="33" t="n">
        <f>161800</f>
        <v>161800.0</v>
      </c>
      <c r="N299" s="34" t="s">
        <v>50</v>
      </c>
      <c r="O299" s="33" t="n">
        <f>151200</f>
        <v>151200.0</v>
      </c>
      <c r="P299" s="34" t="s">
        <v>710</v>
      </c>
      <c r="Q299" s="33" t="n">
        <f>161100</f>
        <v>161100.0</v>
      </c>
      <c r="R299" s="34" t="s">
        <v>50</v>
      </c>
      <c r="S299" s="35" t="n">
        <f>155668.18</f>
        <v>155668.18</v>
      </c>
      <c r="T299" s="32" t="n">
        <f>157728</f>
        <v>157728.0</v>
      </c>
      <c r="U299" s="32" t="n">
        <f>35806</f>
        <v>35806.0</v>
      </c>
      <c r="V299" s="32" t="n">
        <f>24515476254</f>
        <v>2.4515476254E10</v>
      </c>
      <c r="W299" s="32" t="n">
        <f>5555351354</f>
        <v>5.555351354E9</v>
      </c>
      <c r="X299" s="36" t="n">
        <f>22</f>
        <v>22.0</v>
      </c>
    </row>
    <row r="300">
      <c r="A300" s="27" t="s">
        <v>42</v>
      </c>
      <c r="B300" s="27" t="s">
        <v>952</v>
      </c>
      <c r="C300" s="27" t="s">
        <v>953</v>
      </c>
      <c r="D300" s="27" t="s">
        <v>954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168900</f>
        <v>168900.0</v>
      </c>
      <c r="L300" s="34" t="s">
        <v>48</v>
      </c>
      <c r="M300" s="33" t="n">
        <f>173600</f>
        <v>173600.0</v>
      </c>
      <c r="N300" s="34" t="s">
        <v>50</v>
      </c>
      <c r="O300" s="33" t="n">
        <f>167500</f>
        <v>167500.0</v>
      </c>
      <c r="P300" s="34" t="s">
        <v>67</v>
      </c>
      <c r="Q300" s="33" t="n">
        <f>173100</f>
        <v>173100.0</v>
      </c>
      <c r="R300" s="34" t="s">
        <v>50</v>
      </c>
      <c r="S300" s="35" t="n">
        <f>170077.27</f>
        <v>170077.27</v>
      </c>
      <c r="T300" s="32" t="n">
        <f>84766</f>
        <v>84766.0</v>
      </c>
      <c r="U300" s="32" t="n">
        <f>17943</f>
        <v>17943.0</v>
      </c>
      <c r="V300" s="32" t="n">
        <f>14429688918</f>
        <v>1.4429688918E10</v>
      </c>
      <c r="W300" s="32" t="n">
        <f>3053080218</f>
        <v>3.053080218E9</v>
      </c>
      <c r="X300" s="36" t="n">
        <f>22</f>
        <v>22.0</v>
      </c>
    </row>
    <row r="301">
      <c r="A301" s="27" t="s">
        <v>42</v>
      </c>
      <c r="B301" s="27" t="s">
        <v>955</v>
      </c>
      <c r="C301" s="27" t="s">
        <v>956</v>
      </c>
      <c r="D301" s="27" t="s">
        <v>957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428000</f>
        <v>428000.0</v>
      </c>
      <c r="L301" s="34" t="s">
        <v>48</v>
      </c>
      <c r="M301" s="33" t="n">
        <f>432500</f>
        <v>432500.0</v>
      </c>
      <c r="N301" s="34" t="s">
        <v>92</v>
      </c>
      <c r="O301" s="33" t="n">
        <f>406000</f>
        <v>406000.0</v>
      </c>
      <c r="P301" s="34" t="s">
        <v>80</v>
      </c>
      <c r="Q301" s="33" t="n">
        <f>410000</f>
        <v>410000.0</v>
      </c>
      <c r="R301" s="34" t="s">
        <v>50</v>
      </c>
      <c r="S301" s="35" t="n">
        <f>423159.09</f>
        <v>423159.09</v>
      </c>
      <c r="T301" s="32" t="n">
        <f>34442</f>
        <v>34442.0</v>
      </c>
      <c r="U301" s="32" t="n">
        <f>6206</f>
        <v>6206.0</v>
      </c>
      <c r="V301" s="32" t="n">
        <f>14597419639</f>
        <v>1.4597419639E10</v>
      </c>
      <c r="W301" s="32" t="n">
        <f>2637537639</f>
        <v>2.637537639E9</v>
      </c>
      <c r="X301" s="36" t="n">
        <f>22</f>
        <v>22.0</v>
      </c>
    </row>
    <row r="302">
      <c r="A302" s="27" t="s">
        <v>42</v>
      </c>
      <c r="B302" s="27" t="s">
        <v>958</v>
      </c>
      <c r="C302" s="27" t="s">
        <v>959</v>
      </c>
      <c r="D302" s="27" t="s">
        <v>960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84000</f>
        <v>84000.0</v>
      </c>
      <c r="L302" s="34" t="s">
        <v>48</v>
      </c>
      <c r="M302" s="33" t="n">
        <f>86000</f>
        <v>86000.0</v>
      </c>
      <c r="N302" s="34" t="s">
        <v>80</v>
      </c>
      <c r="O302" s="33" t="n">
        <f>82600</f>
        <v>82600.0</v>
      </c>
      <c r="P302" s="34" t="s">
        <v>67</v>
      </c>
      <c r="Q302" s="33" t="n">
        <f>85700</f>
        <v>85700.0</v>
      </c>
      <c r="R302" s="34" t="s">
        <v>50</v>
      </c>
      <c r="S302" s="35" t="n">
        <f>84254.55</f>
        <v>84254.55</v>
      </c>
      <c r="T302" s="32" t="n">
        <f>319545</f>
        <v>319545.0</v>
      </c>
      <c r="U302" s="32" t="n">
        <f>71007</f>
        <v>71007.0</v>
      </c>
      <c r="V302" s="32" t="n">
        <f>26938026987</f>
        <v>2.6938026987E10</v>
      </c>
      <c r="W302" s="32" t="n">
        <f>5985798887</f>
        <v>5.985798887E9</v>
      </c>
      <c r="X302" s="36" t="n">
        <f>22</f>
        <v>22.0</v>
      </c>
    </row>
    <row r="303">
      <c r="A303" s="27" t="s">
        <v>42</v>
      </c>
      <c r="B303" s="27" t="s">
        <v>961</v>
      </c>
      <c r="C303" s="27" t="s">
        <v>962</v>
      </c>
      <c r="D303" s="27" t="s">
        <v>963</v>
      </c>
      <c r="E303" s="28" t="s">
        <v>46</v>
      </c>
      <c r="F303" s="29" t="s">
        <v>46</v>
      </c>
      <c r="G303" s="30" t="s">
        <v>46</v>
      </c>
      <c r="H303" s="31"/>
      <c r="I303" s="31" t="s">
        <v>603</v>
      </c>
      <c r="J303" s="32" t="n">
        <v>1.0</v>
      </c>
      <c r="K303" s="33" t="n">
        <f>126600</f>
        <v>126600.0</v>
      </c>
      <c r="L303" s="34" t="s">
        <v>48</v>
      </c>
      <c r="M303" s="33" t="n">
        <f>133500</f>
        <v>133500.0</v>
      </c>
      <c r="N303" s="34" t="s">
        <v>50</v>
      </c>
      <c r="O303" s="33" t="n">
        <f>126300</f>
        <v>126300.0</v>
      </c>
      <c r="P303" s="34" t="s">
        <v>67</v>
      </c>
      <c r="Q303" s="33" t="n">
        <f>132600</f>
        <v>132600.0</v>
      </c>
      <c r="R303" s="34" t="s">
        <v>50</v>
      </c>
      <c r="S303" s="35" t="n">
        <f>129854.55</f>
        <v>129854.55</v>
      </c>
      <c r="T303" s="32" t="n">
        <f>30287</f>
        <v>30287.0</v>
      </c>
      <c r="U303" s="32" t="n">
        <f>3403</f>
        <v>3403.0</v>
      </c>
      <c r="V303" s="32" t="n">
        <f>3926496984</f>
        <v>3.926496984E9</v>
      </c>
      <c r="W303" s="32" t="n">
        <f>439794284</f>
        <v>4.39794284E8</v>
      </c>
      <c r="X303" s="36" t="n">
        <f>22</f>
        <v>22.0</v>
      </c>
    </row>
    <row r="304">
      <c r="A304" s="27" t="s">
        <v>42</v>
      </c>
      <c r="B304" s="27" t="s">
        <v>964</v>
      </c>
      <c r="C304" s="27" t="s">
        <v>965</v>
      </c>
      <c r="D304" s="27" t="s">
        <v>966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282400</f>
        <v>282400.0</v>
      </c>
      <c r="L304" s="34" t="s">
        <v>48</v>
      </c>
      <c r="M304" s="33" t="n">
        <f>287400</f>
        <v>287400.0</v>
      </c>
      <c r="N304" s="34" t="s">
        <v>92</v>
      </c>
      <c r="O304" s="33" t="n">
        <f>271300</f>
        <v>271300.0</v>
      </c>
      <c r="P304" s="34" t="s">
        <v>71</v>
      </c>
      <c r="Q304" s="33" t="n">
        <f>283000</f>
        <v>283000.0</v>
      </c>
      <c r="R304" s="34" t="s">
        <v>50</v>
      </c>
      <c r="S304" s="35" t="n">
        <f>279159.09</f>
        <v>279159.09</v>
      </c>
      <c r="T304" s="32" t="n">
        <f>58925</f>
        <v>58925.0</v>
      </c>
      <c r="U304" s="32" t="n">
        <f>11310</f>
        <v>11310.0</v>
      </c>
      <c r="V304" s="32" t="n">
        <f>16468691494</f>
        <v>1.6468691494E10</v>
      </c>
      <c r="W304" s="32" t="n">
        <f>3162391594</f>
        <v>3.162391594E9</v>
      </c>
      <c r="X304" s="36" t="n">
        <f>22</f>
        <v>22.0</v>
      </c>
    </row>
    <row r="305">
      <c r="A305" s="27" t="s">
        <v>42</v>
      </c>
      <c r="B305" s="27" t="s">
        <v>967</v>
      </c>
      <c r="C305" s="27" t="s">
        <v>968</v>
      </c>
      <c r="D305" s="27" t="s">
        <v>969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158000</f>
        <v>158000.0</v>
      </c>
      <c r="L305" s="34" t="s">
        <v>48</v>
      </c>
      <c r="M305" s="33" t="n">
        <f>163300</f>
        <v>163300.0</v>
      </c>
      <c r="N305" s="34" t="s">
        <v>50</v>
      </c>
      <c r="O305" s="33" t="n">
        <f>151200</f>
        <v>151200.0</v>
      </c>
      <c r="P305" s="34" t="s">
        <v>88</v>
      </c>
      <c r="Q305" s="33" t="n">
        <f>161800</f>
        <v>161800.0</v>
      </c>
      <c r="R305" s="34" t="s">
        <v>50</v>
      </c>
      <c r="S305" s="35" t="n">
        <f>157063.64</f>
        <v>157063.64</v>
      </c>
      <c r="T305" s="32" t="n">
        <f>23709</f>
        <v>23709.0</v>
      </c>
      <c r="U305" s="32" t="n">
        <f>4222</f>
        <v>4222.0</v>
      </c>
      <c r="V305" s="32" t="n">
        <f>3711984401</f>
        <v>3.711984401E9</v>
      </c>
      <c r="W305" s="32" t="n">
        <f>661557501</f>
        <v>6.61557501E8</v>
      </c>
      <c r="X305" s="36" t="n">
        <f>22</f>
        <v>22.0</v>
      </c>
    </row>
    <row r="306">
      <c r="A306" s="27" t="s">
        <v>42</v>
      </c>
      <c r="B306" s="27" t="s">
        <v>970</v>
      </c>
      <c r="C306" s="27" t="s">
        <v>971</v>
      </c>
      <c r="D306" s="27" t="s">
        <v>972</v>
      </c>
      <c r="E306" s="28" t="s">
        <v>46</v>
      </c>
      <c r="F306" s="29" t="s">
        <v>46</v>
      </c>
      <c r="G306" s="30" t="s">
        <v>46</v>
      </c>
      <c r="H306" s="31"/>
      <c r="I306" s="31" t="s">
        <v>603</v>
      </c>
      <c r="J306" s="32" t="n">
        <v>1.0</v>
      </c>
      <c r="K306" s="33" t="n">
        <f>120000</f>
        <v>120000.0</v>
      </c>
      <c r="L306" s="34" t="s">
        <v>48</v>
      </c>
      <c r="M306" s="33" t="n">
        <f>128800</f>
        <v>128800.0</v>
      </c>
      <c r="N306" s="34" t="s">
        <v>50</v>
      </c>
      <c r="O306" s="33" t="n">
        <f>118800</f>
        <v>118800.0</v>
      </c>
      <c r="P306" s="34" t="s">
        <v>48</v>
      </c>
      <c r="Q306" s="33" t="n">
        <f>128800</f>
        <v>128800.0</v>
      </c>
      <c r="R306" s="34" t="s">
        <v>50</v>
      </c>
      <c r="S306" s="35" t="n">
        <f>123686.36</f>
        <v>123686.36</v>
      </c>
      <c r="T306" s="32" t="n">
        <f>28230</f>
        <v>28230.0</v>
      </c>
      <c r="U306" s="32" t="n">
        <f>3869</f>
        <v>3869.0</v>
      </c>
      <c r="V306" s="32" t="n">
        <f>3488095287</f>
        <v>3.488095287E9</v>
      </c>
      <c r="W306" s="32" t="n">
        <f>475260187</f>
        <v>4.75260187E8</v>
      </c>
      <c r="X306" s="36" t="n">
        <f>22</f>
        <v>22.0</v>
      </c>
    </row>
    <row r="307">
      <c r="A307" s="27" t="s">
        <v>42</v>
      </c>
      <c r="B307" s="27" t="s">
        <v>973</v>
      </c>
      <c r="C307" s="27" t="s">
        <v>974</v>
      </c>
      <c r="D307" s="27" t="s">
        <v>975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163000</f>
        <v>163000.0</v>
      </c>
      <c r="L307" s="34" t="s">
        <v>48</v>
      </c>
      <c r="M307" s="33" t="n">
        <f>168000</f>
        <v>168000.0</v>
      </c>
      <c r="N307" s="34" t="s">
        <v>130</v>
      </c>
      <c r="O307" s="33" t="n">
        <f>158900</f>
        <v>158900.0</v>
      </c>
      <c r="P307" s="34" t="s">
        <v>105</v>
      </c>
      <c r="Q307" s="33" t="n">
        <f>161800</f>
        <v>161800.0</v>
      </c>
      <c r="R307" s="34" t="s">
        <v>50</v>
      </c>
      <c r="S307" s="35" t="n">
        <f>162759.09</f>
        <v>162759.09</v>
      </c>
      <c r="T307" s="32" t="n">
        <f>293221</f>
        <v>293221.0</v>
      </c>
      <c r="U307" s="32" t="n">
        <f>67041</f>
        <v>67041.0</v>
      </c>
      <c r="V307" s="32" t="n">
        <f>47971144404</f>
        <v>4.7971144404E10</v>
      </c>
      <c r="W307" s="32" t="n">
        <f>10981475504</f>
        <v>1.0981475504E10</v>
      </c>
      <c r="X307" s="36" t="n">
        <f>22</f>
        <v>22.0</v>
      </c>
    </row>
    <row r="308">
      <c r="A308" s="27" t="s">
        <v>42</v>
      </c>
      <c r="B308" s="27" t="s">
        <v>976</v>
      </c>
      <c r="C308" s="27" t="s">
        <v>977</v>
      </c>
      <c r="D308" s="27" t="s">
        <v>978</v>
      </c>
      <c r="E308" s="28" t="s">
        <v>46</v>
      </c>
      <c r="F308" s="29" t="s">
        <v>46</v>
      </c>
      <c r="G308" s="30" t="s">
        <v>46</v>
      </c>
      <c r="H308" s="31"/>
      <c r="I308" s="31" t="s">
        <v>603</v>
      </c>
      <c r="J308" s="32" t="n">
        <v>1.0</v>
      </c>
      <c r="K308" s="33" t="n">
        <f>81400</f>
        <v>81400.0</v>
      </c>
      <c r="L308" s="34" t="s">
        <v>48</v>
      </c>
      <c r="M308" s="33" t="n">
        <f>86400</f>
        <v>86400.0</v>
      </c>
      <c r="N308" s="34" t="s">
        <v>75</v>
      </c>
      <c r="O308" s="33" t="n">
        <f>76300</f>
        <v>76300.0</v>
      </c>
      <c r="P308" s="34" t="s">
        <v>71</v>
      </c>
      <c r="Q308" s="33" t="n">
        <f>78700</f>
        <v>78700.0</v>
      </c>
      <c r="R308" s="34" t="s">
        <v>50</v>
      </c>
      <c r="S308" s="35" t="n">
        <f>80727.27</f>
        <v>80727.27</v>
      </c>
      <c r="T308" s="32" t="n">
        <f>52191</f>
        <v>52191.0</v>
      </c>
      <c r="U308" s="32" t="n">
        <f>4534</f>
        <v>4534.0</v>
      </c>
      <c r="V308" s="32" t="n">
        <f>4196804384</f>
        <v>4.196804384E9</v>
      </c>
      <c r="W308" s="32" t="n">
        <f>374187784</f>
        <v>3.74187784E8</v>
      </c>
      <c r="X308" s="36" t="n">
        <f>22</f>
        <v>22.0</v>
      </c>
    </row>
    <row r="309">
      <c r="A309" s="27" t="s">
        <v>42</v>
      </c>
      <c r="B309" s="27" t="s">
        <v>979</v>
      </c>
      <c r="C309" s="27" t="s">
        <v>980</v>
      </c>
      <c r="D309" s="27" t="s">
        <v>981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189400</f>
        <v>189400.0</v>
      </c>
      <c r="L309" s="34" t="s">
        <v>48</v>
      </c>
      <c r="M309" s="33" t="n">
        <f>204000</f>
        <v>204000.0</v>
      </c>
      <c r="N309" s="34" t="s">
        <v>80</v>
      </c>
      <c r="O309" s="33" t="n">
        <f>188100</f>
        <v>188100.0</v>
      </c>
      <c r="P309" s="34" t="s">
        <v>48</v>
      </c>
      <c r="Q309" s="33" t="n">
        <f>202600</f>
        <v>202600.0</v>
      </c>
      <c r="R309" s="34" t="s">
        <v>50</v>
      </c>
      <c r="S309" s="35" t="n">
        <f>196386.36</f>
        <v>196386.36</v>
      </c>
      <c r="T309" s="32" t="n">
        <f>135458</f>
        <v>135458.0</v>
      </c>
      <c r="U309" s="32" t="n">
        <f>30740</f>
        <v>30740.0</v>
      </c>
      <c r="V309" s="32" t="n">
        <f>26489408190</f>
        <v>2.648940819E10</v>
      </c>
      <c r="W309" s="32" t="n">
        <f>6008814690</f>
        <v>6.00881469E9</v>
      </c>
      <c r="X309" s="36" t="n">
        <f>22</f>
        <v>22.0</v>
      </c>
    </row>
    <row r="310">
      <c r="A310" s="27" t="s">
        <v>42</v>
      </c>
      <c r="B310" s="27" t="s">
        <v>982</v>
      </c>
      <c r="C310" s="27" t="s">
        <v>983</v>
      </c>
      <c r="D310" s="27" t="s">
        <v>984</v>
      </c>
      <c r="E310" s="28" t="s">
        <v>46</v>
      </c>
      <c r="F310" s="29" t="s">
        <v>46</v>
      </c>
      <c r="G310" s="30" t="s">
        <v>46</v>
      </c>
      <c r="H310" s="31"/>
      <c r="I310" s="31" t="s">
        <v>603</v>
      </c>
      <c r="J310" s="32" t="n">
        <v>1.0</v>
      </c>
      <c r="K310" s="33" t="n">
        <f>61100</f>
        <v>61100.0</v>
      </c>
      <c r="L310" s="34" t="s">
        <v>48</v>
      </c>
      <c r="M310" s="33" t="n">
        <f>64800</f>
        <v>64800.0</v>
      </c>
      <c r="N310" s="34" t="s">
        <v>88</v>
      </c>
      <c r="O310" s="33" t="n">
        <f>60800</f>
        <v>60800.0</v>
      </c>
      <c r="P310" s="34" t="s">
        <v>48</v>
      </c>
      <c r="Q310" s="33" t="n">
        <f>63300</f>
        <v>63300.0</v>
      </c>
      <c r="R310" s="34" t="s">
        <v>50</v>
      </c>
      <c r="S310" s="35" t="n">
        <f>62972.73</f>
        <v>62972.73</v>
      </c>
      <c r="T310" s="32" t="n">
        <f>297304</f>
        <v>297304.0</v>
      </c>
      <c r="U310" s="32" t="n">
        <f>66232</f>
        <v>66232.0</v>
      </c>
      <c r="V310" s="32" t="n">
        <f>18751752580</f>
        <v>1.875175258E10</v>
      </c>
      <c r="W310" s="32" t="n">
        <f>4177570280</f>
        <v>4.17757028E9</v>
      </c>
      <c r="X310" s="36" t="n">
        <f>22</f>
        <v>22.0</v>
      </c>
    </row>
    <row r="311">
      <c r="A311" s="27" t="s">
        <v>42</v>
      </c>
      <c r="B311" s="27" t="s">
        <v>985</v>
      </c>
      <c r="C311" s="27" t="s">
        <v>986</v>
      </c>
      <c r="D311" s="27" t="s">
        <v>987</v>
      </c>
      <c r="E311" s="28" t="s">
        <v>46</v>
      </c>
      <c r="F311" s="29" t="s">
        <v>46</v>
      </c>
      <c r="G311" s="30" t="s">
        <v>46</v>
      </c>
      <c r="H311" s="31"/>
      <c r="I311" s="31" t="s">
        <v>603</v>
      </c>
      <c r="J311" s="32" t="n">
        <v>1.0</v>
      </c>
      <c r="K311" s="33" t="n">
        <f>135000</f>
        <v>135000.0</v>
      </c>
      <c r="L311" s="34" t="s">
        <v>48</v>
      </c>
      <c r="M311" s="33" t="n">
        <f>139900</f>
        <v>139900.0</v>
      </c>
      <c r="N311" s="34" t="s">
        <v>60</v>
      </c>
      <c r="O311" s="33" t="n">
        <f>130400</f>
        <v>130400.0</v>
      </c>
      <c r="P311" s="34" t="s">
        <v>80</v>
      </c>
      <c r="Q311" s="33" t="n">
        <f>132000</f>
        <v>132000.0</v>
      </c>
      <c r="R311" s="34" t="s">
        <v>50</v>
      </c>
      <c r="S311" s="35" t="n">
        <f>137450</f>
        <v>137450.0</v>
      </c>
      <c r="T311" s="32" t="n">
        <f>20626</f>
        <v>20626.0</v>
      </c>
      <c r="U311" s="32" t="n">
        <f>2463</f>
        <v>2463.0</v>
      </c>
      <c r="V311" s="32" t="n">
        <f>2828340020</f>
        <v>2.82834002E9</v>
      </c>
      <c r="W311" s="32" t="n">
        <f>338353820</f>
        <v>3.3835382E8</v>
      </c>
      <c r="X311" s="36" t="n">
        <f>22</f>
        <v>22.0</v>
      </c>
    </row>
    <row r="312">
      <c r="A312" s="27" t="s">
        <v>42</v>
      </c>
      <c r="B312" s="27" t="s">
        <v>988</v>
      </c>
      <c r="C312" s="27" t="s">
        <v>989</v>
      </c>
      <c r="D312" s="27" t="s">
        <v>990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589000</f>
        <v>589000.0</v>
      </c>
      <c r="L312" s="34" t="s">
        <v>48</v>
      </c>
      <c r="M312" s="33" t="n">
        <f>647000</f>
        <v>647000.0</v>
      </c>
      <c r="N312" s="34" t="s">
        <v>80</v>
      </c>
      <c r="O312" s="33" t="n">
        <f>585000</f>
        <v>585000.0</v>
      </c>
      <c r="P312" s="34" t="s">
        <v>76</v>
      </c>
      <c r="Q312" s="33" t="n">
        <f>645000</f>
        <v>645000.0</v>
      </c>
      <c r="R312" s="34" t="s">
        <v>50</v>
      </c>
      <c r="S312" s="35" t="n">
        <f>616636.36</f>
        <v>616636.36</v>
      </c>
      <c r="T312" s="32" t="n">
        <f>39845</f>
        <v>39845.0</v>
      </c>
      <c r="U312" s="32" t="n">
        <f>8491</f>
        <v>8491.0</v>
      </c>
      <c r="V312" s="32" t="n">
        <f>24493276511</f>
        <v>2.4493276511E10</v>
      </c>
      <c r="W312" s="32" t="n">
        <f>5219758511</f>
        <v>5.219758511E9</v>
      </c>
      <c r="X312" s="36" t="n">
        <f>22</f>
        <v>22.0</v>
      </c>
    </row>
    <row r="313">
      <c r="A313" s="27" t="s">
        <v>42</v>
      </c>
      <c r="B313" s="27" t="s">
        <v>991</v>
      </c>
      <c r="C313" s="27" t="s">
        <v>992</v>
      </c>
      <c r="D313" s="27" t="s">
        <v>993</v>
      </c>
      <c r="E313" s="28" t="s">
        <v>46</v>
      </c>
      <c r="F313" s="29" t="s">
        <v>46</v>
      </c>
      <c r="G313" s="30" t="s">
        <v>46</v>
      </c>
      <c r="H313" s="31"/>
      <c r="I313" s="31" t="s">
        <v>603</v>
      </c>
      <c r="J313" s="32" t="n">
        <v>1.0</v>
      </c>
      <c r="K313" s="33" t="n">
        <f>74400</f>
        <v>74400.0</v>
      </c>
      <c r="L313" s="34" t="s">
        <v>48</v>
      </c>
      <c r="M313" s="33" t="n">
        <f>75600</f>
        <v>75600.0</v>
      </c>
      <c r="N313" s="34" t="s">
        <v>92</v>
      </c>
      <c r="O313" s="33" t="n">
        <f>68800</f>
        <v>68800.0</v>
      </c>
      <c r="P313" s="34" t="s">
        <v>105</v>
      </c>
      <c r="Q313" s="33" t="n">
        <f>71500</f>
        <v>71500.0</v>
      </c>
      <c r="R313" s="34" t="s">
        <v>50</v>
      </c>
      <c r="S313" s="35" t="n">
        <f>72940.91</f>
        <v>72940.91</v>
      </c>
      <c r="T313" s="32" t="n">
        <f>25828</f>
        <v>25828.0</v>
      </c>
      <c r="U313" s="32" t="n">
        <f>2558</f>
        <v>2558.0</v>
      </c>
      <c r="V313" s="32" t="n">
        <f>1880242210</f>
        <v>1.88024221E9</v>
      </c>
      <c r="W313" s="32" t="n">
        <f>188046710</f>
        <v>1.8804671E8</v>
      </c>
      <c r="X313" s="36" t="n">
        <f>22</f>
        <v>22.0</v>
      </c>
    </row>
    <row r="314">
      <c r="A314" s="27" t="s">
        <v>42</v>
      </c>
      <c r="B314" s="27" t="s">
        <v>994</v>
      </c>
      <c r="C314" s="27" t="s">
        <v>995</v>
      </c>
      <c r="D314" s="27" t="s">
        <v>996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53000</f>
        <v>53000.0</v>
      </c>
      <c r="L314" s="34" t="s">
        <v>48</v>
      </c>
      <c r="M314" s="33" t="n">
        <f>54400</f>
        <v>54400.0</v>
      </c>
      <c r="N314" s="34" t="s">
        <v>48</v>
      </c>
      <c r="O314" s="33" t="n">
        <f>47650</f>
        <v>47650.0</v>
      </c>
      <c r="P314" s="34" t="s">
        <v>664</v>
      </c>
      <c r="Q314" s="33" t="n">
        <f>49450</f>
        <v>49450.0</v>
      </c>
      <c r="R314" s="34" t="s">
        <v>50</v>
      </c>
      <c r="S314" s="35" t="n">
        <f>50690.91</f>
        <v>50690.91</v>
      </c>
      <c r="T314" s="32" t="n">
        <f>526466</f>
        <v>526466.0</v>
      </c>
      <c r="U314" s="32" t="n">
        <f>80746</f>
        <v>80746.0</v>
      </c>
      <c r="V314" s="32" t="n">
        <f>26361668241</f>
        <v>2.6361668241E10</v>
      </c>
      <c r="W314" s="32" t="n">
        <f>4085129141</f>
        <v>4.085129141E9</v>
      </c>
      <c r="X314" s="36" t="n">
        <f>22</f>
        <v>22.0</v>
      </c>
    </row>
    <row r="315">
      <c r="A315" s="27" t="s">
        <v>42</v>
      </c>
      <c r="B315" s="27" t="s">
        <v>997</v>
      </c>
      <c r="C315" s="27" t="s">
        <v>998</v>
      </c>
      <c r="D315" s="27" t="s">
        <v>999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125200</f>
        <v>125200.0</v>
      </c>
      <c r="L315" s="34" t="s">
        <v>48</v>
      </c>
      <c r="M315" s="33" t="n">
        <f>129900</f>
        <v>129900.0</v>
      </c>
      <c r="N315" s="34" t="s">
        <v>92</v>
      </c>
      <c r="O315" s="33" t="n">
        <f>117800</f>
        <v>117800.0</v>
      </c>
      <c r="P315" s="34" t="s">
        <v>67</v>
      </c>
      <c r="Q315" s="33" t="n">
        <f>124200</f>
        <v>124200.0</v>
      </c>
      <c r="R315" s="34" t="s">
        <v>50</v>
      </c>
      <c r="S315" s="35" t="n">
        <f>124463.64</f>
        <v>124463.64</v>
      </c>
      <c r="T315" s="32" t="n">
        <f>21923</f>
        <v>21923.0</v>
      </c>
      <c r="U315" s="32" t="n">
        <f>4336</f>
        <v>4336.0</v>
      </c>
      <c r="V315" s="32" t="n">
        <f>2733016556</f>
        <v>2.733016556E9</v>
      </c>
      <c r="W315" s="32" t="n">
        <f>540000656</f>
        <v>5.40000656E8</v>
      </c>
      <c r="X315" s="36" t="n">
        <f>22</f>
        <v>22.0</v>
      </c>
    </row>
    <row r="316">
      <c r="A316" s="27" t="s">
        <v>42</v>
      </c>
      <c r="B316" s="27" t="s">
        <v>1000</v>
      </c>
      <c r="C316" s="27" t="s">
        <v>1001</v>
      </c>
      <c r="D316" s="27" t="s">
        <v>1002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477000</f>
        <v>477000.0</v>
      </c>
      <c r="L316" s="34" t="s">
        <v>48</v>
      </c>
      <c r="M316" s="33" t="n">
        <f>530000</f>
        <v>530000.0</v>
      </c>
      <c r="N316" s="34" t="s">
        <v>80</v>
      </c>
      <c r="O316" s="33" t="n">
        <f>475000</f>
        <v>475000.0</v>
      </c>
      <c r="P316" s="34" t="s">
        <v>48</v>
      </c>
      <c r="Q316" s="33" t="n">
        <f>524000</f>
        <v>524000.0</v>
      </c>
      <c r="R316" s="34" t="s">
        <v>50</v>
      </c>
      <c r="S316" s="35" t="n">
        <f>502568.18</f>
        <v>502568.18</v>
      </c>
      <c r="T316" s="32" t="n">
        <f>31013</f>
        <v>31013.0</v>
      </c>
      <c r="U316" s="32" t="n">
        <f>7335</f>
        <v>7335.0</v>
      </c>
      <c r="V316" s="32" t="n">
        <f>15493613825</f>
        <v>1.5493613825E10</v>
      </c>
      <c r="W316" s="32" t="n">
        <f>3654164825</f>
        <v>3.654164825E9</v>
      </c>
      <c r="X316" s="36" t="n">
        <f>22</f>
        <v>22.0</v>
      </c>
    </row>
    <row r="317">
      <c r="A317" s="27" t="s">
        <v>42</v>
      </c>
      <c r="B317" s="27" t="s">
        <v>1003</v>
      </c>
      <c r="C317" s="27" t="s">
        <v>1004</v>
      </c>
      <c r="D317" s="27" t="s">
        <v>1005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220000</f>
        <v>220000.0</v>
      </c>
      <c r="L317" s="34" t="s">
        <v>48</v>
      </c>
      <c r="M317" s="33" t="n">
        <f>227200</f>
        <v>227200.0</v>
      </c>
      <c r="N317" s="34" t="s">
        <v>50</v>
      </c>
      <c r="O317" s="33" t="n">
        <f>205200</f>
        <v>205200.0</v>
      </c>
      <c r="P317" s="34" t="s">
        <v>254</v>
      </c>
      <c r="Q317" s="33" t="n">
        <f>226200</f>
        <v>226200.0</v>
      </c>
      <c r="R317" s="34" t="s">
        <v>50</v>
      </c>
      <c r="S317" s="35" t="n">
        <f>218718.18</f>
        <v>218718.18</v>
      </c>
      <c r="T317" s="32" t="n">
        <f>136207</f>
        <v>136207.0</v>
      </c>
      <c r="U317" s="32" t="n">
        <f>26904</f>
        <v>26904.0</v>
      </c>
      <c r="V317" s="32" t="n">
        <f>29439489662</f>
        <v>2.9439489662E10</v>
      </c>
      <c r="W317" s="32" t="n">
        <f>5781194462</f>
        <v>5.781194462E9</v>
      </c>
      <c r="X317" s="36" t="n">
        <f>22</f>
        <v>22.0</v>
      </c>
    </row>
    <row r="318">
      <c r="A318" s="27" t="s">
        <v>42</v>
      </c>
      <c r="B318" s="27" t="s">
        <v>1006</v>
      </c>
      <c r="C318" s="27" t="s">
        <v>1007</v>
      </c>
      <c r="D318" s="27" t="s">
        <v>1008</v>
      </c>
      <c r="E318" s="28" t="s">
        <v>46</v>
      </c>
      <c r="F318" s="29" t="s">
        <v>46</v>
      </c>
      <c r="G318" s="30" t="s">
        <v>46</v>
      </c>
      <c r="H318" s="31"/>
      <c r="I318" s="31" t="s">
        <v>603</v>
      </c>
      <c r="J318" s="32" t="n">
        <v>1.0</v>
      </c>
      <c r="K318" s="33" t="n">
        <f>112300</f>
        <v>112300.0</v>
      </c>
      <c r="L318" s="34" t="s">
        <v>48</v>
      </c>
      <c r="M318" s="33" t="n">
        <f>117700</f>
        <v>117700.0</v>
      </c>
      <c r="N318" s="34" t="s">
        <v>60</v>
      </c>
      <c r="O318" s="33" t="n">
        <f>111400</f>
        <v>111400.0</v>
      </c>
      <c r="P318" s="34" t="s">
        <v>48</v>
      </c>
      <c r="Q318" s="33" t="n">
        <f>116800</f>
        <v>116800.0</v>
      </c>
      <c r="R318" s="34" t="s">
        <v>50</v>
      </c>
      <c r="S318" s="35" t="n">
        <f>114759.09</f>
        <v>114759.09</v>
      </c>
      <c r="T318" s="32" t="n">
        <f>19512</f>
        <v>19512.0</v>
      </c>
      <c r="U318" s="32" t="n">
        <f>3473</f>
        <v>3473.0</v>
      </c>
      <c r="V318" s="32" t="n">
        <f>2235143171</f>
        <v>2.235143171E9</v>
      </c>
      <c r="W318" s="32" t="n">
        <f>397237771</f>
        <v>3.97237771E8</v>
      </c>
      <c r="X318" s="36" t="n">
        <f>22</f>
        <v>22.0</v>
      </c>
    </row>
    <row r="319">
      <c r="A319" s="27" t="s">
        <v>42</v>
      </c>
      <c r="B319" s="27" t="s">
        <v>1009</v>
      </c>
      <c r="C319" s="27" t="s">
        <v>1010</v>
      </c>
      <c r="D319" s="27" t="s">
        <v>1011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111400</f>
        <v>111400.0</v>
      </c>
      <c r="L319" s="34" t="s">
        <v>48</v>
      </c>
      <c r="M319" s="33" t="n">
        <f>119000</f>
        <v>119000.0</v>
      </c>
      <c r="N319" s="34" t="s">
        <v>664</v>
      </c>
      <c r="O319" s="33" t="n">
        <f>111300</f>
        <v>111300.0</v>
      </c>
      <c r="P319" s="34" t="s">
        <v>48</v>
      </c>
      <c r="Q319" s="33" t="n">
        <f>116100</f>
        <v>116100.0</v>
      </c>
      <c r="R319" s="34" t="s">
        <v>50</v>
      </c>
      <c r="S319" s="35" t="n">
        <f>114522.73</f>
        <v>114522.73</v>
      </c>
      <c r="T319" s="32" t="n">
        <f>87111</f>
        <v>87111.0</v>
      </c>
      <c r="U319" s="32" t="n">
        <f>11011</f>
        <v>11011.0</v>
      </c>
      <c r="V319" s="32" t="n">
        <f>9969768184</f>
        <v>9.969768184E9</v>
      </c>
      <c r="W319" s="32" t="n">
        <f>1254194584</f>
        <v>1.254194584E9</v>
      </c>
      <c r="X319" s="36" t="n">
        <f>22</f>
        <v>22.0</v>
      </c>
    </row>
    <row r="320">
      <c r="A320" s="27" t="s">
        <v>42</v>
      </c>
      <c r="B320" s="27" t="s">
        <v>1012</v>
      </c>
      <c r="C320" s="27" t="s">
        <v>1013</v>
      </c>
      <c r="D320" s="27" t="s">
        <v>1014</v>
      </c>
      <c r="E320" s="28" t="s">
        <v>46</v>
      </c>
      <c r="F320" s="29" t="s">
        <v>46</v>
      </c>
      <c r="G320" s="30" t="s">
        <v>46</v>
      </c>
      <c r="H320" s="31"/>
      <c r="I320" s="31" t="s">
        <v>603</v>
      </c>
      <c r="J320" s="32" t="n">
        <v>1.0</v>
      </c>
      <c r="K320" s="33" t="n">
        <f>171000</f>
        <v>171000.0</v>
      </c>
      <c r="L320" s="34" t="s">
        <v>48</v>
      </c>
      <c r="M320" s="33" t="n">
        <f>183100</f>
        <v>183100.0</v>
      </c>
      <c r="N320" s="34" t="s">
        <v>50</v>
      </c>
      <c r="O320" s="33" t="n">
        <f>166900</f>
        <v>166900.0</v>
      </c>
      <c r="P320" s="34" t="s">
        <v>254</v>
      </c>
      <c r="Q320" s="33" t="n">
        <f>183100</f>
        <v>183100.0</v>
      </c>
      <c r="R320" s="34" t="s">
        <v>50</v>
      </c>
      <c r="S320" s="35" t="n">
        <f>174072.73</f>
        <v>174072.73</v>
      </c>
      <c r="T320" s="32" t="n">
        <f>123345</f>
        <v>123345.0</v>
      </c>
      <c r="U320" s="32" t="n">
        <f>25012</f>
        <v>25012.0</v>
      </c>
      <c r="V320" s="32" t="n">
        <f>21311508091</f>
        <v>2.1311508091E10</v>
      </c>
      <c r="W320" s="32" t="n">
        <f>4320303691</f>
        <v>4.320303691E9</v>
      </c>
      <c r="X320" s="36" t="n">
        <f>22</f>
        <v>22.0</v>
      </c>
    </row>
    <row r="321">
      <c r="A321" s="27" t="s">
        <v>42</v>
      </c>
      <c r="B321" s="27" t="s">
        <v>1015</v>
      </c>
      <c r="C321" s="27" t="s">
        <v>1016</v>
      </c>
      <c r="D321" s="27" t="s">
        <v>1017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702000</f>
        <v>702000.0</v>
      </c>
      <c r="L321" s="34" t="s">
        <v>48</v>
      </c>
      <c r="M321" s="33" t="n">
        <f>718000</f>
        <v>718000.0</v>
      </c>
      <c r="N321" s="34" t="s">
        <v>75</v>
      </c>
      <c r="O321" s="33" t="n">
        <f>670000</f>
        <v>670000.0</v>
      </c>
      <c r="P321" s="34" t="s">
        <v>50</v>
      </c>
      <c r="Q321" s="33" t="n">
        <f>670000</f>
        <v>670000.0</v>
      </c>
      <c r="R321" s="34" t="s">
        <v>50</v>
      </c>
      <c r="S321" s="35" t="n">
        <f>692863.64</f>
        <v>692863.64</v>
      </c>
      <c r="T321" s="32" t="n">
        <f>123192</f>
        <v>123192.0</v>
      </c>
      <c r="U321" s="32" t="n">
        <f>24970</f>
        <v>24970.0</v>
      </c>
      <c r="V321" s="32" t="n">
        <f>85756435295</f>
        <v>8.5756435295E10</v>
      </c>
      <c r="W321" s="32" t="n">
        <f>17397737295</f>
        <v>1.7397737295E10</v>
      </c>
      <c r="X321" s="36" t="n">
        <f>22</f>
        <v>22.0</v>
      </c>
    </row>
    <row r="322">
      <c r="A322" s="27" t="s">
        <v>42</v>
      </c>
      <c r="B322" s="27" t="s">
        <v>1018</v>
      </c>
      <c r="C322" s="27" t="s">
        <v>1019</v>
      </c>
      <c r="D322" s="27" t="s">
        <v>1020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656000</f>
        <v>656000.0</v>
      </c>
      <c r="L322" s="34" t="s">
        <v>48</v>
      </c>
      <c r="M322" s="33" t="n">
        <f>678000</f>
        <v>678000.0</v>
      </c>
      <c r="N322" s="34" t="s">
        <v>130</v>
      </c>
      <c r="O322" s="33" t="n">
        <f>645000</f>
        <v>645000.0</v>
      </c>
      <c r="P322" s="34" t="s">
        <v>71</v>
      </c>
      <c r="Q322" s="33" t="n">
        <f>653000</f>
        <v>653000.0</v>
      </c>
      <c r="R322" s="34" t="s">
        <v>50</v>
      </c>
      <c r="S322" s="35" t="n">
        <f>658272.73</f>
        <v>658272.73</v>
      </c>
      <c r="T322" s="32" t="n">
        <f>92358</f>
        <v>92358.0</v>
      </c>
      <c r="U322" s="32" t="n">
        <f>20881</f>
        <v>20881.0</v>
      </c>
      <c r="V322" s="32" t="n">
        <f>61062984766</f>
        <v>6.1062984766E10</v>
      </c>
      <c r="W322" s="32" t="n">
        <f>13820316766</f>
        <v>1.3820316766E10</v>
      </c>
      <c r="X322" s="36" t="n">
        <f>22</f>
        <v>22.0</v>
      </c>
    </row>
    <row r="323">
      <c r="A323" s="27" t="s">
        <v>42</v>
      </c>
      <c r="B323" s="27" t="s">
        <v>1021</v>
      </c>
      <c r="C323" s="27" t="s">
        <v>1022</v>
      </c>
      <c r="D323" s="27" t="s">
        <v>1023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98000</f>
        <v>98000.0</v>
      </c>
      <c r="L323" s="34" t="s">
        <v>48</v>
      </c>
      <c r="M323" s="33" t="n">
        <f>102200</f>
        <v>102200.0</v>
      </c>
      <c r="N323" s="34" t="s">
        <v>48</v>
      </c>
      <c r="O323" s="33" t="n">
        <f>95400</f>
        <v>95400.0</v>
      </c>
      <c r="P323" s="34" t="s">
        <v>93</v>
      </c>
      <c r="Q323" s="33" t="n">
        <f>99100</f>
        <v>99100.0</v>
      </c>
      <c r="R323" s="34" t="s">
        <v>50</v>
      </c>
      <c r="S323" s="35" t="n">
        <f>98436.36</f>
        <v>98436.36</v>
      </c>
      <c r="T323" s="32" t="n">
        <f>539814</f>
        <v>539814.0</v>
      </c>
      <c r="U323" s="32" t="n">
        <f>119125</f>
        <v>119125.0</v>
      </c>
      <c r="V323" s="32" t="n">
        <f>53531849018</f>
        <v>5.3531849018E10</v>
      </c>
      <c r="W323" s="32" t="n">
        <f>11828711518</f>
        <v>1.1828711518E10</v>
      </c>
      <c r="X323" s="36" t="n">
        <f>22</f>
        <v>22.0</v>
      </c>
    </row>
    <row r="324">
      <c r="A324" s="27" t="s">
        <v>42</v>
      </c>
      <c r="B324" s="27" t="s">
        <v>1024</v>
      </c>
      <c r="C324" s="27" t="s">
        <v>1025</v>
      </c>
      <c r="D324" s="27" t="s">
        <v>1026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181100</f>
        <v>181100.0</v>
      </c>
      <c r="L324" s="34" t="s">
        <v>48</v>
      </c>
      <c r="M324" s="33" t="n">
        <f>187100</f>
        <v>187100.0</v>
      </c>
      <c r="N324" s="34" t="s">
        <v>254</v>
      </c>
      <c r="O324" s="33" t="n">
        <f>173300</f>
        <v>173300.0</v>
      </c>
      <c r="P324" s="34" t="s">
        <v>279</v>
      </c>
      <c r="Q324" s="33" t="n">
        <f>179800</f>
        <v>179800.0</v>
      </c>
      <c r="R324" s="34" t="s">
        <v>50</v>
      </c>
      <c r="S324" s="35" t="n">
        <f>180681.82</f>
        <v>180681.82</v>
      </c>
      <c r="T324" s="32" t="n">
        <f>221569</f>
        <v>221569.0</v>
      </c>
      <c r="U324" s="32" t="n">
        <f>44083</f>
        <v>44083.0</v>
      </c>
      <c r="V324" s="32" t="n">
        <f>40244596156</f>
        <v>4.0244596156E10</v>
      </c>
      <c r="W324" s="32" t="n">
        <f>8032174556</f>
        <v>8.032174556E9</v>
      </c>
      <c r="X324" s="36" t="n">
        <f>22</f>
        <v>22.0</v>
      </c>
    </row>
    <row r="325">
      <c r="A325" s="27" t="s">
        <v>42</v>
      </c>
      <c r="B325" s="27" t="s">
        <v>1027</v>
      </c>
      <c r="C325" s="27" t="s">
        <v>1028</v>
      </c>
      <c r="D325" s="27" t="s">
        <v>1029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411500</f>
        <v>411500.0</v>
      </c>
      <c r="L325" s="34" t="s">
        <v>48</v>
      </c>
      <c r="M325" s="33" t="n">
        <f>422000</f>
        <v>422000.0</v>
      </c>
      <c r="N325" s="34" t="s">
        <v>130</v>
      </c>
      <c r="O325" s="33" t="n">
        <f>394000</f>
        <v>394000.0</v>
      </c>
      <c r="P325" s="34" t="s">
        <v>93</v>
      </c>
      <c r="Q325" s="33" t="n">
        <f>399000</f>
        <v>399000.0</v>
      </c>
      <c r="R325" s="34" t="s">
        <v>50</v>
      </c>
      <c r="S325" s="35" t="n">
        <f>406522.73</f>
        <v>406522.73</v>
      </c>
      <c r="T325" s="32" t="n">
        <f>69178</f>
        <v>69178.0</v>
      </c>
      <c r="U325" s="32" t="n">
        <f>22262</f>
        <v>22262.0</v>
      </c>
      <c r="V325" s="32" t="n">
        <f>28220378362</f>
        <v>2.8220378362E10</v>
      </c>
      <c r="W325" s="32" t="n">
        <f>9062881862</f>
        <v>9.062881862E9</v>
      </c>
      <c r="X325" s="36" t="n">
        <f>22</f>
        <v>22.0</v>
      </c>
    </row>
    <row r="326">
      <c r="A326" s="27" t="s">
        <v>42</v>
      </c>
      <c r="B326" s="27" t="s">
        <v>1030</v>
      </c>
      <c r="C326" s="27" t="s">
        <v>1031</v>
      </c>
      <c r="D326" s="27" t="s">
        <v>1032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151800</f>
        <v>151800.0</v>
      </c>
      <c r="L326" s="34" t="s">
        <v>48</v>
      </c>
      <c r="M326" s="33" t="n">
        <f>156100</f>
        <v>156100.0</v>
      </c>
      <c r="N326" s="34" t="s">
        <v>80</v>
      </c>
      <c r="O326" s="33" t="n">
        <f>146800</f>
        <v>146800.0</v>
      </c>
      <c r="P326" s="34" t="s">
        <v>710</v>
      </c>
      <c r="Q326" s="33" t="n">
        <f>155200</f>
        <v>155200.0</v>
      </c>
      <c r="R326" s="34" t="s">
        <v>50</v>
      </c>
      <c r="S326" s="35" t="n">
        <f>150990.91</f>
        <v>150990.91</v>
      </c>
      <c r="T326" s="32" t="n">
        <f>114792</f>
        <v>114792.0</v>
      </c>
      <c r="U326" s="32" t="n">
        <f>22719</f>
        <v>22719.0</v>
      </c>
      <c r="V326" s="32" t="n">
        <f>17335600059</f>
        <v>1.7335600059E10</v>
      </c>
      <c r="W326" s="32" t="n">
        <f>3435034659</f>
        <v>3.435034659E9</v>
      </c>
      <c r="X326" s="36" t="n">
        <f>22</f>
        <v>22.0</v>
      </c>
    </row>
    <row r="327">
      <c r="A327" s="27" t="s">
        <v>42</v>
      </c>
      <c r="B327" s="27" t="s">
        <v>1033</v>
      </c>
      <c r="C327" s="27" t="s">
        <v>1034</v>
      </c>
      <c r="D327" s="27" t="s">
        <v>1035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188700</f>
        <v>188700.0</v>
      </c>
      <c r="L327" s="34" t="s">
        <v>48</v>
      </c>
      <c r="M327" s="33" t="n">
        <f>199500</f>
        <v>199500.0</v>
      </c>
      <c r="N327" s="34" t="s">
        <v>50</v>
      </c>
      <c r="O327" s="33" t="n">
        <f>185800</f>
        <v>185800.0</v>
      </c>
      <c r="P327" s="34" t="s">
        <v>67</v>
      </c>
      <c r="Q327" s="33" t="n">
        <f>198000</f>
        <v>198000.0</v>
      </c>
      <c r="R327" s="34" t="s">
        <v>50</v>
      </c>
      <c r="S327" s="35" t="n">
        <f>194309.09</f>
        <v>194309.09</v>
      </c>
      <c r="T327" s="32" t="n">
        <f>64473</f>
        <v>64473.0</v>
      </c>
      <c r="U327" s="32" t="n">
        <f>13444</f>
        <v>13444.0</v>
      </c>
      <c r="V327" s="32" t="n">
        <f>12502414554</f>
        <v>1.2502414554E10</v>
      </c>
      <c r="W327" s="32" t="n">
        <f>2605627254</f>
        <v>2.605627254E9</v>
      </c>
      <c r="X327" s="36" t="n">
        <f>22</f>
        <v>22.0</v>
      </c>
    </row>
    <row r="328">
      <c r="A328" s="27" t="s">
        <v>42</v>
      </c>
      <c r="B328" s="27" t="s">
        <v>1036</v>
      </c>
      <c r="C328" s="27" t="s">
        <v>1037</v>
      </c>
      <c r="D328" s="27" t="s">
        <v>1038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120600</f>
        <v>120600.0</v>
      </c>
      <c r="L328" s="34" t="s">
        <v>48</v>
      </c>
      <c r="M328" s="33" t="n">
        <f>123500</f>
        <v>123500.0</v>
      </c>
      <c r="N328" s="34" t="s">
        <v>92</v>
      </c>
      <c r="O328" s="33" t="n">
        <f>117200</f>
        <v>117200.0</v>
      </c>
      <c r="P328" s="34" t="s">
        <v>71</v>
      </c>
      <c r="Q328" s="33" t="n">
        <f>120400</f>
        <v>120400.0</v>
      </c>
      <c r="R328" s="34" t="s">
        <v>50</v>
      </c>
      <c r="S328" s="35" t="n">
        <f>120240.91</f>
        <v>120240.91</v>
      </c>
      <c r="T328" s="32" t="n">
        <f>84130</f>
        <v>84130.0</v>
      </c>
      <c r="U328" s="32" t="n">
        <f>14954</f>
        <v>14954.0</v>
      </c>
      <c r="V328" s="32" t="n">
        <f>10134365304</f>
        <v>1.0134365304E10</v>
      </c>
      <c r="W328" s="32" t="n">
        <f>1803830104</f>
        <v>1.803830104E9</v>
      </c>
      <c r="X328" s="36" t="n">
        <f>22</f>
        <v>22.0</v>
      </c>
    </row>
    <row r="329">
      <c r="A329" s="27" t="s">
        <v>42</v>
      </c>
      <c r="B329" s="27" t="s">
        <v>1039</v>
      </c>
      <c r="C329" s="27" t="s">
        <v>1040</v>
      </c>
      <c r="D329" s="27" t="s">
        <v>1041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143600</f>
        <v>143600.0</v>
      </c>
      <c r="L329" s="34" t="s">
        <v>48</v>
      </c>
      <c r="M329" s="33" t="n">
        <f>144700</f>
        <v>144700.0</v>
      </c>
      <c r="N329" s="34" t="s">
        <v>48</v>
      </c>
      <c r="O329" s="33" t="n">
        <f>133100</f>
        <v>133100.0</v>
      </c>
      <c r="P329" s="34" t="s">
        <v>279</v>
      </c>
      <c r="Q329" s="33" t="n">
        <f>135200</f>
        <v>135200.0</v>
      </c>
      <c r="R329" s="34" t="s">
        <v>50</v>
      </c>
      <c r="S329" s="35" t="n">
        <f>138586.36</f>
        <v>138586.36</v>
      </c>
      <c r="T329" s="32" t="n">
        <f>349973</f>
        <v>349973.0</v>
      </c>
      <c r="U329" s="32" t="n">
        <f>68804</f>
        <v>68804.0</v>
      </c>
      <c r="V329" s="32" t="n">
        <f>49040554127</f>
        <v>4.9040554127E10</v>
      </c>
      <c r="W329" s="32" t="n">
        <f>9646158027</f>
        <v>9.646158027E9</v>
      </c>
      <c r="X329" s="36" t="n">
        <f>22</f>
        <v>22.0</v>
      </c>
    </row>
    <row r="330">
      <c r="A330" s="27" t="s">
        <v>42</v>
      </c>
      <c r="B330" s="27" t="s">
        <v>1042</v>
      </c>
      <c r="C330" s="27" t="s">
        <v>1043</v>
      </c>
      <c r="D330" s="27" t="s">
        <v>1044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141700</f>
        <v>141700.0</v>
      </c>
      <c r="L330" s="34" t="s">
        <v>48</v>
      </c>
      <c r="M330" s="33" t="n">
        <f>147600</f>
        <v>147600.0</v>
      </c>
      <c r="N330" s="34" t="s">
        <v>254</v>
      </c>
      <c r="O330" s="33" t="n">
        <f>140800</f>
        <v>140800.0</v>
      </c>
      <c r="P330" s="34" t="s">
        <v>105</v>
      </c>
      <c r="Q330" s="33" t="n">
        <f>144800</f>
        <v>144800.0</v>
      </c>
      <c r="R330" s="34" t="s">
        <v>50</v>
      </c>
      <c r="S330" s="35" t="n">
        <f>143877.27</f>
        <v>143877.27</v>
      </c>
      <c r="T330" s="32" t="n">
        <f>68499</f>
        <v>68499.0</v>
      </c>
      <c r="U330" s="32" t="n">
        <f>13535</f>
        <v>13535.0</v>
      </c>
      <c r="V330" s="32" t="n">
        <f>9868275909</f>
        <v>9.868275909E9</v>
      </c>
      <c r="W330" s="32" t="n">
        <f>1953437709</f>
        <v>1.953437709E9</v>
      </c>
      <c r="X330" s="36" t="n">
        <f>22</f>
        <v>22.0</v>
      </c>
    </row>
    <row r="331">
      <c r="A331" s="27" t="s">
        <v>42</v>
      </c>
      <c r="B331" s="27" t="s">
        <v>1045</v>
      </c>
      <c r="C331" s="27" t="s">
        <v>1046</v>
      </c>
      <c r="D331" s="27" t="s">
        <v>1047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38350</f>
        <v>38350.0</v>
      </c>
      <c r="L331" s="34" t="s">
        <v>48</v>
      </c>
      <c r="M331" s="33" t="n">
        <f>40650</f>
        <v>40650.0</v>
      </c>
      <c r="N331" s="34" t="s">
        <v>92</v>
      </c>
      <c r="O331" s="33" t="n">
        <f>34450</f>
        <v>34450.0</v>
      </c>
      <c r="P331" s="34" t="s">
        <v>71</v>
      </c>
      <c r="Q331" s="33" t="n">
        <f>36400</f>
        <v>36400.0</v>
      </c>
      <c r="R331" s="34" t="s">
        <v>50</v>
      </c>
      <c r="S331" s="35" t="n">
        <f>37234.09</f>
        <v>37234.09</v>
      </c>
      <c r="T331" s="32" t="n">
        <f>941009</f>
        <v>941009.0</v>
      </c>
      <c r="U331" s="32" t="n">
        <f>178468</f>
        <v>178468.0</v>
      </c>
      <c r="V331" s="32" t="n">
        <f>35201270116</f>
        <v>3.5201270116E10</v>
      </c>
      <c r="W331" s="32" t="n">
        <f>6658576016</f>
        <v>6.658576016E9</v>
      </c>
      <c r="X331" s="36" t="n">
        <f>22</f>
        <v>22.0</v>
      </c>
    </row>
    <row r="332">
      <c r="A332" s="27" t="s">
        <v>42</v>
      </c>
      <c r="B332" s="27" t="s">
        <v>1048</v>
      </c>
      <c r="C332" s="27" t="s">
        <v>1049</v>
      </c>
      <c r="D332" s="27" t="s">
        <v>1050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501000</f>
        <v>501000.0</v>
      </c>
      <c r="L332" s="34" t="s">
        <v>48</v>
      </c>
      <c r="M332" s="33" t="n">
        <f>520000</f>
        <v>520000.0</v>
      </c>
      <c r="N332" s="34" t="s">
        <v>48</v>
      </c>
      <c r="O332" s="33" t="n">
        <f>490000</f>
        <v>490000.0</v>
      </c>
      <c r="P332" s="34" t="s">
        <v>710</v>
      </c>
      <c r="Q332" s="33" t="n">
        <f>497000</f>
        <v>497000.0</v>
      </c>
      <c r="R332" s="34" t="s">
        <v>50</v>
      </c>
      <c r="S332" s="35" t="n">
        <f>502045.45</f>
        <v>502045.45</v>
      </c>
      <c r="T332" s="32" t="n">
        <f>55871</f>
        <v>55871.0</v>
      </c>
      <c r="U332" s="32" t="n">
        <f>16632</f>
        <v>16632.0</v>
      </c>
      <c r="V332" s="32" t="n">
        <f>28146070988</f>
        <v>2.8146070988E10</v>
      </c>
      <c r="W332" s="32" t="n">
        <f>8401042488</f>
        <v>8.401042488E9</v>
      </c>
      <c r="X332" s="36" t="n">
        <f>22</f>
        <v>22.0</v>
      </c>
    </row>
    <row r="333">
      <c r="A333" s="27" t="s">
        <v>42</v>
      </c>
      <c r="B333" s="27" t="s">
        <v>1051</v>
      </c>
      <c r="C333" s="27" t="s">
        <v>1052</v>
      </c>
      <c r="D333" s="27" t="s">
        <v>1053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152600</f>
        <v>152600.0</v>
      </c>
      <c r="L333" s="34" t="s">
        <v>48</v>
      </c>
      <c r="M333" s="33" t="n">
        <f>157700</f>
        <v>157700.0</v>
      </c>
      <c r="N333" s="34" t="s">
        <v>254</v>
      </c>
      <c r="O333" s="33" t="n">
        <f>150900</f>
        <v>150900.0</v>
      </c>
      <c r="P333" s="34" t="s">
        <v>67</v>
      </c>
      <c r="Q333" s="33" t="n">
        <f>156300</f>
        <v>156300.0</v>
      </c>
      <c r="R333" s="34" t="s">
        <v>50</v>
      </c>
      <c r="S333" s="35" t="n">
        <f>154031.82</f>
        <v>154031.82</v>
      </c>
      <c r="T333" s="32" t="n">
        <f>65316</f>
        <v>65316.0</v>
      </c>
      <c r="U333" s="32" t="n">
        <f>12444</f>
        <v>12444.0</v>
      </c>
      <c r="V333" s="32" t="n">
        <f>10065081151</f>
        <v>1.0065081151E10</v>
      </c>
      <c r="W333" s="32" t="n">
        <f>1917295951</f>
        <v>1.917295951E9</v>
      </c>
      <c r="X333" s="36" t="n">
        <f>22</f>
        <v>22.0</v>
      </c>
    </row>
    <row r="334">
      <c r="A334" s="27" t="s">
        <v>42</v>
      </c>
      <c r="B334" s="27" t="s">
        <v>1054</v>
      </c>
      <c r="C334" s="27" t="s">
        <v>1055</v>
      </c>
      <c r="D334" s="27" t="s">
        <v>1056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321000</f>
        <v>321000.0</v>
      </c>
      <c r="L334" s="34" t="s">
        <v>48</v>
      </c>
      <c r="M334" s="33" t="n">
        <f>359500</f>
        <v>359500.0</v>
      </c>
      <c r="N334" s="34" t="s">
        <v>80</v>
      </c>
      <c r="O334" s="33" t="n">
        <f>320000</f>
        <v>320000.0</v>
      </c>
      <c r="P334" s="34" t="s">
        <v>48</v>
      </c>
      <c r="Q334" s="33" t="n">
        <f>356500</f>
        <v>356500.0</v>
      </c>
      <c r="R334" s="34" t="s">
        <v>50</v>
      </c>
      <c r="S334" s="35" t="n">
        <f>340386.36</f>
        <v>340386.36</v>
      </c>
      <c r="T334" s="32" t="n">
        <f>53838</f>
        <v>53838.0</v>
      </c>
      <c r="U334" s="32" t="n">
        <f>11759</f>
        <v>11759.0</v>
      </c>
      <c r="V334" s="32" t="n">
        <f>18222126363</f>
        <v>1.8222126363E10</v>
      </c>
      <c r="W334" s="32" t="n">
        <f>3981026363</f>
        <v>3.981026363E9</v>
      </c>
      <c r="X334" s="36" t="n">
        <f>22</f>
        <v>22.0</v>
      </c>
    </row>
    <row r="335">
      <c r="A335" s="27" t="s">
        <v>42</v>
      </c>
      <c r="B335" s="27" t="s">
        <v>1057</v>
      </c>
      <c r="C335" s="27" t="s">
        <v>1058</v>
      </c>
      <c r="D335" s="27" t="s">
        <v>1059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163600</f>
        <v>163600.0</v>
      </c>
      <c r="L335" s="34" t="s">
        <v>48</v>
      </c>
      <c r="M335" s="33" t="n">
        <f>170100</f>
        <v>170100.0</v>
      </c>
      <c r="N335" s="34" t="s">
        <v>254</v>
      </c>
      <c r="O335" s="33" t="n">
        <f>162000</f>
        <v>162000.0</v>
      </c>
      <c r="P335" s="34" t="s">
        <v>67</v>
      </c>
      <c r="Q335" s="33" t="n">
        <f>166800</f>
        <v>166800.0</v>
      </c>
      <c r="R335" s="34" t="s">
        <v>50</v>
      </c>
      <c r="S335" s="35" t="n">
        <f>166127.27</f>
        <v>166127.27</v>
      </c>
      <c r="T335" s="32" t="n">
        <f>38063</f>
        <v>38063.0</v>
      </c>
      <c r="U335" s="32" t="n">
        <f>7958</f>
        <v>7958.0</v>
      </c>
      <c r="V335" s="32" t="n">
        <f>6332069811</f>
        <v>6.332069811E9</v>
      </c>
      <c r="W335" s="32" t="n">
        <f>1325157211</f>
        <v>1.325157211E9</v>
      </c>
      <c r="X335" s="36" t="n">
        <f>22</f>
        <v>22.0</v>
      </c>
    </row>
    <row r="336">
      <c r="A336" s="27" t="s">
        <v>42</v>
      </c>
      <c r="B336" s="27" t="s">
        <v>1060</v>
      </c>
      <c r="C336" s="27" t="s">
        <v>1061</v>
      </c>
      <c r="D336" s="27" t="s">
        <v>1062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692000</f>
        <v>692000.0</v>
      </c>
      <c r="L336" s="34" t="s">
        <v>48</v>
      </c>
      <c r="M336" s="33" t="n">
        <f>724000</f>
        <v>724000.0</v>
      </c>
      <c r="N336" s="34" t="s">
        <v>254</v>
      </c>
      <c r="O336" s="33" t="n">
        <f>671000</f>
        <v>671000.0</v>
      </c>
      <c r="P336" s="34" t="s">
        <v>93</v>
      </c>
      <c r="Q336" s="33" t="n">
        <f>711000</f>
        <v>711000.0</v>
      </c>
      <c r="R336" s="34" t="s">
        <v>50</v>
      </c>
      <c r="S336" s="35" t="n">
        <f>696863.64</f>
        <v>696863.64</v>
      </c>
      <c r="T336" s="32" t="n">
        <f>47951</f>
        <v>47951.0</v>
      </c>
      <c r="U336" s="32" t="n">
        <f>9307</f>
        <v>9307.0</v>
      </c>
      <c r="V336" s="32" t="n">
        <f>33454911447</f>
        <v>3.3454911447E10</v>
      </c>
      <c r="W336" s="32" t="n">
        <f>6493942447</f>
        <v>6.493942447E9</v>
      </c>
      <c r="X336" s="36" t="n">
        <f>22</f>
        <v>22.0</v>
      </c>
    </row>
    <row r="337">
      <c r="A337" s="27" t="s">
        <v>42</v>
      </c>
      <c r="B337" s="27" t="s">
        <v>1063</v>
      </c>
      <c r="C337" s="27" t="s">
        <v>1064</v>
      </c>
      <c r="D337" s="27" t="s">
        <v>1065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85500</f>
        <v>85500.0</v>
      </c>
      <c r="L337" s="34" t="s">
        <v>48</v>
      </c>
      <c r="M337" s="33" t="n">
        <f>88200</f>
        <v>88200.0</v>
      </c>
      <c r="N337" s="34" t="s">
        <v>130</v>
      </c>
      <c r="O337" s="33" t="n">
        <f>79400</f>
        <v>79400.0</v>
      </c>
      <c r="P337" s="34" t="s">
        <v>97</v>
      </c>
      <c r="Q337" s="33" t="n">
        <f>82900</f>
        <v>82900.0</v>
      </c>
      <c r="R337" s="34" t="s">
        <v>50</v>
      </c>
      <c r="S337" s="35" t="n">
        <f>84136.36</f>
        <v>84136.36</v>
      </c>
      <c r="T337" s="32" t="n">
        <f>103425</f>
        <v>103425.0</v>
      </c>
      <c r="U337" s="32" t="n">
        <f>20905</f>
        <v>20905.0</v>
      </c>
      <c r="V337" s="32" t="n">
        <f>8703517246</f>
        <v>8.703517246E9</v>
      </c>
      <c r="W337" s="32" t="n">
        <f>1766180946</f>
        <v>1.766180946E9</v>
      </c>
      <c r="X337" s="36" t="n">
        <f>22</f>
        <v>22.0</v>
      </c>
    </row>
    <row r="338">
      <c r="A338" s="27" t="s">
        <v>42</v>
      </c>
      <c r="B338" s="27" t="s">
        <v>1066</v>
      </c>
      <c r="C338" s="27" t="s">
        <v>1067</v>
      </c>
      <c r="D338" s="27" t="s">
        <v>1068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718000</f>
        <v>718000.0</v>
      </c>
      <c r="L338" s="34" t="s">
        <v>48</v>
      </c>
      <c r="M338" s="33" t="n">
        <f>734000</f>
        <v>734000.0</v>
      </c>
      <c r="N338" s="34" t="s">
        <v>48</v>
      </c>
      <c r="O338" s="33" t="n">
        <f>671000</f>
        <v>671000.0</v>
      </c>
      <c r="P338" s="34" t="s">
        <v>93</v>
      </c>
      <c r="Q338" s="33" t="n">
        <f>700000</f>
        <v>700000.0</v>
      </c>
      <c r="R338" s="34" t="s">
        <v>50</v>
      </c>
      <c r="S338" s="35" t="n">
        <f>707181.82</f>
        <v>707181.82</v>
      </c>
      <c r="T338" s="32" t="n">
        <f>30312</f>
        <v>30312.0</v>
      </c>
      <c r="U338" s="32" t="n">
        <f>5477</f>
        <v>5477.0</v>
      </c>
      <c r="V338" s="32" t="n">
        <f>21465530270</f>
        <v>2.146553027E10</v>
      </c>
      <c r="W338" s="32" t="n">
        <f>3887039270</f>
        <v>3.88703927E9</v>
      </c>
      <c r="X338" s="36" t="n">
        <f>22</f>
        <v>22.0</v>
      </c>
    </row>
    <row r="339">
      <c r="A339" s="27" t="s">
        <v>42</v>
      </c>
      <c r="B339" s="27" t="s">
        <v>1069</v>
      </c>
      <c r="C339" s="27" t="s">
        <v>1070</v>
      </c>
      <c r="D339" s="27" t="s">
        <v>1071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159000</f>
        <v>159000.0</v>
      </c>
      <c r="L339" s="34" t="s">
        <v>48</v>
      </c>
      <c r="M339" s="33" t="n">
        <f>163400</f>
        <v>163400.0</v>
      </c>
      <c r="N339" s="34" t="s">
        <v>254</v>
      </c>
      <c r="O339" s="33" t="n">
        <f>155700</f>
        <v>155700.0</v>
      </c>
      <c r="P339" s="34" t="s">
        <v>279</v>
      </c>
      <c r="Q339" s="33" t="n">
        <f>158400</f>
        <v>158400.0</v>
      </c>
      <c r="R339" s="34" t="s">
        <v>50</v>
      </c>
      <c r="S339" s="35" t="n">
        <f>159095.45</f>
        <v>159095.45</v>
      </c>
      <c r="T339" s="32" t="n">
        <f>39401</f>
        <v>39401.0</v>
      </c>
      <c r="U339" s="32" t="n">
        <f>6575</f>
        <v>6575.0</v>
      </c>
      <c r="V339" s="32" t="n">
        <f>6292297860</f>
        <v>6.29229786E9</v>
      </c>
      <c r="W339" s="32" t="n">
        <f>1052374160</f>
        <v>1.05237416E9</v>
      </c>
      <c r="X339" s="36" t="n">
        <f>22</f>
        <v>22.0</v>
      </c>
    </row>
    <row r="340">
      <c r="A340" s="27" t="s">
        <v>42</v>
      </c>
      <c r="B340" s="27" t="s">
        <v>1072</v>
      </c>
      <c r="C340" s="27" t="s">
        <v>1073</v>
      </c>
      <c r="D340" s="27" t="s">
        <v>1074</v>
      </c>
      <c r="E340" s="28" t="s">
        <v>46</v>
      </c>
      <c r="F340" s="29" t="s">
        <v>46</v>
      </c>
      <c r="G340" s="30" t="s">
        <v>46</v>
      </c>
      <c r="H340" s="31"/>
      <c r="I340" s="31" t="s">
        <v>603</v>
      </c>
      <c r="J340" s="32" t="n">
        <v>1.0</v>
      </c>
      <c r="K340" s="33" t="n">
        <f>227900</f>
        <v>227900.0</v>
      </c>
      <c r="L340" s="34" t="s">
        <v>48</v>
      </c>
      <c r="M340" s="33" t="n">
        <f>241700</f>
        <v>241700.0</v>
      </c>
      <c r="N340" s="34" t="s">
        <v>50</v>
      </c>
      <c r="O340" s="33" t="n">
        <f>225800</f>
        <v>225800.0</v>
      </c>
      <c r="P340" s="34" t="s">
        <v>48</v>
      </c>
      <c r="Q340" s="33" t="n">
        <f>237900</f>
        <v>237900.0</v>
      </c>
      <c r="R340" s="34" t="s">
        <v>50</v>
      </c>
      <c r="S340" s="35" t="n">
        <f>233331.82</f>
        <v>233331.82</v>
      </c>
      <c r="T340" s="32" t="n">
        <f>14954</f>
        <v>14954.0</v>
      </c>
      <c r="U340" s="32" t="n">
        <f>2564</f>
        <v>2564.0</v>
      </c>
      <c r="V340" s="32" t="n">
        <f>3481685042</f>
        <v>3.481685042E9</v>
      </c>
      <c r="W340" s="32" t="n">
        <f>596085742</f>
        <v>5.96085742E8</v>
      </c>
      <c r="X340" s="36" t="n">
        <f>22</f>
        <v>22.0</v>
      </c>
    </row>
    <row r="341">
      <c r="A341" s="27" t="s">
        <v>42</v>
      </c>
      <c r="B341" s="27" t="s">
        <v>1075</v>
      </c>
      <c r="C341" s="27" t="s">
        <v>1076</v>
      </c>
      <c r="D341" s="27" t="s">
        <v>1077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327000</f>
        <v>327000.0</v>
      </c>
      <c r="L341" s="34" t="s">
        <v>48</v>
      </c>
      <c r="M341" s="33" t="n">
        <f>351000</f>
        <v>351000.0</v>
      </c>
      <c r="N341" s="34" t="s">
        <v>80</v>
      </c>
      <c r="O341" s="33" t="n">
        <f>316500</f>
        <v>316500.0</v>
      </c>
      <c r="P341" s="34" t="s">
        <v>67</v>
      </c>
      <c r="Q341" s="33" t="n">
        <f>348500</f>
        <v>348500.0</v>
      </c>
      <c r="R341" s="34" t="s">
        <v>50</v>
      </c>
      <c r="S341" s="35" t="n">
        <f>334681.82</f>
        <v>334681.82</v>
      </c>
      <c r="T341" s="32" t="n">
        <f>164827</f>
        <v>164827.0</v>
      </c>
      <c r="U341" s="32" t="n">
        <f>39916</f>
        <v>39916.0</v>
      </c>
      <c r="V341" s="32" t="n">
        <f>54836027463</f>
        <v>5.4836027463E10</v>
      </c>
      <c r="W341" s="32" t="n">
        <f>13234707463</f>
        <v>1.3234707463E10</v>
      </c>
      <c r="X341" s="36" t="n">
        <f>22</f>
        <v>22.0</v>
      </c>
    </row>
    <row r="342">
      <c r="A342" s="27" t="s">
        <v>42</v>
      </c>
      <c r="B342" s="27" t="s">
        <v>1078</v>
      </c>
      <c r="C342" s="27" t="s">
        <v>1079</v>
      </c>
      <c r="D342" s="27" t="s">
        <v>1080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58500</f>
        <v>58500.0</v>
      </c>
      <c r="L342" s="34" t="s">
        <v>48</v>
      </c>
      <c r="M342" s="33" t="n">
        <f>60800</f>
        <v>60800.0</v>
      </c>
      <c r="N342" s="34" t="s">
        <v>92</v>
      </c>
      <c r="O342" s="33" t="n">
        <f>52100</f>
        <v>52100.0</v>
      </c>
      <c r="P342" s="34" t="s">
        <v>71</v>
      </c>
      <c r="Q342" s="33" t="n">
        <f>56200</f>
        <v>56200.0</v>
      </c>
      <c r="R342" s="34" t="s">
        <v>50</v>
      </c>
      <c r="S342" s="35" t="n">
        <f>56554.55</f>
        <v>56554.55</v>
      </c>
      <c r="T342" s="32" t="n">
        <f>580749</f>
        <v>580749.0</v>
      </c>
      <c r="U342" s="32" t="n">
        <f>140007</f>
        <v>140007.0</v>
      </c>
      <c r="V342" s="32" t="n">
        <f>32897190857</f>
        <v>3.2897190857E10</v>
      </c>
      <c r="W342" s="32" t="n">
        <f>7925766257</f>
        <v>7.925766257E9</v>
      </c>
      <c r="X342" s="36" t="n">
        <f>22</f>
        <v>22.0</v>
      </c>
    </row>
    <row r="343">
      <c r="A343" s="27" t="s">
        <v>42</v>
      </c>
      <c r="B343" s="27" t="s">
        <v>1081</v>
      </c>
      <c r="C343" s="27" t="s">
        <v>1082</v>
      </c>
      <c r="D343" s="27" t="s">
        <v>1083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112400</f>
        <v>112400.0</v>
      </c>
      <c r="L343" s="34" t="s">
        <v>48</v>
      </c>
      <c r="M343" s="33" t="n">
        <f>119200</f>
        <v>119200.0</v>
      </c>
      <c r="N343" s="34" t="s">
        <v>50</v>
      </c>
      <c r="O343" s="33" t="n">
        <f>111100</f>
        <v>111100.0</v>
      </c>
      <c r="P343" s="34" t="s">
        <v>48</v>
      </c>
      <c r="Q343" s="33" t="n">
        <f>118500</f>
        <v>118500.0</v>
      </c>
      <c r="R343" s="34" t="s">
        <v>50</v>
      </c>
      <c r="S343" s="35" t="n">
        <f>114972.73</f>
        <v>114972.73</v>
      </c>
      <c r="T343" s="32" t="n">
        <f>147351</f>
        <v>147351.0</v>
      </c>
      <c r="U343" s="32" t="n">
        <f>33940</f>
        <v>33940.0</v>
      </c>
      <c r="V343" s="32" t="n">
        <f>16873363530</f>
        <v>1.687336353E10</v>
      </c>
      <c r="W343" s="32" t="n">
        <f>3877025830</f>
        <v>3.87702583E9</v>
      </c>
      <c r="X343" s="36" t="n">
        <f>22</f>
        <v>22.0</v>
      </c>
    </row>
    <row r="344">
      <c r="A344" s="27" t="s">
        <v>42</v>
      </c>
      <c r="B344" s="27" t="s">
        <v>1084</v>
      </c>
      <c r="C344" s="27" t="s">
        <v>1085</v>
      </c>
      <c r="D344" s="27" t="s">
        <v>1086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134600</f>
        <v>134600.0</v>
      </c>
      <c r="L344" s="34" t="s">
        <v>48</v>
      </c>
      <c r="M344" s="33" t="n">
        <f>140600</f>
        <v>140600.0</v>
      </c>
      <c r="N344" s="34" t="s">
        <v>75</v>
      </c>
      <c r="O344" s="33" t="n">
        <f>132100</f>
        <v>132100.0</v>
      </c>
      <c r="P344" s="34" t="s">
        <v>80</v>
      </c>
      <c r="Q344" s="33" t="n">
        <f>133300</f>
        <v>133300.0</v>
      </c>
      <c r="R344" s="34" t="s">
        <v>50</v>
      </c>
      <c r="S344" s="35" t="n">
        <f>135445.45</f>
        <v>135445.45</v>
      </c>
      <c r="T344" s="32" t="n">
        <f>142555</f>
        <v>142555.0</v>
      </c>
      <c r="U344" s="32" t="n">
        <f>58236</f>
        <v>58236.0</v>
      </c>
      <c r="V344" s="32" t="n">
        <f>19290049233</f>
        <v>1.9290049233E10</v>
      </c>
      <c r="W344" s="32" t="n">
        <f>7839941733</f>
        <v>7.839941733E9</v>
      </c>
      <c r="X344" s="36" t="n">
        <f>22</f>
        <v>22.0</v>
      </c>
    </row>
    <row r="345">
      <c r="A345" s="27" t="s">
        <v>42</v>
      </c>
      <c r="B345" s="27" t="s">
        <v>1087</v>
      </c>
      <c r="C345" s="27" t="s">
        <v>1088</v>
      </c>
      <c r="D345" s="27" t="s">
        <v>1089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109000</f>
        <v>109000.0</v>
      </c>
      <c r="L345" s="34" t="s">
        <v>48</v>
      </c>
      <c r="M345" s="33" t="n">
        <f>110900</f>
        <v>110900.0</v>
      </c>
      <c r="N345" s="34" t="s">
        <v>50</v>
      </c>
      <c r="O345" s="33" t="n">
        <f>106000</f>
        <v>106000.0</v>
      </c>
      <c r="P345" s="34" t="s">
        <v>67</v>
      </c>
      <c r="Q345" s="33" t="n">
        <f>110800</f>
        <v>110800.0</v>
      </c>
      <c r="R345" s="34" t="s">
        <v>50</v>
      </c>
      <c r="S345" s="35" t="n">
        <f>107781.82</f>
        <v>107781.82</v>
      </c>
      <c r="T345" s="32" t="n">
        <f>64533</f>
        <v>64533.0</v>
      </c>
      <c r="U345" s="32" t="n">
        <f>1737</f>
        <v>1737.0</v>
      </c>
      <c r="V345" s="32" t="n">
        <f>6955835443</f>
        <v>6.955835443E9</v>
      </c>
      <c r="W345" s="32" t="n">
        <f>188076943</f>
        <v>1.88076943E8</v>
      </c>
      <c r="X345" s="36" t="n">
        <f>22</f>
        <v>22.0</v>
      </c>
    </row>
    <row r="346">
      <c r="A346" s="27" t="s">
        <v>42</v>
      </c>
      <c r="B346" s="27" t="s">
        <v>1090</v>
      </c>
      <c r="C346" s="27" t="s">
        <v>1091</v>
      </c>
      <c r="D346" s="27" t="s">
        <v>1092</v>
      </c>
      <c r="E346" s="28" t="s">
        <v>46</v>
      </c>
      <c r="F346" s="29" t="s">
        <v>46</v>
      </c>
      <c r="G346" s="30" t="s">
        <v>46</v>
      </c>
      <c r="H346" s="31"/>
      <c r="I346" s="31" t="s">
        <v>603</v>
      </c>
      <c r="J346" s="32" t="n">
        <v>1.0</v>
      </c>
      <c r="K346" s="33" t="n">
        <f>67000</f>
        <v>67000.0</v>
      </c>
      <c r="L346" s="34" t="s">
        <v>48</v>
      </c>
      <c r="M346" s="33" t="n">
        <f>68400</f>
        <v>68400.0</v>
      </c>
      <c r="N346" s="34" t="s">
        <v>49</v>
      </c>
      <c r="O346" s="33" t="n">
        <f>66100</f>
        <v>66100.0</v>
      </c>
      <c r="P346" s="34" t="s">
        <v>75</v>
      </c>
      <c r="Q346" s="33" t="n">
        <f>67500</f>
        <v>67500.0</v>
      </c>
      <c r="R346" s="34" t="s">
        <v>50</v>
      </c>
      <c r="S346" s="35" t="n">
        <f>67263.64</f>
        <v>67263.64</v>
      </c>
      <c r="T346" s="32" t="n">
        <f>2187</f>
        <v>2187.0</v>
      </c>
      <c r="U346" s="32" t="n">
        <f>1</f>
        <v>1.0</v>
      </c>
      <c r="V346" s="32" t="n">
        <f>147020200</f>
        <v>1.470202E8</v>
      </c>
      <c r="W346" s="32" t="n">
        <f>66600</f>
        <v>66600.0</v>
      </c>
      <c r="X346" s="36" t="n">
        <f>22</f>
        <v>22.0</v>
      </c>
    </row>
    <row r="347">
      <c r="A347" s="27" t="s">
        <v>42</v>
      </c>
      <c r="B347" s="27" t="s">
        <v>1093</v>
      </c>
      <c r="C347" s="27" t="s">
        <v>1094</v>
      </c>
      <c r="D347" s="27" t="s">
        <v>1095</v>
      </c>
      <c r="E347" s="28" t="s">
        <v>46</v>
      </c>
      <c r="F347" s="29" t="s">
        <v>46</v>
      </c>
      <c r="G347" s="30" t="s">
        <v>46</v>
      </c>
      <c r="H347" s="31"/>
      <c r="I347" s="31" t="s">
        <v>603</v>
      </c>
      <c r="J347" s="32" t="n">
        <v>1.0</v>
      </c>
      <c r="K347" s="33" t="n">
        <f>105000</f>
        <v>105000.0</v>
      </c>
      <c r="L347" s="34" t="s">
        <v>48</v>
      </c>
      <c r="M347" s="33" t="n">
        <f>106300</f>
        <v>106300.0</v>
      </c>
      <c r="N347" s="34" t="s">
        <v>48</v>
      </c>
      <c r="O347" s="33" t="n">
        <f>101700</f>
        <v>101700.0</v>
      </c>
      <c r="P347" s="34" t="s">
        <v>105</v>
      </c>
      <c r="Q347" s="33" t="n">
        <f>105200</f>
        <v>105200.0</v>
      </c>
      <c r="R347" s="34" t="s">
        <v>50</v>
      </c>
      <c r="S347" s="35" t="n">
        <f>104040.91</f>
        <v>104040.91</v>
      </c>
      <c r="T347" s="32" t="n">
        <f>10584</f>
        <v>10584.0</v>
      </c>
      <c r="U347" s="32" t="n">
        <f>423</f>
        <v>423.0</v>
      </c>
      <c r="V347" s="32" t="n">
        <f>1096851295</f>
        <v>1.096851295E9</v>
      </c>
      <c r="W347" s="32" t="n">
        <f>44586195</f>
        <v>4.4586195E7</v>
      </c>
      <c r="X347" s="36" t="n">
        <f>22</f>
        <v>22.0</v>
      </c>
    </row>
    <row r="348">
      <c r="A348" s="27" t="s">
        <v>42</v>
      </c>
      <c r="B348" s="27" t="s">
        <v>1096</v>
      </c>
      <c r="C348" s="27" t="s">
        <v>1097</v>
      </c>
      <c r="D348" s="27" t="s">
        <v>1098</v>
      </c>
      <c r="E348" s="28" t="s">
        <v>46</v>
      </c>
      <c r="F348" s="29" t="s">
        <v>46</v>
      </c>
      <c r="G348" s="30" t="s">
        <v>46</v>
      </c>
      <c r="H348" s="31"/>
      <c r="I348" s="31" t="s">
        <v>603</v>
      </c>
      <c r="J348" s="32" t="n">
        <v>1.0</v>
      </c>
      <c r="K348" s="33" t="n">
        <f>123700</f>
        <v>123700.0</v>
      </c>
      <c r="L348" s="34" t="s">
        <v>48</v>
      </c>
      <c r="M348" s="33" t="n">
        <f>125200</f>
        <v>125200.0</v>
      </c>
      <c r="N348" s="34" t="s">
        <v>101</v>
      </c>
      <c r="O348" s="33" t="n">
        <f>120900</f>
        <v>120900.0</v>
      </c>
      <c r="P348" s="34" t="s">
        <v>80</v>
      </c>
      <c r="Q348" s="33" t="n">
        <f>122700</f>
        <v>122700.0</v>
      </c>
      <c r="R348" s="34" t="s">
        <v>50</v>
      </c>
      <c r="S348" s="35" t="n">
        <f>124231.82</f>
        <v>124231.82</v>
      </c>
      <c r="T348" s="32" t="n">
        <f>12856</f>
        <v>12856.0</v>
      </c>
      <c r="U348" s="32" t="n">
        <f>414</f>
        <v>414.0</v>
      </c>
      <c r="V348" s="32" t="n">
        <f>1595726779</f>
        <v>1.595726779E9</v>
      </c>
      <c r="W348" s="32" t="n">
        <f>51896179</f>
        <v>5.1896179E7</v>
      </c>
      <c r="X348" s="36" t="n">
        <f>22</f>
        <v>22.0</v>
      </c>
    </row>
    <row r="349">
      <c r="A349" s="27" t="s">
        <v>42</v>
      </c>
      <c r="B349" s="27" t="s">
        <v>1099</v>
      </c>
      <c r="C349" s="27" t="s">
        <v>1100</v>
      </c>
      <c r="D349" s="27" t="s">
        <v>1101</v>
      </c>
      <c r="E349" s="28" t="s">
        <v>46</v>
      </c>
      <c r="F349" s="29" t="s">
        <v>46</v>
      </c>
      <c r="G349" s="30" t="s">
        <v>46</v>
      </c>
      <c r="H349" s="31"/>
      <c r="I349" s="31" t="s">
        <v>603</v>
      </c>
      <c r="J349" s="32" t="n">
        <v>1.0</v>
      </c>
      <c r="K349" s="33" t="n">
        <f>97400</f>
        <v>97400.0</v>
      </c>
      <c r="L349" s="34" t="s">
        <v>48</v>
      </c>
      <c r="M349" s="33" t="n">
        <f>101000</f>
        <v>101000.0</v>
      </c>
      <c r="N349" s="34" t="s">
        <v>105</v>
      </c>
      <c r="O349" s="33" t="n">
        <f>96200</f>
        <v>96200.0</v>
      </c>
      <c r="P349" s="34" t="s">
        <v>50</v>
      </c>
      <c r="Q349" s="33" t="n">
        <f>96400</f>
        <v>96400.0</v>
      </c>
      <c r="R349" s="34" t="s">
        <v>50</v>
      </c>
      <c r="S349" s="35" t="n">
        <f>98286.36</f>
        <v>98286.36</v>
      </c>
      <c r="T349" s="32" t="n">
        <f>8120</f>
        <v>8120.0</v>
      </c>
      <c r="U349" s="32" t="n">
        <f>7</f>
        <v>7.0</v>
      </c>
      <c r="V349" s="32" t="n">
        <f>798103800</f>
        <v>7.981038E8</v>
      </c>
      <c r="W349" s="32" t="n">
        <f>692100</f>
        <v>692100.0</v>
      </c>
      <c r="X349" s="36" t="n">
        <f>22</f>
        <v>22.0</v>
      </c>
    </row>
    <row r="350">
      <c r="A350" s="27" t="s">
        <v>42</v>
      </c>
      <c r="B350" s="27" t="s">
        <v>1102</v>
      </c>
      <c r="C350" s="27" t="s">
        <v>1103</v>
      </c>
      <c r="D350" s="27" t="s">
        <v>1104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88000</f>
        <v>88000.0</v>
      </c>
      <c r="L350" s="34" t="s">
        <v>48</v>
      </c>
      <c r="M350" s="33" t="n">
        <f>91000</f>
        <v>91000.0</v>
      </c>
      <c r="N350" s="34" t="s">
        <v>50</v>
      </c>
      <c r="O350" s="33" t="n">
        <f>87300</f>
        <v>87300.0</v>
      </c>
      <c r="P350" s="34" t="s">
        <v>67</v>
      </c>
      <c r="Q350" s="33" t="n">
        <f>90700</f>
        <v>90700.0</v>
      </c>
      <c r="R350" s="34" t="s">
        <v>50</v>
      </c>
      <c r="S350" s="35" t="n">
        <f>88145.45</f>
        <v>88145.45</v>
      </c>
      <c r="T350" s="32" t="n">
        <f>45436</f>
        <v>45436.0</v>
      </c>
      <c r="U350" s="32" t="n">
        <f>1512</f>
        <v>1512.0</v>
      </c>
      <c r="V350" s="32" t="n">
        <f>4001831910</f>
        <v>4.00183191E9</v>
      </c>
      <c r="W350" s="32" t="n">
        <f>133202010</f>
        <v>1.3320201E8</v>
      </c>
      <c r="X350" s="36" t="n">
        <f>22</f>
        <v>22.0</v>
      </c>
    </row>
    <row r="351">
      <c r="A351" s="27" t="s">
        <v>42</v>
      </c>
      <c r="B351" s="27" t="s">
        <v>1105</v>
      </c>
      <c r="C351" s="27" t="s">
        <v>1106</v>
      </c>
      <c r="D351" s="27" t="s">
        <v>1107</v>
      </c>
      <c r="E351" s="28" t="s">
        <v>46</v>
      </c>
      <c r="F351" s="29" t="s">
        <v>46</v>
      </c>
      <c r="G351" s="30" t="s">
        <v>46</v>
      </c>
      <c r="H351" s="31"/>
      <c r="I351" s="31" t="s">
        <v>603</v>
      </c>
      <c r="J351" s="32" t="n">
        <v>1.0</v>
      </c>
      <c r="K351" s="33" t="n">
        <f>91100</f>
        <v>91100.0</v>
      </c>
      <c r="L351" s="34" t="s">
        <v>48</v>
      </c>
      <c r="M351" s="33" t="n">
        <f>91800</f>
        <v>91800.0</v>
      </c>
      <c r="N351" s="34" t="s">
        <v>50</v>
      </c>
      <c r="O351" s="33" t="n">
        <f>89900</f>
        <v>89900.0</v>
      </c>
      <c r="P351" s="34" t="s">
        <v>93</v>
      </c>
      <c r="Q351" s="33" t="n">
        <f>91700</f>
        <v>91700.0</v>
      </c>
      <c r="R351" s="34" t="s">
        <v>50</v>
      </c>
      <c r="S351" s="35" t="n">
        <f>90772.73</f>
        <v>90772.73</v>
      </c>
      <c r="T351" s="32" t="n">
        <f>23763</f>
        <v>23763.0</v>
      </c>
      <c r="U351" s="32" t="n">
        <f>772</f>
        <v>772.0</v>
      </c>
      <c r="V351" s="32" t="n">
        <f>2156068790</f>
        <v>2.15606879E9</v>
      </c>
      <c r="W351" s="32" t="n">
        <f>70428490</f>
        <v>7.042849E7</v>
      </c>
      <c r="X351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